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firstSheet="27" activeTab="27"/>
  </bookViews>
  <sheets>
    <sheet name="П1_ГАД(АД)" sheetId="1" state="hidden" r:id="rId1"/>
    <sheet name="п2 источники" sheetId="11" state="hidden" r:id="rId2"/>
    <sheet name="п3 доходы" sheetId="20" state="hidden" r:id="rId3"/>
    <sheet name="п4 распределение" sheetId="12" state="hidden" r:id="rId4"/>
    <sheet name="П3_Доходы" sheetId="3" state="hidden" r:id="rId5"/>
    <sheet name="п6  программы" sheetId="10" state="hidden" r:id="rId6"/>
    <sheet name="п7 распределение" sheetId="14" state="hidden" r:id="rId7"/>
    <sheet name="п8" sheetId="16" state="hidden" r:id="rId8"/>
    <sheet name="информация" sheetId="22" state="hidden" r:id="rId9"/>
    <sheet name="доп. информация" sheetId="23" state="hidden" r:id="rId10"/>
    <sheet name="прогноз конс.бюдж." sheetId="4" state="hidden" r:id="rId11"/>
    <sheet name="ожидаемое исполнение" sheetId="5" state="hidden" r:id="rId12"/>
    <sheet name="верхн.пред.долга" sheetId="6" state="hidden" r:id="rId13"/>
    <sheet name="мун.заим." sheetId="8" state="hidden" r:id="rId14"/>
    <sheet name="проект предост.бюдж.кред." sheetId="9" state="hidden" r:id="rId15"/>
    <sheet name="Лист10" sheetId="19" state="hidden" r:id="rId16"/>
    <sheet name="на 01.02.16" sheetId="24" state="hidden" r:id="rId17"/>
    <sheet name="на 01.03.16" sheetId="25" state="hidden" r:id="rId18"/>
    <sheet name="на 01.04.16" sheetId="26" state="hidden" r:id="rId19"/>
    <sheet name="на 01.05.16" sheetId="27" state="hidden" r:id="rId20"/>
    <sheet name="на 01.06.16" sheetId="28" state="hidden" r:id="rId21"/>
    <sheet name="на 01.07.16" sheetId="29" state="hidden" r:id="rId22"/>
    <sheet name="на 01.08.2016" sheetId="36" state="hidden" r:id="rId23"/>
    <sheet name="на 01.09.16" sheetId="31" state="hidden" r:id="rId24"/>
    <sheet name="на 01.10.16" sheetId="32" state="hidden" r:id="rId25"/>
    <sheet name="на 01.11.16" sheetId="33" state="hidden" r:id="rId26"/>
    <sheet name="на 01.12.16" sheetId="34" state="hidden" r:id="rId27"/>
    <sheet name="01.01.2017" sheetId="35" r:id="rId28"/>
  </sheets>
  <externalReferences>
    <externalReference r:id="rId29"/>
  </externalReferences>
  <definedNames>
    <definedName name="_xlnm.Print_Titles" localSheetId="11">'ожидаемое исполнение'!$3:$5</definedName>
    <definedName name="_xlnm.Print_Titles" localSheetId="4">П3_Доходы!$8:$8</definedName>
    <definedName name="_xlnm.Print_Area" localSheetId="27">'01.01.2017'!$A$1:$R$262</definedName>
    <definedName name="_xlnm.Print_Area" localSheetId="16">'на 01.02.16'!$A$1:$P$229</definedName>
    <definedName name="_xlnm.Print_Area" localSheetId="17">'на 01.03.16'!$A$2:$P$234</definedName>
    <definedName name="_xlnm.Print_Area" localSheetId="18">'на 01.04.16'!$A$1:$O$231</definedName>
    <definedName name="_xlnm.Print_Area" localSheetId="24">'на 01.10.16'!$A$1:$O$256</definedName>
    <definedName name="_xlnm.Print_Area" localSheetId="25">'на 01.11.16'!$A$1:$O$258</definedName>
    <definedName name="_xlnm.Print_Area" localSheetId="26">'на 01.12.16'!$A$1:$O$259</definedName>
  </definedNames>
  <calcPr calcId="152511"/>
</workbook>
</file>

<file path=xl/calcChain.xml><?xml version="1.0" encoding="utf-8"?>
<calcChain xmlns="http://schemas.openxmlformats.org/spreadsheetml/2006/main">
  <c r="K240" i="35" l="1"/>
  <c r="K249" i="35"/>
  <c r="K231" i="35"/>
  <c r="K211" i="35"/>
  <c r="K218" i="35"/>
  <c r="K224" i="35"/>
  <c r="K215" i="35"/>
  <c r="K207" i="35"/>
  <c r="K196" i="35"/>
  <c r="K184" i="35"/>
  <c r="K182" i="35"/>
  <c r="K175" i="35"/>
  <c r="N175" i="35"/>
  <c r="K156" i="35"/>
  <c r="K169" i="35"/>
  <c r="K130" i="35"/>
  <c r="K151" i="35"/>
  <c r="K147" i="35"/>
  <c r="K120" i="35" l="1"/>
  <c r="K107" i="35"/>
  <c r="K104" i="35"/>
  <c r="K98" i="35"/>
  <c r="K88" i="35"/>
  <c r="K81" i="35"/>
  <c r="K75" i="35"/>
  <c r="K71" i="35"/>
  <c r="K69" i="35"/>
  <c r="K61" i="35"/>
  <c r="K87" i="35" l="1"/>
  <c r="K48" i="35"/>
  <c r="K37" i="35"/>
  <c r="K35" i="35"/>
  <c r="K21" i="35"/>
  <c r="P36" i="35" l="1"/>
  <c r="P37" i="35"/>
  <c r="P38" i="35"/>
  <c r="P42" i="35"/>
  <c r="P43" i="35"/>
  <c r="P44" i="35"/>
  <c r="P45" i="35"/>
  <c r="P46" i="35"/>
  <c r="P47" i="35"/>
  <c r="P48" i="35"/>
  <c r="P50" i="35"/>
  <c r="P51" i="35"/>
  <c r="P52" i="35"/>
  <c r="P53" i="35"/>
  <c r="P56" i="35"/>
  <c r="P57" i="35"/>
  <c r="P58" i="35"/>
  <c r="P59" i="35"/>
  <c r="P60" i="35"/>
  <c r="P61" i="35"/>
  <c r="P62" i="35"/>
  <c r="P63" i="35"/>
  <c r="P64" i="35"/>
  <c r="P65" i="35"/>
  <c r="P66" i="35"/>
  <c r="P67" i="35"/>
  <c r="P68" i="35"/>
  <c r="P69" i="35"/>
  <c r="P70" i="35"/>
  <c r="P71" i="35"/>
  <c r="P72" i="35"/>
  <c r="P73" i="35"/>
  <c r="P74" i="35"/>
  <c r="P75" i="35"/>
  <c r="P76" i="35"/>
  <c r="P78" i="35"/>
  <c r="P81" i="35"/>
  <c r="P82" i="35"/>
  <c r="P83" i="35"/>
  <c r="P84" i="35"/>
  <c r="P86" i="35"/>
  <c r="P87" i="35"/>
  <c r="P88" i="35"/>
  <c r="P89" i="35"/>
  <c r="P90" i="35"/>
  <c r="P91" i="35"/>
  <c r="P92" i="35"/>
  <c r="P93" i="35"/>
  <c r="P94" i="35"/>
  <c r="P96" i="35"/>
  <c r="P97" i="35"/>
  <c r="P98" i="35"/>
  <c r="P99" i="35"/>
  <c r="P100" i="35"/>
  <c r="P101" i="35"/>
  <c r="P102" i="35"/>
  <c r="P103" i="35"/>
  <c r="P104" i="35"/>
  <c r="P105" i="35"/>
  <c r="P106" i="35"/>
  <c r="P107" i="35"/>
  <c r="P108" i="35"/>
  <c r="P109" i="35"/>
  <c r="P110" i="35"/>
  <c r="P112" i="35"/>
  <c r="P113" i="35"/>
  <c r="P114" i="35"/>
  <c r="P115" i="35"/>
  <c r="P116" i="35"/>
  <c r="P118" i="35"/>
  <c r="P119" i="35"/>
  <c r="P120" i="35"/>
  <c r="P121" i="35"/>
  <c r="P122" i="35"/>
  <c r="P125" i="35"/>
  <c r="P126" i="35"/>
  <c r="P127" i="35"/>
  <c r="P128" i="35"/>
  <c r="P129" i="35"/>
  <c r="P130" i="35"/>
  <c r="P131" i="35"/>
  <c r="P132" i="35"/>
  <c r="P133" i="35"/>
  <c r="P134" i="35"/>
  <c r="P135" i="35"/>
  <c r="P136" i="35"/>
  <c r="P137" i="35"/>
  <c r="P138" i="35"/>
  <c r="P139" i="35"/>
  <c r="P140" i="35"/>
  <c r="P141" i="35"/>
  <c r="P142" i="35"/>
  <c r="P144" i="35"/>
  <c r="P146" i="35"/>
  <c r="P147" i="35"/>
  <c r="P148" i="35"/>
  <c r="P149" i="35"/>
  <c r="P150" i="35"/>
  <c r="P151" i="35"/>
  <c r="P152" i="35"/>
  <c r="P153" i="35"/>
  <c r="P154" i="35"/>
  <c r="P155" i="35"/>
  <c r="P156" i="35"/>
  <c r="P157" i="35"/>
  <c r="P158" i="35"/>
  <c r="P159" i="35"/>
  <c r="P160" i="35"/>
  <c r="P161" i="35"/>
  <c r="P162" i="35"/>
  <c r="P165" i="35"/>
  <c r="P167" i="35"/>
  <c r="P168" i="35"/>
  <c r="P171" i="35"/>
  <c r="P172" i="35"/>
  <c r="P173" i="35"/>
  <c r="P174" i="35"/>
  <c r="P175" i="35"/>
  <c r="P176" i="35"/>
  <c r="P177" i="35"/>
  <c r="P178" i="35"/>
  <c r="P180" i="35"/>
  <c r="P181" i="35"/>
  <c r="P182" i="35"/>
  <c r="P184" i="35"/>
  <c r="P185" i="35"/>
  <c r="P186" i="35"/>
  <c r="P187" i="35"/>
  <c r="P188" i="35"/>
  <c r="P189" i="35"/>
  <c r="P190" i="35"/>
  <c r="P192" i="35"/>
  <c r="P193" i="35"/>
  <c r="P194" i="35"/>
  <c r="P195" i="35"/>
  <c r="P196" i="35"/>
  <c r="P197" i="35"/>
  <c r="P198" i="35"/>
  <c r="P200" i="35"/>
  <c r="P201" i="35"/>
  <c r="P202" i="35"/>
  <c r="P203" i="35"/>
  <c r="P204" i="35"/>
  <c r="P206" i="35"/>
  <c r="P207" i="35"/>
  <c r="P208" i="35"/>
  <c r="P209" i="35"/>
  <c r="P211" i="35"/>
  <c r="P212" i="35"/>
  <c r="P213" i="35"/>
  <c r="P214" i="35"/>
  <c r="P215" i="35"/>
  <c r="P217" i="35"/>
  <c r="P218" i="35"/>
  <c r="P219" i="35"/>
  <c r="P220" i="35"/>
  <c r="P221" i="35"/>
  <c r="P222" i="35"/>
  <c r="P223" i="35"/>
  <c r="P224" i="35"/>
  <c r="P225" i="35"/>
  <c r="P227" i="35"/>
  <c r="P228" i="35"/>
  <c r="P229" i="35"/>
  <c r="P230" i="35"/>
  <c r="P231" i="35"/>
  <c r="P233" i="35"/>
  <c r="P234" i="35"/>
  <c r="P235" i="35"/>
  <c r="P236" i="35"/>
  <c r="P237" i="35"/>
  <c r="P238" i="35"/>
  <c r="P239" i="35"/>
  <c r="P240" i="35"/>
  <c r="P241" i="35"/>
  <c r="P243" i="35"/>
  <c r="P244" i="35"/>
  <c r="P245" i="35"/>
  <c r="P246" i="35"/>
  <c r="P249" i="35"/>
  <c r="P31" i="35"/>
  <c r="P32" i="35"/>
  <c r="P33" i="35"/>
  <c r="P34" i="35"/>
  <c r="P35" i="35"/>
  <c r="P25" i="35"/>
  <c r="P30" i="35"/>
  <c r="P21" i="35"/>
  <c r="L239" i="35" l="1"/>
  <c r="L74" i="35"/>
  <c r="L190" i="35" l="1"/>
  <c r="L136" i="35"/>
  <c r="L135" i="35"/>
  <c r="N239" i="35" l="1"/>
  <c r="N238" i="35"/>
  <c r="N221" i="35"/>
  <c r="N220" i="35"/>
  <c r="N219" i="35"/>
  <c r="N217" i="35"/>
  <c r="N214" i="35"/>
  <c r="N213" i="35"/>
  <c r="N212" i="35"/>
  <c r="N208" i="35"/>
  <c r="N200" i="35"/>
  <c r="N198" i="35"/>
  <c r="N197" i="35"/>
  <c r="N195" i="35"/>
  <c r="N193" i="35"/>
  <c r="N192" i="35"/>
  <c r="N190" i="35"/>
  <c r="N186" i="35"/>
  <c r="N185" i="35"/>
  <c r="N171" i="35"/>
  <c r="N167" i="35"/>
  <c r="N155" i="35"/>
  <c r="N153" i="35"/>
  <c r="N152" i="35"/>
  <c r="N149" i="35"/>
  <c r="N148" i="35"/>
  <c r="N140" i="35"/>
  <c r="N139" i="35"/>
  <c r="N138" i="35"/>
  <c r="N137" i="35"/>
  <c r="N136" i="35"/>
  <c r="N135" i="35"/>
  <c r="N134" i="35"/>
  <c r="N133" i="35"/>
  <c r="N129" i="35"/>
  <c r="N128" i="35"/>
  <c r="N125" i="35"/>
  <c r="N122" i="35"/>
  <c r="N121" i="35"/>
  <c r="N114" i="35"/>
  <c r="N110" i="35"/>
  <c r="N109" i="35"/>
  <c r="N108" i="35"/>
  <c r="N106" i="35"/>
  <c r="N105" i="35"/>
  <c r="N100" i="35"/>
  <c r="N99" i="35"/>
  <c r="N96" i="35"/>
  <c r="N94" i="35"/>
  <c r="N93" i="35"/>
  <c r="N92" i="35"/>
  <c r="N90" i="35"/>
  <c r="N89" i="35"/>
  <c r="N84" i="35"/>
  <c r="N83" i="35"/>
  <c r="N82" i="35"/>
  <c r="N74" i="35"/>
  <c r="N68" i="35"/>
  <c r="N64" i="35"/>
  <c r="N63" i="35"/>
  <c r="N62" i="35"/>
  <c r="N56" i="35"/>
  <c r="N53" i="35"/>
  <c r="N52" i="35"/>
  <c r="N46" i="35"/>
  <c r="N45" i="35"/>
  <c r="N44" i="35"/>
  <c r="L221" i="35" l="1"/>
  <c r="L220" i="35"/>
  <c r="L192" i="35"/>
  <c r="L193" i="35"/>
  <c r="L94" i="35"/>
  <c r="L138" i="35"/>
  <c r="L137" i="35"/>
  <c r="L148" i="35"/>
  <c r="L149" i="35"/>
  <c r="L63" i="35"/>
  <c r="L62" i="35"/>
  <c r="L100" i="35"/>
  <c r="L99" i="35"/>
  <c r="L96" i="35"/>
  <c r="L108" i="35"/>
  <c r="L110" i="35"/>
  <c r="L109" i="35"/>
  <c r="L89" i="35"/>
  <c r="L93" i="35"/>
  <c r="L208" i="35" l="1"/>
  <c r="L209" i="35"/>
  <c r="L82" i="35"/>
  <c r="L86" i="35"/>
  <c r="L84" i="35"/>
  <c r="L83" i="35"/>
  <c r="L219" i="35"/>
  <c r="L199" i="35"/>
  <c r="L200" i="35"/>
  <c r="L36" i="35"/>
  <c r="L195" i="35"/>
  <c r="L186" i="35" l="1"/>
  <c r="L185" i="35"/>
  <c r="L46" i="35"/>
  <c r="L45" i="35"/>
  <c r="L44" i="35"/>
  <c r="L212" i="35"/>
  <c r="L213" i="35"/>
  <c r="L211" i="35" s="1"/>
  <c r="L155" i="35"/>
  <c r="L154" i="35"/>
  <c r="L152" i="35"/>
  <c r="L153" i="35"/>
  <c r="L151" i="35" s="1"/>
  <c r="L214" i="35"/>
  <c r="L217" i="35"/>
  <c r="L134" i="35"/>
  <c r="L53" i="35"/>
  <c r="L180" i="35"/>
  <c r="L64" i="35"/>
  <c r="L171" i="35"/>
  <c r="L164" i="35"/>
  <c r="L157" i="35"/>
  <c r="L160" i="35"/>
  <c r="L159" i="35"/>
  <c r="L158" i="35"/>
  <c r="L165" i="35"/>
  <c r="L128" i="35"/>
  <c r="L122" i="35"/>
  <c r="L121" i="35"/>
  <c r="L120" i="35" s="1"/>
  <c r="L105" i="35"/>
  <c r="L103" i="35"/>
  <c r="L113" i="35"/>
  <c r="L244" i="35"/>
  <c r="N246" i="35"/>
  <c r="N244" i="35"/>
  <c r="L242" i="35"/>
  <c r="N241" i="35"/>
  <c r="N249" i="35" s="1"/>
  <c r="L241" i="35"/>
  <c r="L238" i="35"/>
  <c r="L232" i="35"/>
  <c r="N229" i="35"/>
  <c r="L229" i="35"/>
  <c r="L227" i="35"/>
  <c r="L224" i="35" s="1"/>
  <c r="N224" i="35"/>
  <c r="N218" i="35"/>
  <c r="L218" i="35"/>
  <c r="N215" i="35"/>
  <c r="L215" i="35"/>
  <c r="N211" i="35"/>
  <c r="N209" i="35"/>
  <c r="N207" i="35" s="1"/>
  <c r="L207" i="35"/>
  <c r="N206" i="35"/>
  <c r="N203" i="35"/>
  <c r="L203" i="35"/>
  <c r="L198" i="35"/>
  <c r="N196" i="35"/>
  <c r="L197" i="35"/>
  <c r="L196" i="35" s="1"/>
  <c r="L191" i="35"/>
  <c r="N187" i="35"/>
  <c r="L187" i="35"/>
  <c r="N184" i="35"/>
  <c r="L184" i="35"/>
  <c r="L179" i="35"/>
  <c r="L175" i="35" s="1"/>
  <c r="L177" i="35"/>
  <c r="L173" i="35"/>
  <c r="L172" i="35"/>
  <c r="L170" i="35"/>
  <c r="L167" i="35"/>
  <c r="N166" i="35"/>
  <c r="L163" i="35"/>
  <c r="N162" i="35"/>
  <c r="L162" i="35"/>
  <c r="N160" i="35"/>
  <c r="N159" i="35"/>
  <c r="N156" i="35" s="1"/>
  <c r="N154" i="35"/>
  <c r="N151" i="35"/>
  <c r="N130" i="35" s="1"/>
  <c r="L147" i="35"/>
  <c r="N147" i="35"/>
  <c r="L145" i="35"/>
  <c r="N144" i="35"/>
  <c r="L144" i="35"/>
  <c r="N142" i="35"/>
  <c r="L142" i="35"/>
  <c r="L141" i="35"/>
  <c r="L140" i="35"/>
  <c r="L139" i="35"/>
  <c r="L133" i="35"/>
  <c r="L132" i="35"/>
  <c r="L126" i="35"/>
  <c r="L125" i="35"/>
  <c r="L124" i="35"/>
  <c r="L123" i="35"/>
  <c r="N120" i="35"/>
  <c r="L117" i="35"/>
  <c r="L114" i="35"/>
  <c r="N112" i="35"/>
  <c r="L112" i="35"/>
  <c r="N107" i="35"/>
  <c r="L107" i="35"/>
  <c r="L106" i="35"/>
  <c r="N104" i="35"/>
  <c r="L104" i="35"/>
  <c r="N101" i="35"/>
  <c r="N98" i="35" s="1"/>
  <c r="L101" i="35"/>
  <c r="L98" i="35"/>
  <c r="L95" i="35"/>
  <c r="N91" i="35"/>
  <c r="N88" i="35"/>
  <c r="L90" i="35"/>
  <c r="L88" i="35" s="1"/>
  <c r="N86" i="35"/>
  <c r="N81" i="35" s="1"/>
  <c r="L85" i="35"/>
  <c r="L81" i="35"/>
  <c r="L80" i="35"/>
  <c r="L79" i="35"/>
  <c r="L78" i="35"/>
  <c r="L77" i="35"/>
  <c r="L75" i="35" s="1"/>
  <c r="L76" i="35"/>
  <c r="N75" i="35"/>
  <c r="L71" i="35"/>
  <c r="N72" i="35"/>
  <c r="N71" i="35" s="1"/>
  <c r="N70" i="35"/>
  <c r="N69" i="35" s="1"/>
  <c r="L69" i="35"/>
  <c r="L68" i="35"/>
  <c r="N67" i="35"/>
  <c r="N61" i="35" s="1"/>
  <c r="L59" i="35"/>
  <c r="L55" i="35"/>
  <c r="N48" i="35"/>
  <c r="L52" i="35"/>
  <c r="L51" i="35"/>
  <c r="L50" i="35"/>
  <c r="L48" i="35" s="1"/>
  <c r="L49" i="35"/>
  <c r="N37" i="35"/>
  <c r="L41" i="35"/>
  <c r="L40" i="35"/>
  <c r="L39" i="35"/>
  <c r="L38" i="35"/>
  <c r="N35" i="35"/>
  <c r="L35" i="35"/>
  <c r="N32" i="35"/>
  <c r="L32" i="35"/>
  <c r="L29" i="35"/>
  <c r="L21" i="35" s="1"/>
  <c r="L28" i="35"/>
  <c r="L27" i="35"/>
  <c r="L26" i="35"/>
  <c r="L24" i="35"/>
  <c r="L22" i="35"/>
  <c r="N21" i="35"/>
  <c r="L249" i="35" l="1"/>
  <c r="L37" i="35"/>
  <c r="N231" i="35"/>
  <c r="N240" i="35" s="1"/>
  <c r="L231" i="35"/>
  <c r="L240" i="35" s="1"/>
  <c r="L130" i="35"/>
  <c r="L61" i="35"/>
  <c r="L156" i="35"/>
  <c r="L87" i="35"/>
  <c r="N87" i="35"/>
  <c r="N182" i="35" s="1"/>
  <c r="M243" i="34"/>
  <c r="M238" i="34"/>
  <c r="M218" i="34"/>
  <c r="M217" i="34"/>
  <c r="M216" i="34"/>
  <c r="M214" i="34"/>
  <c r="M211" i="34"/>
  <c r="M210" i="34"/>
  <c r="M209" i="34"/>
  <c r="M201" i="34"/>
  <c r="M198" i="34"/>
  <c r="M196" i="34"/>
  <c r="M195" i="34"/>
  <c r="M192" i="34"/>
  <c r="M189" i="34"/>
  <c r="M184" i="34"/>
  <c r="M170" i="34"/>
  <c r="M166" i="34"/>
  <c r="M159" i="34"/>
  <c r="M158" i="34"/>
  <c r="M154" i="34"/>
  <c r="M152" i="34"/>
  <c r="M151" i="34"/>
  <c r="M148" i="34"/>
  <c r="M147" i="34"/>
  <c r="M139" i="34"/>
  <c r="M138" i="34"/>
  <c r="M136" i="34"/>
  <c r="M135" i="34"/>
  <c r="M134" i="34"/>
  <c r="M133" i="34"/>
  <c r="M132" i="34"/>
  <c r="M127" i="34"/>
  <c r="M120" i="34"/>
  <c r="M113" i="34"/>
  <c r="M109" i="34"/>
  <c r="M108" i="34"/>
  <c r="M107" i="34"/>
  <c r="M104" i="34"/>
  <c r="M99" i="34"/>
  <c r="M98" i="34"/>
  <c r="M95" i="34"/>
  <c r="M91" i="34"/>
  <c r="M90" i="34"/>
  <c r="M89" i="34"/>
  <c r="M88" i="34"/>
  <c r="M83" i="34"/>
  <c r="M82" i="34"/>
  <c r="M81" i="34"/>
  <c r="M67" i="34"/>
  <c r="M61" i="34"/>
  <c r="M53" i="34"/>
  <c r="M46" i="34"/>
  <c r="M45" i="34"/>
  <c r="M44" i="34"/>
  <c r="M32" i="34"/>
  <c r="L182" i="35" l="1"/>
  <c r="M106" i="34"/>
  <c r="M21" i="34"/>
  <c r="K82" i="34" l="1"/>
  <c r="K81" i="34"/>
  <c r="K83" i="34"/>
  <c r="K84" i="34"/>
  <c r="K116" i="34"/>
  <c r="K196" i="34"/>
  <c r="K195" i="34"/>
  <c r="K131" i="34"/>
  <c r="K125" i="34"/>
  <c r="K67" i="34"/>
  <c r="K137" i="34"/>
  <c r="K136" i="34"/>
  <c r="K152" i="34"/>
  <c r="K151" i="34"/>
  <c r="K148" i="34"/>
  <c r="K147" i="34"/>
  <c r="K124" i="34"/>
  <c r="K138" i="34"/>
  <c r="K134" i="34"/>
  <c r="K143" i="34"/>
  <c r="K61" i="34"/>
  <c r="K32" i="34" l="1"/>
  <c r="K175" i="34"/>
  <c r="K75" i="34"/>
  <c r="K78" i="34"/>
  <c r="K77" i="34"/>
  <c r="K76" i="34"/>
  <c r="K27" i="34"/>
  <c r="K26" i="34"/>
  <c r="K24" i="34"/>
  <c r="M241" i="34"/>
  <c r="K241" i="34"/>
  <c r="K239" i="34"/>
  <c r="M246" i="34"/>
  <c r="K238" i="34"/>
  <c r="M236" i="34"/>
  <c r="K236" i="34"/>
  <c r="K235" i="34"/>
  <c r="K229" i="34"/>
  <c r="M226" i="34"/>
  <c r="K226" i="34"/>
  <c r="K224" i="34"/>
  <c r="M221" i="34"/>
  <c r="K221" i="34"/>
  <c r="K218" i="34"/>
  <c r="M215" i="34"/>
  <c r="K217" i="34"/>
  <c r="K215" i="34" s="1"/>
  <c r="M212" i="34"/>
  <c r="K214" i="34"/>
  <c r="K212" i="34" s="1"/>
  <c r="K211" i="34"/>
  <c r="M208" i="34"/>
  <c r="K209" i="34"/>
  <c r="K208" i="34" s="1"/>
  <c r="K228" i="34" s="1"/>
  <c r="M206" i="34"/>
  <c r="M205" i="34"/>
  <c r="M204" i="34" s="1"/>
  <c r="K205" i="34"/>
  <c r="K204" i="34" s="1"/>
  <c r="M203" i="34"/>
  <c r="K201" i="34"/>
  <c r="K198" i="34"/>
  <c r="M194" i="34"/>
  <c r="M193" i="34"/>
  <c r="K193" i="34"/>
  <c r="K192" i="34"/>
  <c r="M191" i="34"/>
  <c r="K190" i="34"/>
  <c r="K189" i="34"/>
  <c r="M186" i="34"/>
  <c r="K186" i="34"/>
  <c r="M185" i="34"/>
  <c r="K184" i="34"/>
  <c r="K183" i="34"/>
  <c r="K179" i="34"/>
  <c r="K178" i="34"/>
  <c r="K176" i="34"/>
  <c r="K174" i="34"/>
  <c r="M174" i="34"/>
  <c r="K172" i="34"/>
  <c r="K171" i="34"/>
  <c r="K170" i="34"/>
  <c r="K169" i="34"/>
  <c r="K166" i="34"/>
  <c r="M165" i="34"/>
  <c r="K162" i="34"/>
  <c r="M161" i="34"/>
  <c r="M155" i="34" s="1"/>
  <c r="K161" i="34"/>
  <c r="K159" i="34"/>
  <c r="K158" i="34"/>
  <c r="K157" i="34"/>
  <c r="K156" i="34"/>
  <c r="K154" i="34"/>
  <c r="M153" i="34"/>
  <c r="K153" i="34"/>
  <c r="M150" i="34"/>
  <c r="K150" i="34"/>
  <c r="K146" i="34"/>
  <c r="M146" i="34"/>
  <c r="K144" i="34"/>
  <c r="M143" i="34"/>
  <c r="M141" i="34"/>
  <c r="K141" i="34"/>
  <c r="K140" i="34"/>
  <c r="K139" i="34"/>
  <c r="M137" i="34"/>
  <c r="K135" i="34"/>
  <c r="K133" i="34"/>
  <c r="K132" i="34"/>
  <c r="M128" i="34"/>
  <c r="M124" i="34"/>
  <c r="K123" i="34"/>
  <c r="K122" i="34"/>
  <c r="K121" i="34"/>
  <c r="M119" i="34"/>
  <c r="K120" i="34"/>
  <c r="K113" i="34"/>
  <c r="M111" i="34"/>
  <c r="K111" i="34"/>
  <c r="K108" i="34"/>
  <c r="K107" i="34"/>
  <c r="K106" i="34" s="1"/>
  <c r="K105" i="34"/>
  <c r="M103" i="34"/>
  <c r="K104" i="34"/>
  <c r="K103" i="34" s="1"/>
  <c r="K102" i="34"/>
  <c r="M100" i="34"/>
  <c r="K100" i="34"/>
  <c r="K99" i="34"/>
  <c r="M97" i="34"/>
  <c r="K95" i="34"/>
  <c r="K94" i="34"/>
  <c r="M93" i="34"/>
  <c r="K93" i="34"/>
  <c r="M87" i="34"/>
  <c r="K89" i="34"/>
  <c r="K87" i="34" s="1"/>
  <c r="M85" i="34"/>
  <c r="K85" i="34"/>
  <c r="K80" i="34"/>
  <c r="K79" i="34"/>
  <c r="K74" i="34" s="1"/>
  <c r="M74" i="34"/>
  <c r="K73" i="34"/>
  <c r="K70" i="34" s="1"/>
  <c r="M71" i="34"/>
  <c r="M70" i="34" s="1"/>
  <c r="M69" i="34"/>
  <c r="M68" i="34"/>
  <c r="K68" i="34"/>
  <c r="M66" i="34"/>
  <c r="M63" i="34"/>
  <c r="K63" i="34"/>
  <c r="M62" i="34"/>
  <c r="K62" i="34"/>
  <c r="K60" i="34" s="1"/>
  <c r="K58" i="34"/>
  <c r="K54" i="34"/>
  <c r="K53" i="34"/>
  <c r="M52" i="34"/>
  <c r="K52" i="34"/>
  <c r="K51" i="34"/>
  <c r="K50" i="34"/>
  <c r="K49" i="34"/>
  <c r="K46" i="34"/>
  <c r="K45" i="34"/>
  <c r="M37" i="34"/>
  <c r="K41" i="34"/>
  <c r="K40" i="34"/>
  <c r="K39" i="34"/>
  <c r="K38" i="34"/>
  <c r="K37" i="34" s="1"/>
  <c r="M35" i="34"/>
  <c r="K35" i="34"/>
  <c r="K29" i="34"/>
  <c r="K28" i="34"/>
  <c r="K22" i="34"/>
  <c r="M129" i="34" l="1"/>
  <c r="M86" i="34"/>
  <c r="K21" i="34"/>
  <c r="M60" i="34"/>
  <c r="M80" i="34"/>
  <c r="K246" i="34"/>
  <c r="K48" i="34"/>
  <c r="K97" i="34"/>
  <c r="K129" i="34"/>
  <c r="K155" i="34"/>
  <c r="M48" i="34"/>
  <c r="K119" i="34"/>
  <c r="M183" i="34"/>
  <c r="K194" i="34"/>
  <c r="K237" i="34" s="1"/>
  <c r="K86" i="34"/>
  <c r="M228" i="34"/>
  <c r="M237" i="33"/>
  <c r="M217" i="33"/>
  <c r="M216" i="33"/>
  <c r="M213" i="33"/>
  <c r="M210" i="33"/>
  <c r="M209" i="33"/>
  <c r="M208" i="33"/>
  <c r="M204" i="33"/>
  <c r="M200" i="33"/>
  <c r="M197" i="33"/>
  <c r="M195" i="33"/>
  <c r="M194" i="33"/>
  <c r="M192" i="33"/>
  <c r="M190" i="33"/>
  <c r="M188" i="33"/>
  <c r="M183" i="33"/>
  <c r="M169" i="33"/>
  <c r="M165" i="33"/>
  <c r="M153" i="33"/>
  <c r="M152" i="33"/>
  <c r="M151" i="33"/>
  <c r="M150" i="33"/>
  <c r="M147" i="33"/>
  <c r="M146" i="33"/>
  <c r="M142" i="33"/>
  <c r="M138" i="33"/>
  <c r="M137" i="33"/>
  <c r="M136" i="33"/>
  <c r="M135" i="33"/>
  <c r="M134" i="33"/>
  <c r="M133" i="33"/>
  <c r="M132" i="33"/>
  <c r="M131" i="33"/>
  <c r="M127" i="33"/>
  <c r="M126" i="33"/>
  <c r="M123" i="33"/>
  <c r="M119" i="33"/>
  <c r="M112" i="33"/>
  <c r="M108" i="33"/>
  <c r="M107" i="33"/>
  <c r="M106" i="33"/>
  <c r="M103" i="33"/>
  <c r="M98" i="33"/>
  <c r="M97" i="33"/>
  <c r="M96" i="33"/>
  <c r="M94" i="33"/>
  <c r="M90" i="33"/>
  <c r="M88" i="33"/>
  <c r="M87" i="33"/>
  <c r="M84" i="33"/>
  <c r="M80" i="33"/>
  <c r="M66" i="33"/>
  <c r="M62" i="33"/>
  <c r="M61" i="33"/>
  <c r="M60" i="33"/>
  <c r="M52" i="33"/>
  <c r="M51" i="33"/>
  <c r="M45" i="33"/>
  <c r="M44" i="33"/>
  <c r="M43" i="33"/>
  <c r="M31" i="33"/>
  <c r="M237" i="34" l="1"/>
  <c r="M181" i="34"/>
  <c r="K181" i="34"/>
  <c r="K147" i="33"/>
  <c r="K237" i="33" l="1"/>
  <c r="K236" i="33"/>
  <c r="M185" i="33"/>
  <c r="K185" i="33"/>
  <c r="K169" i="33"/>
  <c r="K151" i="33"/>
  <c r="K139" i="33"/>
  <c r="K137" i="33"/>
  <c r="K133" i="33"/>
  <c r="K132" i="33"/>
  <c r="K60" i="33"/>
  <c r="K45" i="33"/>
  <c r="K44" i="33"/>
  <c r="K25" i="33"/>
  <c r="K24" i="33"/>
  <c r="M240" i="33" l="1"/>
  <c r="M245" i="33" s="1"/>
  <c r="K240" i="33"/>
  <c r="K238" i="33"/>
  <c r="K245" i="33"/>
  <c r="M235" i="33"/>
  <c r="K235" i="33"/>
  <c r="K234" i="33"/>
  <c r="K228" i="33"/>
  <c r="M225" i="33"/>
  <c r="K225" i="33"/>
  <c r="K223" i="33"/>
  <c r="M220" i="33"/>
  <c r="K220" i="33"/>
  <c r="K217" i="33"/>
  <c r="M214" i="33"/>
  <c r="K216" i="33"/>
  <c r="K214" i="33" s="1"/>
  <c r="M215" i="33"/>
  <c r="M211" i="33"/>
  <c r="K213" i="33"/>
  <c r="K211" i="33"/>
  <c r="K210" i="33"/>
  <c r="M207" i="33"/>
  <c r="K208" i="33"/>
  <c r="K207" i="33" s="1"/>
  <c r="K227" i="33" s="1"/>
  <c r="M205" i="33"/>
  <c r="M203" i="33"/>
  <c r="K204" i="33"/>
  <c r="K203" i="33"/>
  <c r="M202" i="33"/>
  <c r="K200" i="33"/>
  <c r="K197" i="33"/>
  <c r="K195" i="33"/>
  <c r="M193" i="33"/>
  <c r="K194" i="33"/>
  <c r="K193" i="33" s="1"/>
  <c r="K192" i="33"/>
  <c r="M191" i="33"/>
  <c r="K191" i="33"/>
  <c r="K189" i="33"/>
  <c r="K188" i="33"/>
  <c r="M184" i="33"/>
  <c r="K183" i="33"/>
  <c r="K182" i="33" s="1"/>
  <c r="M182" i="33"/>
  <c r="K178" i="33"/>
  <c r="K173" i="33" s="1"/>
  <c r="K177" i="33"/>
  <c r="K175" i="33"/>
  <c r="K174" i="33"/>
  <c r="M173" i="33"/>
  <c r="K171" i="33"/>
  <c r="K170" i="33"/>
  <c r="K168" i="33"/>
  <c r="K165" i="33"/>
  <c r="M164" i="33"/>
  <c r="K161" i="33"/>
  <c r="M160" i="33"/>
  <c r="M154" i="33" s="1"/>
  <c r="K160" i="33"/>
  <c r="K154" i="33" s="1"/>
  <c r="M158" i="33"/>
  <c r="K158" i="33"/>
  <c r="K157" i="33"/>
  <c r="K156" i="33"/>
  <c r="K155" i="33"/>
  <c r="K153" i="33"/>
  <c r="K152" i="33"/>
  <c r="K150" i="33"/>
  <c r="K149" i="33" s="1"/>
  <c r="M149" i="33"/>
  <c r="M145" i="33"/>
  <c r="K145" i="33"/>
  <c r="K143" i="33"/>
  <c r="K142" i="33"/>
  <c r="M140" i="33"/>
  <c r="K140" i="33"/>
  <c r="K138" i="33"/>
  <c r="K136" i="33"/>
  <c r="K135" i="33"/>
  <c r="K134" i="33"/>
  <c r="K131" i="33"/>
  <c r="K124" i="33"/>
  <c r="K123" i="33"/>
  <c r="K122" i="33"/>
  <c r="K121" i="33"/>
  <c r="K120" i="33"/>
  <c r="M118" i="33"/>
  <c r="K119" i="33"/>
  <c r="K118" i="33" s="1"/>
  <c r="K112" i="33"/>
  <c r="M110" i="33"/>
  <c r="K110" i="33"/>
  <c r="K107" i="33"/>
  <c r="K106" i="33"/>
  <c r="K105" i="33" s="1"/>
  <c r="M105" i="33"/>
  <c r="K104" i="33"/>
  <c r="M102" i="33"/>
  <c r="K103" i="33"/>
  <c r="K102" i="33" s="1"/>
  <c r="K101" i="33"/>
  <c r="M99" i="33"/>
  <c r="K99" i="33"/>
  <c r="K98" i="33"/>
  <c r="K96" i="33" s="1"/>
  <c r="K94" i="33"/>
  <c r="K93" i="33"/>
  <c r="M92" i="33"/>
  <c r="K92" i="33"/>
  <c r="M89" i="33"/>
  <c r="K88" i="33"/>
  <c r="K86" i="33" s="1"/>
  <c r="K85" i="33" s="1"/>
  <c r="M86" i="33"/>
  <c r="K84" i="33"/>
  <c r="K83" i="33"/>
  <c r="M82" i="33"/>
  <c r="M79" i="33" s="1"/>
  <c r="K81" i="33"/>
  <c r="K79" i="33" s="1"/>
  <c r="K78" i="33"/>
  <c r="K73" i="33" s="1"/>
  <c r="M73" i="33"/>
  <c r="K72" i="33"/>
  <c r="K69" i="33" s="1"/>
  <c r="M70" i="33"/>
  <c r="M69" i="33" s="1"/>
  <c r="M68" i="33"/>
  <c r="M67" i="33"/>
  <c r="K67" i="33"/>
  <c r="K66" i="33"/>
  <c r="M65" i="33"/>
  <c r="K62" i="33"/>
  <c r="K61" i="33"/>
  <c r="K59" i="33"/>
  <c r="M59" i="33"/>
  <c r="K57" i="33"/>
  <c r="K53" i="33"/>
  <c r="M47" i="33"/>
  <c r="K52" i="33"/>
  <c r="K51" i="33"/>
  <c r="K50" i="33"/>
  <c r="K49" i="33"/>
  <c r="K47" i="33" s="1"/>
  <c r="K48" i="33"/>
  <c r="M36" i="33"/>
  <c r="K40" i="33"/>
  <c r="K39" i="33"/>
  <c r="K38" i="33"/>
  <c r="K37" i="33"/>
  <c r="K36" i="33" s="1"/>
  <c r="M34" i="33"/>
  <c r="K34" i="33"/>
  <c r="K31" i="33"/>
  <c r="K28" i="33"/>
  <c r="K27" i="33"/>
  <c r="K26" i="33"/>
  <c r="K22" i="33"/>
  <c r="K21" i="33" s="1"/>
  <c r="M21" i="33"/>
  <c r="M85" i="33" l="1"/>
  <c r="K128" i="33"/>
  <c r="K180" i="33" s="1"/>
  <c r="M128" i="33"/>
  <c r="M227" i="33"/>
  <c r="M236" i="33" s="1"/>
  <c r="M238" i="32"/>
  <c r="M235" i="32"/>
  <c r="M215" i="32"/>
  <c r="M214" i="32"/>
  <c r="M211" i="32"/>
  <c r="M208" i="32"/>
  <c r="M207" i="32"/>
  <c r="M206" i="32"/>
  <c r="M203" i="32"/>
  <c r="M202" i="32"/>
  <c r="M193" i="32"/>
  <c r="M192" i="32"/>
  <c r="M189" i="32"/>
  <c r="M186" i="32"/>
  <c r="M183" i="32"/>
  <c r="M165" i="32"/>
  <c r="M153" i="32"/>
  <c r="M151" i="32"/>
  <c r="M150" i="32"/>
  <c r="M147" i="32"/>
  <c r="M146" i="32"/>
  <c r="M142" i="32"/>
  <c r="M137" i="32"/>
  <c r="M136" i="32"/>
  <c r="M135" i="32"/>
  <c r="M134" i="32"/>
  <c r="M133" i="32"/>
  <c r="M132" i="32"/>
  <c r="M131" i="32"/>
  <c r="M126" i="32"/>
  <c r="M119" i="32"/>
  <c r="M112" i="32"/>
  <c r="M107" i="32"/>
  <c r="M106" i="32"/>
  <c r="M103" i="32"/>
  <c r="M98" i="32"/>
  <c r="M97" i="32"/>
  <c r="M94" i="32"/>
  <c r="M92" i="32"/>
  <c r="M90" i="32"/>
  <c r="M88" i="32"/>
  <c r="M87" i="32"/>
  <c r="M82" i="32"/>
  <c r="M80" i="32"/>
  <c r="M68" i="32"/>
  <c r="M45" i="32"/>
  <c r="M44" i="32"/>
  <c r="M43" i="32"/>
  <c r="M31" i="32"/>
  <c r="M180" i="33" l="1"/>
  <c r="K225" i="32"/>
  <c r="K134" i="32"/>
  <c r="K133" i="32"/>
  <c r="M47" i="32" l="1"/>
  <c r="K47" i="32"/>
  <c r="K85" i="32"/>
  <c r="K60" i="32"/>
  <c r="K215" i="32" l="1"/>
  <c r="K214" i="32"/>
  <c r="K208" i="32"/>
  <c r="K195" i="32"/>
  <c r="K187" i="32"/>
  <c r="K186" i="32"/>
  <c r="K178" i="32"/>
  <c r="K177" i="32"/>
  <c r="K174" i="32"/>
  <c r="K171" i="32"/>
  <c r="K170" i="32"/>
  <c r="K169" i="32"/>
  <c r="K161" i="32"/>
  <c r="K160" i="32"/>
  <c r="K156" i="32"/>
  <c r="K142" i="32"/>
  <c r="K140" i="32"/>
  <c r="K138" i="32"/>
  <c r="K137" i="32"/>
  <c r="K135" i="32"/>
  <c r="K124" i="32"/>
  <c r="K123" i="32"/>
  <c r="K122" i="32"/>
  <c r="K121" i="32"/>
  <c r="K119" i="32"/>
  <c r="K112" i="32"/>
  <c r="K104" i="32"/>
  <c r="K103" i="32"/>
  <c r="K101" i="32"/>
  <c r="K92" i="32"/>
  <c r="K88" i="32"/>
  <c r="K86" i="32" s="1"/>
  <c r="K84" i="32"/>
  <c r="K78" i="32"/>
  <c r="K66" i="32"/>
  <c r="K62" i="32"/>
  <c r="K61" i="32"/>
  <c r="K57" i="32"/>
  <c r="K53" i="32"/>
  <c r="K49" i="32"/>
  <c r="K48" i="32"/>
  <c r="K40" i="32"/>
  <c r="K39" i="32"/>
  <c r="K38" i="32"/>
  <c r="K37" i="32"/>
  <c r="K31" i="32"/>
  <c r="K28" i="32"/>
  <c r="K27" i="32"/>
  <c r="K26" i="32"/>
  <c r="K25" i="32"/>
  <c r="K22" i="32"/>
  <c r="K238" i="32"/>
  <c r="K236" i="32"/>
  <c r="M243" i="32"/>
  <c r="K235" i="32"/>
  <c r="M233" i="32"/>
  <c r="K233" i="32"/>
  <c r="K232" i="32"/>
  <c r="K226" i="32"/>
  <c r="M223" i="32"/>
  <c r="K223" i="32"/>
  <c r="K221" i="32"/>
  <c r="K218" i="32" s="1"/>
  <c r="M218" i="32"/>
  <c r="M212" i="32"/>
  <c r="M213" i="32"/>
  <c r="M209" i="32"/>
  <c r="K211" i="32"/>
  <c r="K209" i="32" s="1"/>
  <c r="K206" i="32"/>
  <c r="K205" i="32" s="1"/>
  <c r="M205" i="32"/>
  <c r="M201" i="32"/>
  <c r="K202" i="32"/>
  <c r="K201" i="32" s="1"/>
  <c r="M200" i="32"/>
  <c r="M198" i="32"/>
  <c r="K198" i="32"/>
  <c r="M195" i="32"/>
  <c r="K193" i="32"/>
  <c r="K192" i="32"/>
  <c r="K191" i="32" s="1"/>
  <c r="M191" i="32"/>
  <c r="K190" i="32"/>
  <c r="K189" i="32"/>
  <c r="M184" i="32"/>
  <c r="K183" i="32"/>
  <c r="K182" i="32"/>
  <c r="K175" i="32"/>
  <c r="M173" i="32"/>
  <c r="M169" i="32"/>
  <c r="K168" i="32"/>
  <c r="K165" i="32"/>
  <c r="M164" i="32"/>
  <c r="M160" i="32"/>
  <c r="M154" i="32" s="1"/>
  <c r="M158" i="32"/>
  <c r="K158" i="32"/>
  <c r="K157" i="32"/>
  <c r="K155" i="32"/>
  <c r="K154" i="32" s="1"/>
  <c r="K153" i="32"/>
  <c r="M152" i="32"/>
  <c r="K152" i="32"/>
  <c r="K151" i="32"/>
  <c r="K150" i="32"/>
  <c r="K148" i="32"/>
  <c r="K145" i="32" s="1"/>
  <c r="M145" i="32"/>
  <c r="K143" i="32"/>
  <c r="M140" i="32"/>
  <c r="M138" i="32"/>
  <c r="K136" i="32"/>
  <c r="K131" i="32"/>
  <c r="M118" i="32"/>
  <c r="K120" i="32"/>
  <c r="M110" i="32"/>
  <c r="K110" i="32"/>
  <c r="M108" i="32"/>
  <c r="K107" i="32"/>
  <c r="K106" i="32"/>
  <c r="K105" i="32" s="1"/>
  <c r="M102" i="32"/>
  <c r="M99" i="32"/>
  <c r="K99" i="32"/>
  <c r="M96" i="32"/>
  <c r="K98" i="32"/>
  <c r="K96" i="32" s="1"/>
  <c r="K94" i="32"/>
  <c r="K93" i="32"/>
  <c r="M89" i="32"/>
  <c r="K83" i="32"/>
  <c r="M79" i="32"/>
  <c r="K81" i="32"/>
  <c r="K79" i="32" s="1"/>
  <c r="M73" i="32"/>
  <c r="K73" i="32"/>
  <c r="K72" i="32"/>
  <c r="K69" i="32" s="1"/>
  <c r="M70" i="32"/>
  <c r="M69" i="32"/>
  <c r="M67" i="32"/>
  <c r="K67" i="32"/>
  <c r="M65" i="32"/>
  <c r="M61" i="32"/>
  <c r="M60" i="32"/>
  <c r="M59" i="32" s="1"/>
  <c r="M52" i="32"/>
  <c r="K52" i="32"/>
  <c r="K51" i="32"/>
  <c r="K50" i="32"/>
  <c r="K45" i="32"/>
  <c r="K44" i="32"/>
  <c r="M36" i="32"/>
  <c r="M34" i="32"/>
  <c r="K34" i="32"/>
  <c r="M21" i="32"/>
  <c r="M225" i="32" l="1"/>
  <c r="M105" i="32"/>
  <c r="K149" i="32"/>
  <c r="M86" i="32"/>
  <c r="M149" i="32"/>
  <c r="M128" i="32" s="1"/>
  <c r="M182" i="32"/>
  <c r="K243" i="32"/>
  <c r="K212" i="32"/>
  <c r="K234" i="32"/>
  <c r="K173" i="32"/>
  <c r="K128" i="32"/>
  <c r="K118" i="32"/>
  <c r="K102" i="32"/>
  <c r="K59" i="32"/>
  <c r="K36" i="32"/>
  <c r="K21" i="32"/>
  <c r="M235" i="31"/>
  <c r="M232" i="31"/>
  <c r="M213" i="31"/>
  <c r="M212" i="31"/>
  <c r="M209" i="31"/>
  <c r="M206" i="31"/>
  <c r="M205" i="31"/>
  <c r="M204" i="31"/>
  <c r="M201" i="31"/>
  <c r="M200" i="31"/>
  <c r="M193" i="31"/>
  <c r="M191" i="31"/>
  <c r="M190" i="31"/>
  <c r="M189" i="31" s="1"/>
  <c r="M184" i="31"/>
  <c r="M182" i="31"/>
  <c r="M181" i="31"/>
  <c r="M167" i="31"/>
  <c r="M163" i="31"/>
  <c r="M156" i="31"/>
  <c r="M151" i="31"/>
  <c r="M149" i="31"/>
  <c r="M148" i="31"/>
  <c r="M145" i="31"/>
  <c r="M144" i="31"/>
  <c r="M140" i="31"/>
  <c r="M138" i="31"/>
  <c r="M135" i="31"/>
  <c r="M134" i="31"/>
  <c r="M133" i="31"/>
  <c r="M132" i="31"/>
  <c r="M131" i="31"/>
  <c r="M130" i="31"/>
  <c r="M129" i="31"/>
  <c r="M124" i="31"/>
  <c r="M117" i="31"/>
  <c r="M110" i="31"/>
  <c r="M108" i="31"/>
  <c r="M105" i="31"/>
  <c r="M104" i="31"/>
  <c r="M103" i="31" s="1"/>
  <c r="M101" i="31"/>
  <c r="M95" i="31"/>
  <c r="M92" i="31"/>
  <c r="M89" i="31"/>
  <c r="M87" i="31"/>
  <c r="M86" i="31"/>
  <c r="M85" i="31" s="1"/>
  <c r="M81" i="31"/>
  <c r="M78" i="31" s="1"/>
  <c r="M79" i="31"/>
  <c r="M64" i="31"/>
  <c r="M60" i="31"/>
  <c r="M59" i="31"/>
  <c r="M52" i="31"/>
  <c r="M47" i="31"/>
  <c r="M45" i="31"/>
  <c r="M44" i="31"/>
  <c r="M43" i="31"/>
  <c r="M31" i="31"/>
  <c r="M240" i="31"/>
  <c r="K235" i="31"/>
  <c r="K240" i="31" s="1"/>
  <c r="K233" i="31"/>
  <c r="K232" i="31"/>
  <c r="M230" i="31"/>
  <c r="K230" i="31"/>
  <c r="K229" i="31"/>
  <c r="K223" i="31"/>
  <c r="M220" i="31"/>
  <c r="K220" i="31"/>
  <c r="K218" i="31"/>
  <c r="K215" i="31" s="1"/>
  <c r="M215" i="31"/>
  <c r="M210" i="31"/>
  <c r="K212" i="31"/>
  <c r="M211" i="31"/>
  <c r="K210" i="31"/>
  <c r="K209" i="31"/>
  <c r="M207" i="31"/>
  <c r="K207" i="31"/>
  <c r="K206" i="31"/>
  <c r="M203" i="31"/>
  <c r="K204" i="31"/>
  <c r="K203" i="31"/>
  <c r="K222" i="31" s="1"/>
  <c r="M199" i="31"/>
  <c r="K200" i="31"/>
  <c r="K199" i="31"/>
  <c r="M198" i="31"/>
  <c r="M196" i="31"/>
  <c r="K196" i="31"/>
  <c r="K193" i="31"/>
  <c r="K191" i="31"/>
  <c r="K190" i="31"/>
  <c r="K189" i="31"/>
  <c r="K188" i="31"/>
  <c r="M187" i="31"/>
  <c r="K187" i="31"/>
  <c r="K185" i="31"/>
  <c r="K184" i="31"/>
  <c r="K181" i="31"/>
  <c r="K180" i="31" s="1"/>
  <c r="M180" i="31"/>
  <c r="K173" i="31"/>
  <c r="K171" i="31" s="1"/>
  <c r="M171" i="31"/>
  <c r="K167" i="31"/>
  <c r="K166" i="31"/>
  <c r="K163" i="31"/>
  <c r="M162" i="31"/>
  <c r="K159" i="31"/>
  <c r="M158" i="31"/>
  <c r="K158" i="31"/>
  <c r="K156" i="31"/>
  <c r="K155" i="31"/>
  <c r="K152" i="31" s="1"/>
  <c r="K153" i="31"/>
  <c r="K151" i="31"/>
  <c r="M150" i="31"/>
  <c r="K150" i="31"/>
  <c r="K149" i="31"/>
  <c r="K148" i="31"/>
  <c r="K147" i="31" s="1"/>
  <c r="M147" i="31"/>
  <c r="K146" i="31"/>
  <c r="M143" i="31"/>
  <c r="K143" i="31"/>
  <c r="K141" i="31"/>
  <c r="K140" i="31"/>
  <c r="M136" i="31"/>
  <c r="K135" i="31"/>
  <c r="K134" i="31"/>
  <c r="K133" i="31"/>
  <c r="K132" i="31"/>
  <c r="K129" i="31"/>
  <c r="K118" i="31"/>
  <c r="M116" i="31"/>
  <c r="K117" i="31"/>
  <c r="K116" i="31"/>
  <c r="K108" i="31"/>
  <c r="M106" i="31"/>
  <c r="K105" i="31"/>
  <c r="K104" i="31"/>
  <c r="K103" i="31" s="1"/>
  <c r="K101" i="31"/>
  <c r="K100" i="31" s="1"/>
  <c r="M100" i="31"/>
  <c r="M97" i="31"/>
  <c r="K97" i="31"/>
  <c r="M96" i="31"/>
  <c r="M94" i="31" s="1"/>
  <c r="K96" i="31"/>
  <c r="K94" i="31"/>
  <c r="K84" i="31" s="1"/>
  <c r="K92" i="31"/>
  <c r="K91" i="31"/>
  <c r="M88" i="31"/>
  <c r="K85" i="31"/>
  <c r="K83" i="31"/>
  <c r="K82" i="31"/>
  <c r="K80" i="31"/>
  <c r="K78" i="31" s="1"/>
  <c r="M72" i="31"/>
  <c r="K72" i="31"/>
  <c r="K71" i="31"/>
  <c r="M69" i="31"/>
  <c r="M68" i="31"/>
  <c r="K68" i="31"/>
  <c r="M66" i="31"/>
  <c r="K66" i="31"/>
  <c r="K65" i="31"/>
  <c r="K58" i="31" s="1"/>
  <c r="K60" i="31"/>
  <c r="K59" i="31"/>
  <c r="M58" i="31"/>
  <c r="K52" i="31"/>
  <c r="K51" i="31"/>
  <c r="K50" i="31"/>
  <c r="K48" i="31"/>
  <c r="K47" i="31"/>
  <c r="K45" i="31"/>
  <c r="K44" i="31"/>
  <c r="K36" i="31" s="1"/>
  <c r="M34" i="31"/>
  <c r="K34" i="31"/>
  <c r="K31" i="31"/>
  <c r="M21" i="31"/>
  <c r="K21" i="31"/>
  <c r="M234" i="32" l="1"/>
  <c r="M85" i="32"/>
  <c r="M180" i="32" s="1"/>
  <c r="K180" i="32"/>
  <c r="M152" i="31"/>
  <c r="M126" i="31"/>
  <c r="M84" i="31"/>
  <c r="M36" i="31"/>
  <c r="K126" i="31"/>
  <c r="K178" i="31" s="1"/>
  <c r="K231" i="31"/>
  <c r="M222" i="31"/>
  <c r="M231" i="31" s="1"/>
  <c r="K129" i="29"/>
  <c r="K127" i="28"/>
  <c r="K130" i="29"/>
  <c r="K128" i="29"/>
  <c r="M178" i="31" l="1"/>
  <c r="M240" i="36"/>
  <c r="K235" i="36"/>
  <c r="K233" i="36"/>
  <c r="K240" i="36" s="1"/>
  <c r="K232" i="36"/>
  <c r="M230" i="36"/>
  <c r="K230" i="36"/>
  <c r="K229" i="36"/>
  <c r="K223" i="36"/>
  <c r="M220" i="36"/>
  <c r="K220" i="36"/>
  <c r="K218" i="36"/>
  <c r="M215" i="36"/>
  <c r="K215" i="36"/>
  <c r="M213" i="36"/>
  <c r="M212" i="36"/>
  <c r="M210" i="36" s="1"/>
  <c r="K212" i="36"/>
  <c r="M211" i="36"/>
  <c r="K210" i="36"/>
  <c r="M209" i="36"/>
  <c r="K209" i="36"/>
  <c r="M207" i="36"/>
  <c r="K207" i="36"/>
  <c r="M206" i="36"/>
  <c r="K206" i="36"/>
  <c r="M205" i="36"/>
  <c r="M204" i="36"/>
  <c r="K204" i="36"/>
  <c r="M203" i="36"/>
  <c r="K203" i="36"/>
  <c r="K222" i="36" s="1"/>
  <c r="M201" i="36"/>
  <c r="M199" i="36" s="1"/>
  <c r="M200" i="36"/>
  <c r="K200" i="36"/>
  <c r="K199" i="36"/>
  <c r="M198" i="36"/>
  <c r="M196" i="36"/>
  <c r="K196" i="36"/>
  <c r="M193" i="36"/>
  <c r="K193" i="36"/>
  <c r="M191" i="36"/>
  <c r="K191" i="36"/>
  <c r="M190" i="36"/>
  <c r="K190" i="36"/>
  <c r="M189" i="36"/>
  <c r="K189" i="36"/>
  <c r="K188" i="36"/>
  <c r="M187" i="36"/>
  <c r="K187" i="36"/>
  <c r="K185" i="36"/>
  <c r="M184" i="36"/>
  <c r="K184" i="36"/>
  <c r="M181" i="36"/>
  <c r="K181" i="36"/>
  <c r="M180" i="36"/>
  <c r="K180" i="36"/>
  <c r="K231" i="36" s="1"/>
  <c r="K173" i="36"/>
  <c r="M171" i="36"/>
  <c r="K171" i="36"/>
  <c r="K167" i="36"/>
  <c r="K166" i="36"/>
  <c r="M163" i="36"/>
  <c r="K163" i="36"/>
  <c r="M162" i="36"/>
  <c r="K159" i="36"/>
  <c r="M158" i="36"/>
  <c r="K158" i="36"/>
  <c r="K156" i="36"/>
  <c r="K155" i="36"/>
  <c r="K152" i="36" s="1"/>
  <c r="K153" i="36"/>
  <c r="M152" i="36"/>
  <c r="M151" i="36"/>
  <c r="K151" i="36"/>
  <c r="M150" i="36"/>
  <c r="K150" i="36"/>
  <c r="M149" i="36"/>
  <c r="K149" i="36"/>
  <c r="M148" i="36"/>
  <c r="K148" i="36"/>
  <c r="M147" i="36"/>
  <c r="K147" i="36"/>
  <c r="K146" i="36"/>
  <c r="M145" i="36"/>
  <c r="M144" i="36"/>
  <c r="M143" i="36" s="1"/>
  <c r="M126" i="36" s="1"/>
  <c r="K143" i="36"/>
  <c r="K126" i="36" s="1"/>
  <c r="K141" i="36"/>
  <c r="M140" i="36"/>
  <c r="K140" i="36"/>
  <c r="M138" i="36"/>
  <c r="M136" i="36"/>
  <c r="M135" i="36"/>
  <c r="K135" i="36"/>
  <c r="M134" i="36"/>
  <c r="K134" i="36"/>
  <c r="M133" i="36"/>
  <c r="K133" i="36"/>
  <c r="M132" i="36"/>
  <c r="K132" i="36"/>
  <c r="M131" i="36"/>
  <c r="M130" i="36"/>
  <c r="M129" i="36"/>
  <c r="K129" i="36"/>
  <c r="M124" i="36"/>
  <c r="K118" i="36"/>
  <c r="M117" i="36"/>
  <c r="K117" i="36"/>
  <c r="M116" i="36"/>
  <c r="K116" i="36"/>
  <c r="M110" i="36"/>
  <c r="M108" i="36"/>
  <c r="K108" i="36"/>
  <c r="M106" i="36"/>
  <c r="M105" i="36"/>
  <c r="K105" i="36"/>
  <c r="M104" i="36"/>
  <c r="K104" i="36"/>
  <c r="M103" i="36"/>
  <c r="K103" i="36"/>
  <c r="M101" i="36"/>
  <c r="K101" i="36"/>
  <c r="M100" i="36"/>
  <c r="K100" i="36"/>
  <c r="M97" i="36"/>
  <c r="K97" i="36"/>
  <c r="M96" i="36"/>
  <c r="K96" i="36"/>
  <c r="M95" i="36"/>
  <c r="M94" i="36" s="1"/>
  <c r="M84" i="36" s="1"/>
  <c r="K94" i="36"/>
  <c r="M92" i="36"/>
  <c r="K92" i="36"/>
  <c r="K84" i="36" s="1"/>
  <c r="K91" i="36"/>
  <c r="M89" i="36"/>
  <c r="M88" i="36"/>
  <c r="M87" i="36"/>
  <c r="M86" i="36"/>
  <c r="M85" i="36"/>
  <c r="K85" i="36"/>
  <c r="K83" i="36"/>
  <c r="K82" i="36"/>
  <c r="M81" i="36"/>
  <c r="K80" i="36"/>
  <c r="M79" i="36"/>
  <c r="M78" i="36" s="1"/>
  <c r="K78" i="36"/>
  <c r="M72" i="36"/>
  <c r="K72" i="36"/>
  <c r="K71" i="36"/>
  <c r="M69" i="36"/>
  <c r="M68" i="36" s="1"/>
  <c r="K68" i="36"/>
  <c r="M66" i="36"/>
  <c r="K66" i="36"/>
  <c r="K65" i="36"/>
  <c r="M60" i="36"/>
  <c r="K60" i="36"/>
  <c r="M59" i="36"/>
  <c r="K59" i="36"/>
  <c r="M58" i="36"/>
  <c r="K58" i="36"/>
  <c r="M52" i="36"/>
  <c r="M47" i="36" s="1"/>
  <c r="K52" i="36"/>
  <c r="K51" i="36"/>
  <c r="K50" i="36"/>
  <c r="K48" i="36"/>
  <c r="K47" i="36"/>
  <c r="M45" i="36"/>
  <c r="K45" i="36"/>
  <c r="M44" i="36"/>
  <c r="K44" i="36"/>
  <c r="K36" i="36" s="1"/>
  <c r="M43" i="36"/>
  <c r="M36" i="36"/>
  <c r="M34" i="36"/>
  <c r="M178" i="36" s="1"/>
  <c r="K34" i="36"/>
  <c r="K31" i="36"/>
  <c r="M21" i="36"/>
  <c r="K21" i="36"/>
  <c r="K178" i="36" s="1"/>
  <c r="M222" i="36" l="1"/>
  <c r="M231" i="36" s="1"/>
  <c r="M210" i="29" l="1"/>
  <c r="M209" i="29"/>
  <c r="M206" i="29"/>
  <c r="M203" i="29"/>
  <c r="M202" i="29"/>
  <c r="M201" i="29"/>
  <c r="M197" i="29"/>
  <c r="M190" i="29"/>
  <c r="M188" i="29"/>
  <c r="M187" i="29"/>
  <c r="M184" i="29"/>
  <c r="M181" i="29"/>
  <c r="M178" i="29"/>
  <c r="M160" i="29"/>
  <c r="M148" i="29"/>
  <c r="M147" i="29"/>
  <c r="M146" i="29"/>
  <c r="M145" i="29"/>
  <c r="M142" i="29"/>
  <c r="M141" i="29"/>
  <c r="M137" i="29"/>
  <c r="M132" i="29"/>
  <c r="M131" i="29"/>
  <c r="M130" i="29"/>
  <c r="M129" i="29"/>
  <c r="M128" i="29"/>
  <c r="M127" i="29"/>
  <c r="M126" i="29"/>
  <c r="M121" i="29"/>
  <c r="M107" i="29"/>
  <c r="M105" i="29"/>
  <c r="M103" i="29"/>
  <c r="M102" i="29"/>
  <c r="M99" i="29"/>
  <c r="M96" i="29"/>
  <c r="M95" i="29"/>
  <c r="M92" i="29"/>
  <c r="M89" i="29"/>
  <c r="M87" i="29"/>
  <c r="M86" i="29"/>
  <c r="M81" i="29"/>
  <c r="M79" i="29"/>
  <c r="M60" i="29"/>
  <c r="M45" i="29"/>
  <c r="M44" i="29"/>
  <c r="M43" i="29"/>
  <c r="K149" i="29" l="1"/>
  <c r="M149" i="29"/>
  <c r="K147" i="29"/>
  <c r="K146" i="29"/>
  <c r="K83" i="29" l="1"/>
  <c r="K188" i="29"/>
  <c r="K187" i="29"/>
  <c r="K190" i="29"/>
  <c r="K184" i="29"/>
  <c r="M237" i="29"/>
  <c r="K237" i="29"/>
  <c r="K230" i="29"/>
  <c r="K84" i="29"/>
  <c r="K138" i="29"/>
  <c r="K132" i="29"/>
  <c r="K123" i="29"/>
  <c r="M58" i="29"/>
  <c r="K58" i="29"/>
  <c r="K65" i="29"/>
  <c r="M212" i="29"/>
  <c r="K212" i="29"/>
  <c r="K215" i="29"/>
  <c r="K59" i="29"/>
  <c r="K60" i="29"/>
  <c r="K181" i="29"/>
  <c r="K156" i="29"/>
  <c r="K164" i="29"/>
  <c r="K160" i="29"/>
  <c r="K163" i="29"/>
  <c r="K105" i="29"/>
  <c r="K217" i="29"/>
  <c r="M217" i="29"/>
  <c r="K232" i="29"/>
  <c r="K229" i="29"/>
  <c r="M227" i="29"/>
  <c r="K227" i="29"/>
  <c r="K226" i="29"/>
  <c r="K220" i="29"/>
  <c r="M207" i="29"/>
  <c r="K209" i="29"/>
  <c r="K207" i="29"/>
  <c r="M204" i="29"/>
  <c r="K206" i="29"/>
  <c r="K204" i="29"/>
  <c r="K203" i="29"/>
  <c r="M200" i="29"/>
  <c r="K201" i="29"/>
  <c r="K200" i="29" s="1"/>
  <c r="M198" i="29"/>
  <c r="M196" i="29"/>
  <c r="K197" i="29"/>
  <c r="K196" i="29"/>
  <c r="M193" i="29"/>
  <c r="K193" i="29"/>
  <c r="K186" i="29"/>
  <c r="M186" i="29"/>
  <c r="K185" i="29"/>
  <c r="K182" i="29"/>
  <c r="M177" i="29"/>
  <c r="K178" i="29"/>
  <c r="K177" i="29" s="1"/>
  <c r="K170" i="29"/>
  <c r="M168" i="29"/>
  <c r="K168" i="29"/>
  <c r="M159" i="29"/>
  <c r="M155" i="29"/>
  <c r="K155" i="29"/>
  <c r="K153" i="29"/>
  <c r="K152" i="29"/>
  <c r="K150" i="29"/>
  <c r="K148" i="29"/>
  <c r="M144" i="29"/>
  <c r="K144" i="29"/>
  <c r="K143" i="29"/>
  <c r="M140" i="29"/>
  <c r="M123" i="29" s="1"/>
  <c r="K140" i="29"/>
  <c r="K137" i="29"/>
  <c r="M133" i="29"/>
  <c r="K131" i="29"/>
  <c r="K115" i="29"/>
  <c r="M114" i="29"/>
  <c r="K114" i="29"/>
  <c r="M113" i="29"/>
  <c r="K113" i="29"/>
  <c r="M104" i="29"/>
  <c r="K103" i="29"/>
  <c r="K102" i="29"/>
  <c r="M101" i="29"/>
  <c r="K101" i="29"/>
  <c r="K99" i="29"/>
  <c r="M98" i="29"/>
  <c r="K98" i="29"/>
  <c r="M97" i="29"/>
  <c r="K97" i="29"/>
  <c r="M94" i="29"/>
  <c r="K96" i="29"/>
  <c r="K94" i="29" s="1"/>
  <c r="K92" i="29"/>
  <c r="K91" i="29"/>
  <c r="M88" i="29"/>
  <c r="M85" i="29" s="1"/>
  <c r="K85" i="29"/>
  <c r="K82" i="29"/>
  <c r="K80" i="29"/>
  <c r="K78" i="29" s="1"/>
  <c r="M78" i="29"/>
  <c r="M72" i="29"/>
  <c r="K72" i="29"/>
  <c r="K71" i="29"/>
  <c r="K68" i="29" s="1"/>
  <c r="M69" i="29"/>
  <c r="M68" i="29"/>
  <c r="M66" i="29"/>
  <c r="K66" i="29"/>
  <c r="M52" i="29"/>
  <c r="K52" i="29"/>
  <c r="K51" i="29"/>
  <c r="K50" i="29"/>
  <c r="K48" i="29"/>
  <c r="M47" i="29"/>
  <c r="K47" i="29"/>
  <c r="K45" i="29"/>
  <c r="M36" i="29"/>
  <c r="K44" i="29"/>
  <c r="K36" i="29" s="1"/>
  <c r="M34" i="29"/>
  <c r="K34" i="29"/>
  <c r="K31" i="29"/>
  <c r="M21" i="29"/>
  <c r="K21" i="29"/>
  <c r="M219" i="29" l="1"/>
  <c r="M228" i="29" s="1"/>
  <c r="M84" i="29"/>
  <c r="K219" i="29"/>
  <c r="K228" i="29" s="1"/>
  <c r="M175" i="29"/>
  <c r="K175" i="29"/>
  <c r="K204" i="28"/>
  <c r="K144" i="28"/>
  <c r="K143" i="28"/>
  <c r="K128" i="28"/>
  <c r="K130" i="28"/>
  <c r="M197" i="28" l="1"/>
  <c r="M172" i="28"/>
  <c r="M146" i="28"/>
  <c r="M145" i="28"/>
  <c r="M144" i="28"/>
  <c r="M143" i="28"/>
  <c r="M142" i="28"/>
  <c r="M205" i="28" l="1"/>
  <c r="M204" i="28"/>
  <c r="M201" i="28"/>
  <c r="M198" i="28"/>
  <c r="M196" i="28"/>
  <c r="M192" i="28"/>
  <c r="M185" i="28"/>
  <c r="M188" i="28"/>
  <c r="M184" i="28"/>
  <c r="M183" i="28"/>
  <c r="M178" i="28"/>
  <c r="M175" i="28"/>
  <c r="M157" i="28"/>
  <c r="M139" i="28"/>
  <c r="M138" i="28"/>
  <c r="M130" i="28"/>
  <c r="M129" i="28"/>
  <c r="M128" i="28"/>
  <c r="M127" i="28"/>
  <c r="M126" i="28"/>
  <c r="M125" i="28"/>
  <c r="M124" i="28"/>
  <c r="M119" i="28"/>
  <c r="M105" i="28"/>
  <c r="M101" i="28"/>
  <c r="M100" i="28"/>
  <c r="M97" i="28"/>
  <c r="M95" i="28"/>
  <c r="M94" i="28"/>
  <c r="M93" i="28"/>
  <c r="M90" i="28"/>
  <c r="M88" i="28"/>
  <c r="M86" i="28"/>
  <c r="M85" i="28"/>
  <c r="M78" i="28"/>
  <c r="M52" i="28"/>
  <c r="M45" i="28"/>
  <c r="M44" i="28"/>
  <c r="M43" i="28"/>
  <c r="K209" i="28" l="1"/>
  <c r="K207" i="28" s="1"/>
  <c r="K31" i="28"/>
  <c r="K21" i="28" s="1"/>
  <c r="K221" i="28"/>
  <c r="K60" i="28"/>
  <c r="K59" i="28"/>
  <c r="K188" i="28"/>
  <c r="M202" i="28"/>
  <c r="K202" i="28"/>
  <c r="K145" i="28"/>
  <c r="K58" i="28"/>
  <c r="K113" i="28"/>
  <c r="K97" i="28"/>
  <c r="K96" i="28" s="1"/>
  <c r="K225" i="28"/>
  <c r="M227" i="28"/>
  <c r="K223" i="28"/>
  <c r="M221" i="28"/>
  <c r="K220" i="28"/>
  <c r="K214" i="28"/>
  <c r="M211" i="28"/>
  <c r="K211" i="28"/>
  <c r="M207" i="28"/>
  <c r="K201" i="28"/>
  <c r="K199" i="28" s="1"/>
  <c r="M199" i="28"/>
  <c r="K198" i="28"/>
  <c r="M195" i="28"/>
  <c r="K196" i="28"/>
  <c r="K195" i="28"/>
  <c r="M193" i="28"/>
  <c r="K192" i="28"/>
  <c r="K191" i="28" s="1"/>
  <c r="M191" i="28"/>
  <c r="K185" i="28"/>
  <c r="K184" i="28"/>
  <c r="M182" i="28"/>
  <c r="K183" i="28"/>
  <c r="K182" i="28" s="1"/>
  <c r="K181" i="28"/>
  <c r="K180" i="28"/>
  <c r="K179" i="28"/>
  <c r="K178" i="28"/>
  <c r="M174" i="28"/>
  <c r="K175" i="28"/>
  <c r="K174" i="28"/>
  <c r="K167" i="28"/>
  <c r="M165" i="28"/>
  <c r="K165" i="28"/>
  <c r="K160" i="28"/>
  <c r="K159" i="28" s="1"/>
  <c r="M156" i="28"/>
  <c r="K153" i="28"/>
  <c r="M152" i="28"/>
  <c r="K152" i="28"/>
  <c r="K150" i="28"/>
  <c r="K149" i="28"/>
  <c r="K147" i="28"/>
  <c r="M141" i="28"/>
  <c r="M121" i="28" s="1"/>
  <c r="K141" i="28"/>
  <c r="K140" i="28"/>
  <c r="M137" i="28"/>
  <c r="K137" i="28"/>
  <c r="M134" i="28"/>
  <c r="K134" i="28"/>
  <c r="K121" i="28" s="1"/>
  <c r="M131" i="28"/>
  <c r="K129" i="28"/>
  <c r="K126" i="28"/>
  <c r="M111" i="28"/>
  <c r="M112" i="28"/>
  <c r="K112" i="28"/>
  <c r="K111" i="28"/>
  <c r="M102" i="28"/>
  <c r="K101" i="28"/>
  <c r="K100" i="28"/>
  <c r="M99" i="28"/>
  <c r="K99" i="28"/>
  <c r="M96" i="28"/>
  <c r="K95" i="28"/>
  <c r="K94" i="28"/>
  <c r="K92" i="28" s="1"/>
  <c r="M92" i="28"/>
  <c r="K90" i="28"/>
  <c r="K89" i="28"/>
  <c r="M87" i="28"/>
  <c r="M84" i="28"/>
  <c r="K84" i="28"/>
  <c r="K82" i="28"/>
  <c r="K81" i="28"/>
  <c r="M80" i="28"/>
  <c r="M77" i="28" s="1"/>
  <c r="K79" i="28"/>
  <c r="K77" i="28"/>
  <c r="M71" i="28"/>
  <c r="K71" i="28"/>
  <c r="K70" i="28"/>
  <c r="K67" i="28" s="1"/>
  <c r="M68" i="28"/>
  <c r="M67" i="28" s="1"/>
  <c r="M65" i="28"/>
  <c r="K65" i="28"/>
  <c r="M58" i="28"/>
  <c r="K52" i="28"/>
  <c r="K51" i="28"/>
  <c r="K50" i="28"/>
  <c r="K47" i="28" s="1"/>
  <c r="K48" i="28"/>
  <c r="M47" i="28"/>
  <c r="K45" i="28"/>
  <c r="K36" i="28" s="1"/>
  <c r="K44" i="28"/>
  <c r="M36" i="28"/>
  <c r="M34" i="28"/>
  <c r="K34" i="28"/>
  <c r="M21" i="28"/>
  <c r="M213" i="28" l="1"/>
  <c r="M222" i="28" s="1"/>
  <c r="K213" i="28"/>
  <c r="K222" i="28" s="1"/>
  <c r="K83" i="28"/>
  <c r="K227" i="28"/>
  <c r="K172" i="28"/>
  <c r="M83" i="28"/>
  <c r="K146" i="28"/>
  <c r="M204" i="27"/>
  <c r="M203" i="27"/>
  <c r="M201" i="27"/>
  <c r="M198" i="27"/>
  <c r="M197" i="27"/>
  <c r="M196" i="27"/>
  <c r="M193" i="27"/>
  <c r="M192" i="27"/>
  <c r="M185" i="27"/>
  <c r="M184" i="27"/>
  <c r="M183" i="27"/>
  <c r="M178" i="27"/>
  <c r="M175" i="27"/>
  <c r="M152" i="27"/>
  <c r="M145" i="27"/>
  <c r="M144" i="27"/>
  <c r="M143" i="27"/>
  <c r="M142" i="27"/>
  <c r="M139" i="27"/>
  <c r="M138" i="27"/>
  <c r="M134" i="27"/>
  <c r="M130" i="27"/>
  <c r="M129" i="27"/>
  <c r="M128" i="27"/>
  <c r="M127" i="27"/>
  <c r="M126" i="27"/>
  <c r="M125" i="27"/>
  <c r="M124" i="27"/>
  <c r="M119" i="27"/>
  <c r="M105" i="27"/>
  <c r="M102" i="27"/>
  <c r="M101" i="27"/>
  <c r="M100" i="27"/>
  <c r="M97" i="27"/>
  <c r="M93" i="27"/>
  <c r="M90" i="27"/>
  <c r="M88" i="27"/>
  <c r="M86" i="27"/>
  <c r="M85" i="27"/>
  <c r="M80" i="27"/>
  <c r="M78" i="27"/>
  <c r="M68" i="27"/>
  <c r="M45" i="27"/>
  <c r="M44" i="27"/>
  <c r="M43" i="27"/>
  <c r="M141" i="27" l="1"/>
  <c r="K224" i="27"/>
  <c r="K95" i="27"/>
  <c r="K94" i="27"/>
  <c r="K82" i="27"/>
  <c r="K60" i="27"/>
  <c r="K59" i="27"/>
  <c r="K31" i="27"/>
  <c r="K70" i="27"/>
  <c r="K97" i="27"/>
  <c r="M226" i="27"/>
  <c r="K226" i="27"/>
  <c r="K221" i="27"/>
  <c r="K184" i="27"/>
  <c r="K183" i="27"/>
  <c r="K126" i="27"/>
  <c r="K134" i="27"/>
  <c r="K128" i="27"/>
  <c r="K51" i="27"/>
  <c r="K52" i="27"/>
  <c r="K112" i="27"/>
  <c r="K101" i="27"/>
  <c r="K99" i="27" s="1"/>
  <c r="K100" i="27"/>
  <c r="K222" i="27"/>
  <c r="M220" i="27"/>
  <c r="K219" i="27"/>
  <c r="K213" i="27"/>
  <c r="M210" i="27"/>
  <c r="K210" i="27"/>
  <c r="K208" i="27"/>
  <c r="K206" i="27" s="1"/>
  <c r="M206" i="27"/>
  <c r="M202" i="27"/>
  <c r="K203" i="27"/>
  <c r="K202" i="27"/>
  <c r="M199" i="27"/>
  <c r="K201" i="27"/>
  <c r="K199" i="27"/>
  <c r="K198" i="27"/>
  <c r="M195" i="27"/>
  <c r="K196" i="27"/>
  <c r="K195" i="27" s="1"/>
  <c r="K212" i="27" s="1"/>
  <c r="M191" i="27"/>
  <c r="K192" i="27"/>
  <c r="K191" i="27" s="1"/>
  <c r="M188" i="27"/>
  <c r="K185" i="27"/>
  <c r="M182" i="27"/>
  <c r="K182" i="27"/>
  <c r="K181" i="27"/>
  <c r="K180" i="27"/>
  <c r="K179" i="27"/>
  <c r="K178" i="27"/>
  <c r="M174" i="27"/>
  <c r="K175" i="27"/>
  <c r="K174" i="27"/>
  <c r="K167" i="27"/>
  <c r="M165" i="27"/>
  <c r="K165" i="27"/>
  <c r="K160" i="27"/>
  <c r="K159" i="27"/>
  <c r="M156" i="27"/>
  <c r="M146" i="27" s="1"/>
  <c r="K153" i="27"/>
  <c r="K152" i="27"/>
  <c r="K150" i="27"/>
  <c r="K149" i="27"/>
  <c r="K147" i="27"/>
  <c r="K146" i="27" s="1"/>
  <c r="M121" i="27"/>
  <c r="K141" i="27"/>
  <c r="K140" i="27"/>
  <c r="M137" i="27"/>
  <c r="K137" i="27"/>
  <c r="M131" i="27"/>
  <c r="K130" i="27"/>
  <c r="K129" i="27"/>
  <c r="K127" i="27"/>
  <c r="K121" i="27" s="1"/>
  <c r="M112" i="27"/>
  <c r="M111" i="27"/>
  <c r="K111" i="27"/>
  <c r="M99" i="27"/>
  <c r="M96" i="27"/>
  <c r="K96" i="27"/>
  <c r="M94" i="27"/>
  <c r="K92" i="27"/>
  <c r="K83" i="27" s="1"/>
  <c r="M92" i="27"/>
  <c r="K90" i="27"/>
  <c r="K89" i="27"/>
  <c r="M87" i="27"/>
  <c r="M84" i="27"/>
  <c r="M83" i="27" s="1"/>
  <c r="K84" i="27"/>
  <c r="K81" i="27"/>
  <c r="M77" i="27"/>
  <c r="K79" i="27"/>
  <c r="K77" i="27" s="1"/>
  <c r="M71" i="27"/>
  <c r="K71" i="27"/>
  <c r="M67" i="27"/>
  <c r="K67" i="27"/>
  <c r="M65" i="27"/>
  <c r="K65" i="27"/>
  <c r="M58" i="27"/>
  <c r="K58" i="27"/>
  <c r="K50" i="27"/>
  <c r="K47" i="27" s="1"/>
  <c r="K48" i="27"/>
  <c r="M47" i="27"/>
  <c r="K45" i="27"/>
  <c r="M36" i="27"/>
  <c r="K44" i="27"/>
  <c r="K36" i="27"/>
  <c r="M34" i="27"/>
  <c r="K34" i="27"/>
  <c r="K21" i="27"/>
  <c r="M21" i="27"/>
  <c r="M212" i="27" l="1"/>
  <c r="M221" i="27" s="1"/>
  <c r="K172" i="27"/>
  <c r="M172" i="27"/>
  <c r="M217" i="26"/>
  <c r="M207" i="26"/>
  <c r="M201" i="26"/>
  <c r="M200" i="26"/>
  <c r="M198" i="26"/>
  <c r="M195" i="26"/>
  <c r="M194" i="26"/>
  <c r="M193" i="26"/>
  <c r="M189" i="26"/>
  <c r="M183" i="26"/>
  <c r="M182" i="26"/>
  <c r="M181" i="26"/>
  <c r="M176" i="26"/>
  <c r="M174" i="26"/>
  <c r="M144" i="26"/>
  <c r="M143" i="26"/>
  <c r="M142" i="26"/>
  <c r="M141" i="26"/>
  <c r="M138" i="26"/>
  <c r="M136" i="26" s="1"/>
  <c r="M137" i="26"/>
  <c r="M133" i="26"/>
  <c r="M130" i="26"/>
  <c r="M129" i="26"/>
  <c r="M128" i="26"/>
  <c r="M127" i="26"/>
  <c r="M126" i="26"/>
  <c r="M125" i="26"/>
  <c r="M124" i="26"/>
  <c r="M123" i="26"/>
  <c r="M118" i="26"/>
  <c r="M111" i="26"/>
  <c r="M104" i="26"/>
  <c r="M101" i="26"/>
  <c r="M100" i="26"/>
  <c r="M97" i="26"/>
  <c r="M94" i="26"/>
  <c r="M93" i="26"/>
  <c r="M90" i="26"/>
  <c r="M88" i="26"/>
  <c r="M86" i="26"/>
  <c r="M85" i="26"/>
  <c r="M80" i="26"/>
  <c r="M78" i="26"/>
  <c r="M45" i="26"/>
  <c r="M44" i="26"/>
  <c r="M43" i="26"/>
  <c r="K207" i="26" l="1"/>
  <c r="M222" i="26" l="1"/>
  <c r="K222" i="26"/>
  <c r="K219" i="26"/>
  <c r="K166" i="26"/>
  <c r="K149" i="26"/>
  <c r="K148" i="26"/>
  <c r="K146" i="26"/>
  <c r="K127" i="26"/>
  <c r="K126" i="26"/>
  <c r="K95" i="26"/>
  <c r="K94" i="26"/>
  <c r="K70" i="26"/>
  <c r="M47" i="26"/>
  <c r="K47" i="26"/>
  <c r="K51" i="26"/>
  <c r="K31" i="26"/>
  <c r="K216" i="26" l="1"/>
  <c r="K210" i="26"/>
  <c r="K205" i="26"/>
  <c r="K203" i="26" s="1"/>
  <c r="M203" i="26"/>
  <c r="K200" i="26"/>
  <c r="K199" i="26" s="1"/>
  <c r="M199" i="26"/>
  <c r="K198" i="26"/>
  <c r="K196" i="26" s="1"/>
  <c r="M196" i="26"/>
  <c r="K195" i="26"/>
  <c r="M192" i="26"/>
  <c r="K193" i="26"/>
  <c r="K192" i="26"/>
  <c r="K189" i="26"/>
  <c r="M188" i="26"/>
  <c r="K188" i="26"/>
  <c r="M186" i="26"/>
  <c r="K183" i="26"/>
  <c r="M180" i="26"/>
  <c r="K181" i="26"/>
  <c r="K180" i="26"/>
  <c r="K179" i="26"/>
  <c r="K178" i="26"/>
  <c r="K177" i="26"/>
  <c r="K176" i="26"/>
  <c r="K174" i="26"/>
  <c r="M173" i="26"/>
  <c r="K173" i="26"/>
  <c r="M164" i="26"/>
  <c r="K164" i="26"/>
  <c r="K159" i="26"/>
  <c r="K158" i="26"/>
  <c r="M155" i="26"/>
  <c r="M145" i="26" s="1"/>
  <c r="K152" i="26"/>
  <c r="K145" i="26" s="1"/>
  <c r="K151" i="26"/>
  <c r="M140" i="26"/>
  <c r="M120" i="26" s="1"/>
  <c r="K140" i="26"/>
  <c r="K139" i="26"/>
  <c r="K136" i="26"/>
  <c r="K129" i="26"/>
  <c r="K128" i="26"/>
  <c r="K125" i="26"/>
  <c r="K120" i="26" s="1"/>
  <c r="M110" i="26"/>
  <c r="K110" i="26"/>
  <c r="K101" i="26"/>
  <c r="K100" i="26"/>
  <c r="K99" i="26" s="1"/>
  <c r="M99" i="26"/>
  <c r="K97" i="26"/>
  <c r="K96" i="26" s="1"/>
  <c r="M96" i="26"/>
  <c r="M92" i="26"/>
  <c r="K92" i="26"/>
  <c r="K90" i="26"/>
  <c r="K89" i="26"/>
  <c r="M87" i="26"/>
  <c r="M84" i="26"/>
  <c r="K84" i="26"/>
  <c r="K81" i="26"/>
  <c r="K79" i="26"/>
  <c r="M77" i="26"/>
  <c r="K77" i="26"/>
  <c r="M71" i="26"/>
  <c r="K71" i="26"/>
  <c r="M67" i="26"/>
  <c r="K67" i="26"/>
  <c r="M65" i="26"/>
  <c r="K65" i="26"/>
  <c r="M58" i="26"/>
  <c r="K58" i="26"/>
  <c r="K50" i="26"/>
  <c r="K48" i="26"/>
  <c r="K45" i="26"/>
  <c r="M36" i="26"/>
  <c r="K44" i="26"/>
  <c r="K36" i="26" s="1"/>
  <c r="M34" i="26"/>
  <c r="K34" i="26"/>
  <c r="M21" i="26"/>
  <c r="K21" i="26"/>
  <c r="M209" i="26" l="1"/>
  <c r="M218" i="26" s="1"/>
  <c r="M83" i="26"/>
  <c r="K83" i="26"/>
  <c r="K171" i="26"/>
  <c r="K209" i="26"/>
  <c r="K218" i="26" s="1"/>
  <c r="M171" i="26"/>
  <c r="M197" i="25"/>
  <c r="M194" i="25"/>
  <c r="M192" i="25"/>
  <c r="M188" i="25"/>
  <c r="M185" i="25"/>
  <c r="M182" i="25"/>
  <c r="M181" i="25"/>
  <c r="M180" i="25"/>
  <c r="M173" i="25"/>
  <c r="M143" i="25"/>
  <c r="M142" i="25"/>
  <c r="M141" i="25"/>
  <c r="M140" i="25"/>
  <c r="M137" i="25"/>
  <c r="M136" i="25"/>
  <c r="M128" i="25"/>
  <c r="M127" i="25"/>
  <c r="M126" i="25"/>
  <c r="M125" i="25"/>
  <c r="M124" i="25"/>
  <c r="M123" i="25"/>
  <c r="M117" i="25"/>
  <c r="M103" i="25"/>
  <c r="M100" i="25"/>
  <c r="M99" i="25"/>
  <c r="M96" i="25"/>
  <c r="M93" i="25"/>
  <c r="M92" i="25"/>
  <c r="M89" i="25"/>
  <c r="M87" i="25"/>
  <c r="M86" i="25"/>
  <c r="M85" i="25"/>
  <c r="M84" i="25"/>
  <c r="M45" i="25"/>
  <c r="M44" i="25"/>
  <c r="M43" i="25"/>
  <c r="K177" i="25" l="1"/>
  <c r="K44" i="25"/>
  <c r="K176" i="25"/>
  <c r="K88" i="25"/>
  <c r="K78" i="25"/>
  <c r="K199" i="25"/>
  <c r="K182" i="25"/>
  <c r="K215" i="24" l="1"/>
  <c r="K204" i="24"/>
  <c r="K199" i="24"/>
  <c r="K197" i="24"/>
  <c r="K194" i="24"/>
  <c r="K192" i="24"/>
  <c r="K188" i="24"/>
  <c r="K180" i="24"/>
  <c r="K178" i="24"/>
  <c r="K176" i="24"/>
  <c r="K175" i="24"/>
  <c r="K173" i="24"/>
  <c r="K151" i="24"/>
  <c r="K150" i="24"/>
  <c r="K126" i="24"/>
  <c r="K125" i="24"/>
  <c r="K124" i="24"/>
  <c r="M218" i="25"/>
  <c r="M221" i="25" s="1"/>
  <c r="K218" i="25"/>
  <c r="K221" i="25" s="1"/>
  <c r="K215" i="25"/>
  <c r="K209" i="25"/>
  <c r="K204" i="25"/>
  <c r="K202" i="25" s="1"/>
  <c r="M202" i="25"/>
  <c r="M198" i="25"/>
  <c r="K198" i="25"/>
  <c r="M195" i="25"/>
  <c r="K197" i="25"/>
  <c r="K195" i="25" s="1"/>
  <c r="K194" i="25"/>
  <c r="M193" i="25"/>
  <c r="K192" i="25"/>
  <c r="K191" i="25" s="1"/>
  <c r="M187" i="25"/>
  <c r="K188" i="25"/>
  <c r="K187" i="25" s="1"/>
  <c r="M179" i="25"/>
  <c r="K180" i="25"/>
  <c r="K179" i="25" s="1"/>
  <c r="K178" i="25"/>
  <c r="K175" i="25"/>
  <c r="M172" i="25"/>
  <c r="K173" i="25"/>
  <c r="K172" i="25" s="1"/>
  <c r="M163" i="25"/>
  <c r="K163" i="25"/>
  <c r="K158" i="25"/>
  <c r="K157" i="25" s="1"/>
  <c r="M154" i="25"/>
  <c r="M144" i="25" s="1"/>
  <c r="K151" i="25"/>
  <c r="K150" i="25"/>
  <c r="K139" i="25"/>
  <c r="K138" i="25"/>
  <c r="K135" i="25" s="1"/>
  <c r="M135" i="25"/>
  <c r="K128" i="25"/>
  <c r="K127" i="25"/>
  <c r="K126" i="25"/>
  <c r="K125" i="25"/>
  <c r="K124" i="25"/>
  <c r="M109" i="25"/>
  <c r="K109" i="25"/>
  <c r="K100" i="25"/>
  <c r="K99" i="25"/>
  <c r="M95" i="25"/>
  <c r="K96" i="25"/>
  <c r="K95" i="25"/>
  <c r="K91" i="25"/>
  <c r="K89" i="25"/>
  <c r="K83" i="25"/>
  <c r="K80" i="25"/>
  <c r="K76" i="25" s="1"/>
  <c r="M76" i="25"/>
  <c r="M70" i="25"/>
  <c r="K70" i="25"/>
  <c r="M66" i="25"/>
  <c r="K66" i="25"/>
  <c r="M64" i="25"/>
  <c r="K64" i="25"/>
  <c r="M57" i="25"/>
  <c r="K57" i="25"/>
  <c r="K50" i="25"/>
  <c r="K48" i="25"/>
  <c r="M47" i="25"/>
  <c r="K45" i="25"/>
  <c r="K36" i="25" s="1"/>
  <c r="M34" i="25"/>
  <c r="K34" i="25"/>
  <c r="K31" i="25"/>
  <c r="K21" i="25" s="1"/>
  <c r="M21" i="25"/>
  <c r="K98" i="25" l="1"/>
  <c r="M83" i="25"/>
  <c r="M139" i="25"/>
  <c r="M119" i="25" s="1"/>
  <c r="M98" i="25"/>
  <c r="K82" i="25"/>
  <c r="K144" i="25"/>
  <c r="K119" i="25"/>
  <c r="M36" i="25"/>
  <c r="K47" i="25"/>
  <c r="M91" i="25"/>
  <c r="M191" i="25"/>
  <c r="M208" i="25" s="1"/>
  <c r="M217" i="25" s="1"/>
  <c r="K208" i="25"/>
  <c r="K217" i="25" s="1"/>
  <c r="M82" i="25" l="1"/>
  <c r="M170" i="25" s="1"/>
  <c r="K170" i="25"/>
  <c r="M163" i="24"/>
  <c r="K163" i="24"/>
  <c r="M144" i="24"/>
  <c r="K157" i="24" l="1"/>
  <c r="K144" i="24" s="1"/>
  <c r="M197" i="24"/>
  <c r="M194" i="24"/>
  <c r="M193" i="24"/>
  <c r="M192" i="24"/>
  <c r="M188" i="24"/>
  <c r="M180" i="24"/>
  <c r="M173" i="24"/>
  <c r="M143" i="24"/>
  <c r="M141" i="24"/>
  <c r="M140" i="24"/>
  <c r="M136" i="24"/>
  <c r="M127" i="24"/>
  <c r="M126" i="24"/>
  <c r="M125" i="24"/>
  <c r="M123" i="24"/>
  <c r="M117" i="24"/>
  <c r="M103" i="24"/>
  <c r="M100" i="24"/>
  <c r="M99" i="24"/>
  <c r="M96" i="24"/>
  <c r="M93" i="24"/>
  <c r="M92" i="24"/>
  <c r="M89" i="24"/>
  <c r="M85" i="24"/>
  <c r="M84" i="24"/>
  <c r="M44" i="24"/>
  <c r="M43" i="24"/>
  <c r="K209" i="24" l="1"/>
  <c r="M76" i="24"/>
  <c r="M217" i="24"/>
  <c r="M220" i="24" s="1"/>
  <c r="K217" i="24"/>
  <c r="K220" i="24" s="1"/>
  <c r="K202" i="24"/>
  <c r="K195" i="24"/>
  <c r="M191" i="24"/>
  <c r="K191" i="24"/>
  <c r="M187" i="24"/>
  <c r="K187" i="24"/>
  <c r="M172" i="24"/>
  <c r="K172" i="24"/>
  <c r="M154" i="24"/>
  <c r="K139" i="24"/>
  <c r="K138" i="24"/>
  <c r="M135" i="24"/>
  <c r="K109" i="24"/>
  <c r="M109" i="24"/>
  <c r="M98" i="24"/>
  <c r="K98" i="24"/>
  <c r="K95" i="24"/>
  <c r="M91" i="24"/>
  <c r="K91" i="24"/>
  <c r="K80" i="24"/>
  <c r="K76" i="24" s="1"/>
  <c r="K70" i="24"/>
  <c r="M70" i="24"/>
  <c r="M66" i="24"/>
  <c r="K66" i="24"/>
  <c r="M64" i="24"/>
  <c r="K64" i="24"/>
  <c r="M47" i="24"/>
  <c r="K50" i="24"/>
  <c r="K47" i="24" s="1"/>
  <c r="M36" i="24"/>
  <c r="M34" i="24"/>
  <c r="K34" i="24"/>
  <c r="M21" i="24"/>
  <c r="K21" i="24"/>
  <c r="M195" i="24" l="1"/>
  <c r="M202" i="24"/>
  <c r="K36" i="24"/>
  <c r="K57" i="24"/>
  <c r="K135" i="24"/>
  <c r="K119" i="24" s="1"/>
  <c r="K198" i="24"/>
  <c r="K208" i="24" s="1"/>
  <c r="M57" i="24"/>
  <c r="M95" i="24"/>
  <c r="K83" i="24"/>
  <c r="K82" i="24" s="1"/>
  <c r="M139" i="24"/>
  <c r="K179" i="24"/>
  <c r="M198" i="24"/>
  <c r="M83" i="24"/>
  <c r="M82" i="24" s="1"/>
  <c r="M179" i="24"/>
  <c r="M216" i="24" s="1"/>
  <c r="M119" i="24"/>
  <c r="K216" i="24" l="1"/>
  <c r="M208" i="24"/>
  <c r="K170" i="24"/>
  <c r="M170" i="24"/>
  <c r="F52" i="20" l="1"/>
  <c r="F53" i="20" s="1"/>
  <c r="E52" i="20"/>
  <c r="E53" i="20" s="1"/>
  <c r="D11" i="16" l="1"/>
  <c r="U149" i="12" l="1"/>
  <c r="U148" i="12" s="1"/>
  <c r="C12" i="11"/>
  <c r="C21" i="11" s="1"/>
  <c r="B11" i="16" s="1"/>
  <c r="L240" i="23" l="1"/>
  <c r="K240" i="23"/>
  <c r="J240" i="23"/>
  <c r="L239" i="23"/>
  <c r="K239" i="23"/>
  <c r="J239" i="23"/>
  <c r="L238" i="23"/>
  <c r="K238" i="23"/>
  <c r="L237" i="23"/>
  <c r="K237" i="23"/>
  <c r="J237" i="23"/>
  <c r="L234" i="23"/>
  <c r="K234" i="23"/>
  <c r="J234" i="23"/>
  <c r="J233" i="23"/>
  <c r="L232" i="23"/>
  <c r="K232" i="23"/>
  <c r="K235" i="23" s="1"/>
  <c r="J227" i="23"/>
  <c r="J226" i="23"/>
  <c r="L225" i="23"/>
  <c r="K225" i="23"/>
  <c r="L220" i="23"/>
  <c r="K220" i="23"/>
  <c r="J220" i="23"/>
  <c r="L198" i="23"/>
  <c r="K198" i="23"/>
  <c r="J198" i="23"/>
  <c r="L194" i="23"/>
  <c r="K194" i="23"/>
  <c r="J194" i="23"/>
  <c r="J238" i="23" s="1"/>
  <c r="L189" i="23"/>
  <c r="K189" i="23"/>
  <c r="J189" i="23"/>
  <c r="L173" i="23"/>
  <c r="K173" i="23"/>
  <c r="J173" i="23"/>
  <c r="L166" i="23"/>
  <c r="K166" i="23"/>
  <c r="J166" i="23"/>
  <c r="L152" i="23"/>
  <c r="K152" i="23"/>
  <c r="J152" i="23"/>
  <c r="L112" i="23"/>
  <c r="K112" i="23"/>
  <c r="J112" i="23"/>
  <c r="L109" i="23"/>
  <c r="K109" i="23"/>
  <c r="J109" i="23"/>
  <c r="L95" i="23"/>
  <c r="K95" i="23"/>
  <c r="J95" i="23"/>
  <c r="L74" i="23"/>
  <c r="K74" i="23"/>
  <c r="J74" i="23"/>
  <c r="L71" i="23"/>
  <c r="K71" i="23"/>
  <c r="J71" i="23"/>
  <c r="L54" i="23"/>
  <c r="K54" i="23"/>
  <c r="J54" i="23"/>
  <c r="L48" i="23"/>
  <c r="K48" i="23"/>
  <c r="J48" i="23"/>
  <c r="L38" i="23"/>
  <c r="J38" i="23"/>
  <c r="L235" i="23" l="1"/>
  <c r="K230" i="23"/>
  <c r="J225" i="23"/>
  <c r="J230" i="23" s="1"/>
  <c r="J235" i="23"/>
  <c r="K241" i="23"/>
  <c r="L241" i="23"/>
  <c r="J241" i="23"/>
  <c r="L209" i="23"/>
  <c r="K209" i="23"/>
  <c r="J209" i="23"/>
  <c r="L230" i="23"/>
  <c r="L242" i="23" l="1"/>
  <c r="K242" i="23"/>
  <c r="J242" i="23"/>
  <c r="W260" i="12" l="1"/>
  <c r="W243" i="12" s="1"/>
  <c r="V260" i="12"/>
  <c r="V243" i="12" s="1"/>
  <c r="W203" i="12"/>
  <c r="W146" i="12" s="1"/>
  <c r="V203" i="12"/>
  <c r="V146" i="12" s="1"/>
  <c r="U264" i="12"/>
  <c r="U263" i="12" s="1"/>
  <c r="U262" i="12"/>
  <c r="U261" i="12"/>
  <c r="W72" i="12"/>
  <c r="V72" i="12"/>
  <c r="U86" i="12"/>
  <c r="U85" i="12" s="1"/>
  <c r="U72" i="12" s="1"/>
  <c r="U121" i="12"/>
  <c r="U120" i="12" s="1"/>
  <c r="U113" i="12" s="1"/>
  <c r="U114" i="12"/>
  <c r="W11" i="12"/>
  <c r="V11" i="12"/>
  <c r="U287" i="12"/>
  <c r="U282" i="12" s="1"/>
  <c r="U288" i="12"/>
  <c r="U281" i="12"/>
  <c r="U280" i="12" s="1"/>
  <c r="U277" i="12" s="1"/>
  <c r="U275" i="12"/>
  <c r="U274" i="12" s="1"/>
  <c r="U269" i="12"/>
  <c r="U268" i="12" s="1"/>
  <c r="U265" i="12"/>
  <c r="U257" i="12"/>
  <c r="U256" i="12" s="1"/>
  <c r="W254" i="12"/>
  <c r="V254" i="12"/>
  <c r="U254" i="12"/>
  <c r="W220" i="12"/>
  <c r="V220" i="12"/>
  <c r="U221" i="12"/>
  <c r="U233" i="12"/>
  <c r="U232" i="12" s="1"/>
  <c r="U220" i="12" s="1"/>
  <c r="U209" i="12"/>
  <c r="U207" i="12" s="1"/>
  <c r="U203" i="12" s="1"/>
  <c r="U190" i="12"/>
  <c r="U189" i="12" s="1"/>
  <c r="U188" i="12" s="1"/>
  <c r="U179" i="12"/>
  <c r="U178" i="12" s="1"/>
  <c r="U172" i="12"/>
  <c r="U171" i="12" s="1"/>
  <c r="U152" i="12"/>
  <c r="U147" i="12" s="1"/>
  <c r="U153" i="12"/>
  <c r="U145" i="12"/>
  <c r="U144" i="12" s="1"/>
  <c r="U143" i="12"/>
  <c r="U142" i="12" s="1"/>
  <c r="U141" i="12"/>
  <c r="U140" i="12" s="1"/>
  <c r="U139" i="12"/>
  <c r="U138" i="12" s="1"/>
  <c r="U137" i="12"/>
  <c r="U136" i="12" s="1"/>
  <c r="U135" i="12"/>
  <c r="U134" i="12"/>
  <c r="U133" i="12"/>
  <c r="U132" i="12" s="1"/>
  <c r="W130" i="12"/>
  <c r="V130" i="12"/>
  <c r="U130" i="12"/>
  <c r="U129" i="12" s="1"/>
  <c r="U122" i="12" s="1"/>
  <c r="V107" i="12"/>
  <c r="V92" i="12" s="1"/>
  <c r="W108" i="12"/>
  <c r="W107" i="12" s="1"/>
  <c r="W92" i="12" s="1"/>
  <c r="W71" i="12" s="1"/>
  <c r="V108" i="12"/>
  <c r="U108" i="12"/>
  <c r="U107" i="12" s="1"/>
  <c r="U110" i="12"/>
  <c r="U109" i="12" s="1"/>
  <c r="U90" i="12"/>
  <c r="U87" i="12" s="1"/>
  <c r="U91" i="12"/>
  <c r="U88" i="12"/>
  <c r="U36" i="12"/>
  <c r="U35" i="12" s="1"/>
  <c r="U38" i="12"/>
  <c r="U37" i="12"/>
  <c r="U22" i="12"/>
  <c r="U24" i="12"/>
  <c r="U23" i="12"/>
  <c r="U18" i="12"/>
  <c r="U15" i="12" s="1"/>
  <c r="U154" i="12" l="1"/>
  <c r="U146" i="12" s="1"/>
  <c r="W298" i="12"/>
  <c r="U92" i="12"/>
  <c r="U71" i="12" s="1"/>
  <c r="U276" i="12"/>
  <c r="V71" i="12"/>
  <c r="V298" i="12" s="1"/>
  <c r="U11" i="12"/>
  <c r="U249" i="12"/>
  <c r="U260" i="12"/>
  <c r="D46" i="20"/>
  <c r="U243" i="12" l="1"/>
  <c r="U298" i="12"/>
  <c r="D43" i="20"/>
  <c r="F22" i="14" l="1"/>
  <c r="E22" i="14"/>
  <c r="D21" i="11"/>
  <c r="C11" i="16" s="1"/>
  <c r="F20" i="14" l="1"/>
  <c r="E20" i="14"/>
  <c r="D14" i="16"/>
  <c r="C14" i="16"/>
  <c r="B14" i="16"/>
  <c r="C23" i="11"/>
  <c r="C11" i="11"/>
  <c r="D47" i="20"/>
  <c r="D52" i="20" s="1"/>
  <c r="D53" i="20" s="1"/>
  <c r="J173" i="22" l="1"/>
  <c r="J152" i="22"/>
  <c r="L95" i="22"/>
  <c r="K95" i="22"/>
  <c r="J95" i="22"/>
  <c r="D40" i="14" l="1"/>
  <c r="L173" i="22" l="1"/>
  <c r="K173" i="22"/>
  <c r="D22" i="14" l="1"/>
  <c r="F26" i="20" l="1"/>
  <c r="E26" i="20"/>
  <c r="D26" i="20"/>
  <c r="E50" i="20" l="1"/>
  <c r="E51" i="20"/>
  <c r="D10" i="20"/>
  <c r="D50" i="20" l="1"/>
  <c r="D51" i="20"/>
  <c r="L240" i="22"/>
  <c r="K240" i="22"/>
  <c r="J240" i="22"/>
  <c r="L239" i="22"/>
  <c r="K239" i="22"/>
  <c r="J239" i="22"/>
  <c r="L238" i="22"/>
  <c r="K238" i="22"/>
  <c r="L237" i="22"/>
  <c r="K237" i="22"/>
  <c r="J237" i="22"/>
  <c r="L234" i="22"/>
  <c r="K234" i="22"/>
  <c r="J234" i="22"/>
  <c r="J233" i="22"/>
  <c r="L232" i="22"/>
  <c r="L235" i="22" s="1"/>
  <c r="K232" i="22"/>
  <c r="K235" i="22" s="1"/>
  <c r="J227" i="22"/>
  <c r="J226" i="22"/>
  <c r="L225" i="22"/>
  <c r="K225" i="22"/>
  <c r="L220" i="22"/>
  <c r="K220" i="22"/>
  <c r="J220" i="22"/>
  <c r="L198" i="22"/>
  <c r="K198" i="22"/>
  <c r="J198" i="22"/>
  <c r="L194" i="22"/>
  <c r="K194" i="22"/>
  <c r="J194" i="22"/>
  <c r="J238" i="22" s="1"/>
  <c r="L189" i="22"/>
  <c r="K189" i="22"/>
  <c r="J189" i="22"/>
  <c r="L166" i="22"/>
  <c r="K166" i="22"/>
  <c r="J166" i="22"/>
  <c r="L152" i="22"/>
  <c r="K152" i="22"/>
  <c r="L112" i="22"/>
  <c r="K112" i="22"/>
  <c r="J112" i="22"/>
  <c r="L109" i="22"/>
  <c r="K109" i="22"/>
  <c r="J109" i="22"/>
  <c r="L74" i="22"/>
  <c r="K74" i="22"/>
  <c r="J74" i="22"/>
  <c r="L71" i="22"/>
  <c r="K71" i="22"/>
  <c r="J71" i="22"/>
  <c r="L54" i="22"/>
  <c r="K54" i="22"/>
  <c r="J54" i="22"/>
  <c r="L48" i="22"/>
  <c r="K48" i="22"/>
  <c r="J48" i="22"/>
  <c r="L38" i="22"/>
  <c r="J38" i="22"/>
  <c r="J225" i="22" l="1"/>
  <c r="J230" i="22" s="1"/>
  <c r="J235" i="22"/>
  <c r="L230" i="22"/>
  <c r="K209" i="22"/>
  <c r="L209" i="22"/>
  <c r="K241" i="22"/>
  <c r="K230" i="22"/>
  <c r="L241" i="22"/>
  <c r="J209" i="22"/>
  <c r="J241" i="22"/>
  <c r="J242" i="22" l="1"/>
  <c r="J211" i="23"/>
  <c r="C30" i="11"/>
  <c r="J212" i="23"/>
  <c r="J211" i="22"/>
  <c r="L242" i="22"/>
  <c r="K242" i="22"/>
  <c r="D16" i="14" l="1"/>
  <c r="F16" i="14"/>
  <c r="E16" i="14"/>
  <c r="F50" i="14"/>
  <c r="E50" i="14"/>
  <c r="F19" i="14"/>
  <c r="E19" i="14"/>
  <c r="D19" i="14"/>
  <c r="D50" i="14"/>
  <c r="F61" i="14"/>
  <c r="E61" i="14"/>
  <c r="F59" i="14"/>
  <c r="E59" i="14"/>
  <c r="D59" i="14"/>
  <c r="F57" i="14"/>
  <c r="E57" i="14"/>
  <c r="D57" i="14"/>
  <c r="F54" i="14"/>
  <c r="E54" i="14"/>
  <c r="D54" i="14"/>
  <c r="F52" i="14"/>
  <c r="E52" i="14"/>
  <c r="D52" i="14"/>
  <c r="F51" i="14"/>
  <c r="E51" i="14"/>
  <c r="D51" i="14"/>
  <c r="F45" i="14"/>
  <c r="E45" i="14"/>
  <c r="D45" i="14"/>
  <c r="F43" i="14"/>
  <c r="E43" i="14"/>
  <c r="D43" i="14"/>
  <c r="F42" i="14"/>
  <c r="E42" i="14"/>
  <c r="F41" i="14"/>
  <c r="E41" i="14"/>
  <c r="D41" i="14"/>
  <c r="D42" i="14"/>
  <c r="F40" i="14"/>
  <c r="E40" i="14"/>
  <c r="F53" i="14" l="1"/>
  <c r="E53" i="14"/>
  <c r="D53" i="14"/>
  <c r="D30" i="11" l="1"/>
  <c r="K211" i="23"/>
  <c r="K211" i="22"/>
  <c r="D18" i="16"/>
  <c r="C18" i="16"/>
  <c r="B18" i="16"/>
  <c r="D21" i="16"/>
  <c r="C21" i="16"/>
  <c r="B21" i="16"/>
  <c r="F10" i="20" l="1"/>
  <c r="F50" i="20" l="1"/>
  <c r="F51" i="20"/>
  <c r="D12" i="19"/>
  <c r="C12" i="19"/>
  <c r="B12" i="19"/>
  <c r="D20" i="16"/>
  <c r="D19" i="16" s="1"/>
  <c r="C20" i="16"/>
  <c r="C19" i="16" s="1"/>
  <c r="B20" i="16"/>
  <c r="B19" i="16" s="1"/>
  <c r="D17" i="16"/>
  <c r="D16" i="16" s="1"/>
  <c r="C17" i="16"/>
  <c r="C16" i="16" s="1"/>
  <c r="B17" i="16"/>
  <c r="B16" i="16" s="1"/>
  <c r="D15" i="16"/>
  <c r="C15" i="16"/>
  <c r="B15" i="16"/>
  <c r="D13" i="16"/>
  <c r="C13" i="16"/>
  <c r="B13" i="16"/>
  <c r="D62" i="14"/>
  <c r="F60" i="14"/>
  <c r="D61" i="14"/>
  <c r="D60" i="14" s="1"/>
  <c r="E60" i="14"/>
  <c r="F58" i="14"/>
  <c r="D58" i="14"/>
  <c r="E58" i="14"/>
  <c r="F49" i="14"/>
  <c r="D49" i="14"/>
  <c r="E49" i="14"/>
  <c r="F48" i="14"/>
  <c r="F46" i="14" s="1"/>
  <c r="E48" i="14"/>
  <c r="E46" i="14" s="1"/>
  <c r="D48" i="14"/>
  <c r="D46" i="14" s="1"/>
  <c r="E44" i="14"/>
  <c r="F44" i="14"/>
  <c r="D44" i="14"/>
  <c r="F39" i="14"/>
  <c r="E39" i="14"/>
  <c r="D39" i="14"/>
  <c r="F37" i="14"/>
  <c r="E37" i="14"/>
  <c r="D37" i="14"/>
  <c r="F32" i="14"/>
  <c r="E32" i="14"/>
  <c r="D32" i="14"/>
  <c r="F25" i="14"/>
  <c r="E25" i="14"/>
  <c r="D25" i="14"/>
  <c r="F17" i="14"/>
  <c r="F11" i="14" s="1"/>
  <c r="E17" i="14"/>
  <c r="E11" i="14" s="1"/>
  <c r="D15" i="14"/>
  <c r="D11" i="14" s="1"/>
  <c r="E24" i="11"/>
  <c r="E23" i="11"/>
  <c r="D23" i="11"/>
  <c r="D24" i="11"/>
  <c r="E27" i="11"/>
  <c r="D14" i="11"/>
  <c r="D27" i="11" s="1"/>
  <c r="E11" i="11"/>
  <c r="D11" i="11"/>
  <c r="L211" i="22" l="1"/>
  <c r="E30" i="11"/>
  <c r="L211" i="23"/>
  <c r="F63" i="14"/>
  <c r="D63" i="14"/>
  <c r="E63" i="14"/>
  <c r="C14" i="11"/>
  <c r="C27" i="11" s="1"/>
  <c r="C24" i="11"/>
  <c r="C28" i="11" l="1"/>
  <c r="F19" i="4"/>
  <c r="F11" i="4" s="1"/>
  <c r="F20" i="4"/>
  <c r="G20" i="4" s="1"/>
  <c r="E20" i="4"/>
  <c r="G25" i="4"/>
  <c r="G22" i="4"/>
  <c r="G21" i="4"/>
  <c r="G18" i="4"/>
  <c r="G17" i="4"/>
  <c r="G16" i="4"/>
  <c r="G15" i="4"/>
  <c r="G14" i="4"/>
  <c r="G13" i="4"/>
  <c r="G19" i="4" l="1"/>
  <c r="G11" i="4" s="1"/>
  <c r="B10" i="9"/>
  <c r="C10" i="9"/>
  <c r="D10" i="9"/>
  <c r="D11" i="8"/>
  <c r="D10" i="8" s="1"/>
  <c r="C11" i="8"/>
  <c r="C10" i="8" s="1"/>
  <c r="B11" i="8"/>
  <c r="B10" i="8" s="1"/>
  <c r="D16" i="8"/>
  <c r="C16" i="8"/>
  <c r="B16" i="8"/>
  <c r="D13" i="8"/>
  <c r="C13" i="8"/>
  <c r="B13" i="8"/>
  <c r="C8" i="8" l="1"/>
  <c r="D8" i="8"/>
  <c r="B8" i="8"/>
  <c r="AK8" i="4"/>
  <c r="AK7" i="4"/>
  <c r="AJ8" i="4"/>
  <c r="AJ7" i="4"/>
  <c r="AI8" i="4"/>
  <c r="AI7" i="4"/>
  <c r="V8" i="4"/>
  <c r="V7" i="4"/>
  <c r="U8" i="4"/>
  <c r="U7" i="4"/>
  <c r="T7" i="4"/>
  <c r="T8" i="4"/>
  <c r="I14" i="4"/>
  <c r="C14" i="4" s="1"/>
  <c r="H14" i="4"/>
  <c r="B14" i="4" s="1"/>
  <c r="AK11" i="4"/>
  <c r="AJ11" i="4"/>
  <c r="AI11" i="4"/>
  <c r="AH11" i="4"/>
  <c r="AG11" i="4"/>
  <c r="AF11" i="4"/>
  <c r="AE11" i="4"/>
  <c r="AD11" i="4"/>
  <c r="AC11" i="4"/>
  <c r="AB11" i="4"/>
  <c r="AA11" i="4"/>
  <c r="Z11" i="4"/>
  <c r="Y11" i="4"/>
  <c r="X11" i="4"/>
  <c r="W11" i="4"/>
  <c r="V11" i="4"/>
  <c r="U11" i="4"/>
  <c r="T11" i="4"/>
  <c r="S11" i="4"/>
  <c r="R11" i="4"/>
  <c r="Q11" i="4"/>
  <c r="P11" i="4"/>
  <c r="O11" i="4"/>
  <c r="N11" i="4"/>
  <c r="M11" i="4"/>
  <c r="L11" i="4"/>
  <c r="K11" i="4"/>
  <c r="J14" i="4"/>
  <c r="D14" i="4" s="1"/>
  <c r="S8" i="4"/>
  <c r="S7" i="4"/>
  <c r="R8" i="4"/>
  <c r="R7" i="4"/>
  <c r="Q8" i="4"/>
  <c r="Q7" i="4"/>
  <c r="AJ9" i="4"/>
  <c r="AI9" i="4"/>
  <c r="AG9" i="4"/>
  <c r="AF9" i="4"/>
  <c r="AD9" i="4"/>
  <c r="AC9" i="4"/>
  <c r="AA9" i="4"/>
  <c r="Z9" i="4"/>
  <c r="U9" i="4"/>
  <c r="T9" i="4"/>
  <c r="R9" i="4"/>
  <c r="Q9" i="4"/>
  <c r="O9" i="4"/>
  <c r="N9" i="4"/>
  <c r="L9" i="4"/>
  <c r="K9" i="4"/>
  <c r="X9" i="4" l="1"/>
  <c r="W9" i="4"/>
  <c r="N11" i="6" l="1"/>
  <c r="M11" i="6"/>
  <c r="K11" i="6"/>
  <c r="J11" i="6"/>
  <c r="H11" i="6"/>
  <c r="G11" i="6"/>
  <c r="E11" i="6"/>
  <c r="D11" i="6"/>
  <c r="C11" i="6"/>
  <c r="F10" i="6"/>
  <c r="I10" i="6" s="1"/>
  <c r="L10" i="6" s="1"/>
  <c r="O10" i="6" s="1"/>
  <c r="F9" i="6"/>
  <c r="I9" i="6" s="1"/>
  <c r="F8" i="6"/>
  <c r="I8" i="6" s="1"/>
  <c r="L8" i="6" s="1"/>
  <c r="O8" i="6" s="1"/>
  <c r="A8" i="6"/>
  <c r="A9" i="6" s="1"/>
  <c r="A10" i="6" s="1"/>
  <c r="F7" i="6"/>
  <c r="I7" i="6" s="1"/>
  <c r="L7" i="6" s="1"/>
  <c r="O7" i="6" s="1"/>
  <c r="L9" i="6" l="1"/>
  <c r="O9" i="6" s="1"/>
  <c r="F11" i="6"/>
  <c r="I11" i="6" s="1"/>
  <c r="L11" i="6" s="1"/>
  <c r="O11" i="6" s="1"/>
  <c r="N57" i="5" l="1"/>
  <c r="N58" i="5"/>
  <c r="O57" i="5"/>
  <c r="N70" i="5"/>
  <c r="N65" i="5"/>
  <c r="N66" i="5"/>
  <c r="N59" i="5"/>
  <c r="N68" i="5"/>
  <c r="O108" i="5" l="1"/>
  <c r="N108" i="5"/>
  <c r="O107" i="5"/>
  <c r="N107" i="5"/>
  <c r="O105" i="5"/>
  <c r="N105" i="5"/>
  <c r="O104" i="5"/>
  <c r="N104" i="5"/>
  <c r="I106" i="5"/>
  <c r="O106" i="5" s="1"/>
  <c r="H106" i="5"/>
  <c r="N106" i="5" s="1"/>
  <c r="L106" i="5"/>
  <c r="K106" i="5"/>
  <c r="J106" i="5" s="1"/>
  <c r="N88" i="5"/>
  <c r="O88" i="5"/>
  <c r="M84" i="5"/>
  <c r="N78" i="5"/>
  <c r="M78" i="5" s="1"/>
  <c r="N54" i="5"/>
  <c r="O54" i="5"/>
  <c r="N55" i="5"/>
  <c r="O55" i="5"/>
  <c r="O53" i="5"/>
  <c r="O48" i="5"/>
  <c r="N38" i="5"/>
  <c r="O38" i="5"/>
  <c r="N35" i="5"/>
  <c r="M35" i="5" s="1"/>
  <c r="O35" i="5"/>
  <c r="N34" i="5"/>
  <c r="O34" i="5"/>
  <c r="G84" i="5"/>
  <c r="K82" i="5"/>
  <c r="J84" i="5"/>
  <c r="N22" i="5"/>
  <c r="O9" i="5"/>
  <c r="N9" i="5"/>
  <c r="G9" i="5"/>
  <c r="J9" i="5"/>
  <c r="M110" i="5"/>
  <c r="D110" i="5"/>
  <c r="M109" i="5"/>
  <c r="D109" i="5"/>
  <c r="J108" i="5"/>
  <c r="G108" i="5"/>
  <c r="D108" i="5"/>
  <c r="J107" i="5"/>
  <c r="G107" i="5"/>
  <c r="D107" i="5"/>
  <c r="D106" i="5"/>
  <c r="J105" i="5"/>
  <c r="G105" i="5"/>
  <c r="D105" i="5"/>
  <c r="J104" i="5"/>
  <c r="G104" i="5"/>
  <c r="D104" i="5"/>
  <c r="J102" i="5"/>
  <c r="G102" i="5"/>
  <c r="D102" i="5"/>
  <c r="J101" i="5"/>
  <c r="G101" i="5"/>
  <c r="D101" i="5"/>
  <c r="J100" i="5"/>
  <c r="G100" i="5"/>
  <c r="D100" i="5"/>
  <c r="J99" i="5"/>
  <c r="G99" i="5"/>
  <c r="D99" i="5"/>
  <c r="J98" i="5"/>
  <c r="G98" i="5"/>
  <c r="D98" i="5"/>
  <c r="J97" i="5"/>
  <c r="G97" i="5"/>
  <c r="D97" i="5"/>
  <c r="M96" i="5"/>
  <c r="M98" i="5" s="1"/>
  <c r="M100" i="5" s="1"/>
  <c r="M102" i="5" s="1"/>
  <c r="J96" i="5"/>
  <c r="G96" i="5"/>
  <c r="D96" i="5"/>
  <c r="M91" i="5"/>
  <c r="J91" i="5"/>
  <c r="G91" i="5"/>
  <c r="D91" i="5"/>
  <c r="O90" i="5"/>
  <c r="J90" i="5"/>
  <c r="G90" i="5"/>
  <c r="D90" i="5"/>
  <c r="N89" i="5"/>
  <c r="L89" i="5"/>
  <c r="K89" i="5"/>
  <c r="I89" i="5"/>
  <c r="H89" i="5"/>
  <c r="F89" i="5"/>
  <c r="E89" i="5"/>
  <c r="J88" i="5"/>
  <c r="G88" i="5"/>
  <c r="D88" i="5"/>
  <c r="O87" i="5"/>
  <c r="L87" i="5"/>
  <c r="K87" i="5"/>
  <c r="I87" i="5"/>
  <c r="H87" i="5"/>
  <c r="F87" i="5"/>
  <c r="E87" i="5"/>
  <c r="O86" i="5"/>
  <c r="N86" i="5"/>
  <c r="J86" i="5"/>
  <c r="G86" i="5"/>
  <c r="D86" i="5"/>
  <c r="N85" i="5"/>
  <c r="J85" i="5"/>
  <c r="G85" i="5"/>
  <c r="D85" i="5"/>
  <c r="D84" i="5"/>
  <c r="O83" i="5"/>
  <c r="M83" i="5" s="1"/>
  <c r="J83" i="5"/>
  <c r="G83" i="5"/>
  <c r="D83" i="5"/>
  <c r="L82" i="5"/>
  <c r="I82" i="5"/>
  <c r="H82" i="5"/>
  <c r="F82" i="5"/>
  <c r="E82" i="5"/>
  <c r="D82" i="5" s="1"/>
  <c r="O81" i="5"/>
  <c r="N81" i="5"/>
  <c r="J81" i="5"/>
  <c r="G81" i="5"/>
  <c r="D81" i="5"/>
  <c r="O80" i="5"/>
  <c r="M80" i="5" s="1"/>
  <c r="J80" i="5"/>
  <c r="G80" i="5"/>
  <c r="D80" i="5"/>
  <c r="O79" i="5"/>
  <c r="M79" i="5" s="1"/>
  <c r="J79" i="5"/>
  <c r="G79" i="5"/>
  <c r="D79" i="5"/>
  <c r="J78" i="5"/>
  <c r="G78" i="5"/>
  <c r="D78" i="5"/>
  <c r="L77" i="5"/>
  <c r="K77" i="5"/>
  <c r="I77" i="5"/>
  <c r="H77" i="5"/>
  <c r="F77" i="5"/>
  <c r="E77" i="5"/>
  <c r="O76" i="5"/>
  <c r="J76" i="5"/>
  <c r="G76" i="5"/>
  <c r="D76" i="5"/>
  <c r="O75" i="5"/>
  <c r="N75" i="5"/>
  <c r="J75" i="5"/>
  <c r="G75" i="5"/>
  <c r="D75" i="5"/>
  <c r="O74" i="5"/>
  <c r="N74" i="5"/>
  <c r="M74" i="5" s="1"/>
  <c r="J74" i="5"/>
  <c r="G74" i="5"/>
  <c r="D74" i="5"/>
  <c r="O73" i="5"/>
  <c r="N73" i="5"/>
  <c r="J73" i="5"/>
  <c r="G73" i="5"/>
  <c r="D73" i="5"/>
  <c r="O72" i="5"/>
  <c r="N72" i="5"/>
  <c r="M72" i="5" s="1"/>
  <c r="J72" i="5"/>
  <c r="G72" i="5"/>
  <c r="D72" i="5"/>
  <c r="L71" i="5"/>
  <c r="K71" i="5"/>
  <c r="J71" i="5" s="1"/>
  <c r="I71" i="5"/>
  <c r="H71" i="5"/>
  <c r="E71" i="5"/>
  <c r="D71" i="5" s="1"/>
  <c r="O70" i="5"/>
  <c r="O69" i="5" s="1"/>
  <c r="J70" i="5"/>
  <c r="G70" i="5"/>
  <c r="D70" i="5"/>
  <c r="L69" i="5"/>
  <c r="K69" i="5"/>
  <c r="I69" i="5"/>
  <c r="H69" i="5"/>
  <c r="F69" i="5"/>
  <c r="E69" i="5"/>
  <c r="D69" i="5" s="1"/>
  <c r="O68" i="5"/>
  <c r="J68" i="5"/>
  <c r="G68" i="5"/>
  <c r="D68" i="5"/>
  <c r="O67" i="5"/>
  <c r="M67" i="5" s="1"/>
  <c r="J67" i="5"/>
  <c r="G67" i="5"/>
  <c r="D67" i="5"/>
  <c r="O66" i="5"/>
  <c r="M66" i="5" s="1"/>
  <c r="J66" i="5"/>
  <c r="G66" i="5"/>
  <c r="D66" i="5"/>
  <c r="O65" i="5"/>
  <c r="J65" i="5"/>
  <c r="G65" i="5"/>
  <c r="D65" i="5"/>
  <c r="O64" i="5"/>
  <c r="L64" i="5"/>
  <c r="K64" i="5"/>
  <c r="I64" i="5"/>
  <c r="H64" i="5"/>
  <c r="F64" i="5"/>
  <c r="E64" i="5"/>
  <c r="N63" i="5"/>
  <c r="M63" i="5" s="1"/>
  <c r="J63" i="5"/>
  <c r="G63" i="5"/>
  <c r="D63" i="5"/>
  <c r="N62" i="5"/>
  <c r="M62" i="5" s="1"/>
  <c r="J62" i="5"/>
  <c r="G62" i="5"/>
  <c r="D62" i="5"/>
  <c r="O61" i="5"/>
  <c r="L61" i="5"/>
  <c r="K61" i="5"/>
  <c r="I61" i="5"/>
  <c r="H61" i="5"/>
  <c r="F61" i="5"/>
  <c r="E61" i="5"/>
  <c r="O60" i="5"/>
  <c r="O56" i="5" s="1"/>
  <c r="N60" i="5"/>
  <c r="J60" i="5"/>
  <c r="G60" i="5"/>
  <c r="D60" i="5"/>
  <c r="M59" i="5"/>
  <c r="J59" i="5"/>
  <c r="G59" i="5"/>
  <c r="D59" i="5"/>
  <c r="M58" i="5"/>
  <c r="J58" i="5"/>
  <c r="G58" i="5"/>
  <c r="D58" i="5"/>
  <c r="M57" i="5"/>
  <c r="J57" i="5"/>
  <c r="G57" i="5"/>
  <c r="D57" i="5"/>
  <c r="L56" i="5"/>
  <c r="K56" i="5"/>
  <c r="I56" i="5"/>
  <c r="H56" i="5"/>
  <c r="F56" i="5"/>
  <c r="E56" i="5"/>
  <c r="J55" i="5"/>
  <c r="G55" i="5"/>
  <c r="D55" i="5"/>
  <c r="M54" i="5"/>
  <c r="J54" i="5"/>
  <c r="G54" i="5"/>
  <c r="D54" i="5"/>
  <c r="N53" i="5"/>
  <c r="M53" i="5" s="1"/>
  <c r="J53" i="5"/>
  <c r="G53" i="5"/>
  <c r="D53" i="5"/>
  <c r="M52" i="5"/>
  <c r="J52" i="5"/>
  <c r="G52" i="5"/>
  <c r="D52" i="5"/>
  <c r="O51" i="5"/>
  <c r="M51" i="5" s="1"/>
  <c r="J51" i="5"/>
  <c r="G51" i="5"/>
  <c r="D51" i="5"/>
  <c r="O50" i="5"/>
  <c r="J50" i="5"/>
  <c r="G50" i="5"/>
  <c r="D50" i="5"/>
  <c r="L49" i="5"/>
  <c r="K49" i="5"/>
  <c r="I49" i="5"/>
  <c r="H49" i="5"/>
  <c r="F49" i="5"/>
  <c r="E49" i="5"/>
  <c r="N48" i="5"/>
  <c r="M48" i="5" s="1"/>
  <c r="J48" i="5"/>
  <c r="G48" i="5"/>
  <c r="D48" i="5"/>
  <c r="O47" i="5"/>
  <c r="J47" i="5"/>
  <c r="G47" i="5"/>
  <c r="D47" i="5"/>
  <c r="O46" i="5"/>
  <c r="N46" i="5"/>
  <c r="N44" i="5" s="1"/>
  <c r="J46" i="5"/>
  <c r="G46" i="5"/>
  <c r="D46" i="5"/>
  <c r="O45" i="5"/>
  <c r="O44" i="5" s="1"/>
  <c r="N45" i="5"/>
  <c r="J45" i="5"/>
  <c r="G45" i="5"/>
  <c r="D45" i="5"/>
  <c r="L44" i="5"/>
  <c r="K44" i="5"/>
  <c r="I44" i="5"/>
  <c r="H44" i="5"/>
  <c r="F44" i="5"/>
  <c r="E44" i="5"/>
  <c r="N43" i="5"/>
  <c r="M43" i="5" s="1"/>
  <c r="J43" i="5"/>
  <c r="G43" i="5"/>
  <c r="D43" i="5"/>
  <c r="O42" i="5"/>
  <c r="L42" i="5"/>
  <c r="K42" i="5"/>
  <c r="I42" i="5"/>
  <c r="H42" i="5"/>
  <c r="F42" i="5"/>
  <c r="E42" i="5"/>
  <c r="N41" i="5"/>
  <c r="M41" i="5" s="1"/>
  <c r="J41" i="5"/>
  <c r="G41" i="5"/>
  <c r="D41" i="5"/>
  <c r="O40" i="5"/>
  <c r="N40" i="5"/>
  <c r="J40" i="5"/>
  <c r="G40" i="5"/>
  <c r="D40" i="5"/>
  <c r="J39" i="5"/>
  <c r="G39" i="5"/>
  <c r="D39" i="5"/>
  <c r="J38" i="5"/>
  <c r="G38" i="5"/>
  <c r="D38" i="5"/>
  <c r="O37" i="5"/>
  <c r="N37" i="5"/>
  <c r="J37" i="5"/>
  <c r="G37" i="5"/>
  <c r="D37" i="5"/>
  <c r="O36" i="5"/>
  <c r="N36" i="5"/>
  <c r="J36" i="5"/>
  <c r="G36" i="5"/>
  <c r="D36" i="5"/>
  <c r="J35" i="5"/>
  <c r="G35" i="5"/>
  <c r="D35" i="5"/>
  <c r="J34" i="5"/>
  <c r="G34" i="5"/>
  <c r="D34" i="5"/>
  <c r="L33" i="5"/>
  <c r="K33" i="5"/>
  <c r="I33" i="5"/>
  <c r="H33" i="5"/>
  <c r="F33" i="5"/>
  <c r="E33" i="5"/>
  <c r="O29" i="5"/>
  <c r="N29" i="5"/>
  <c r="M29" i="5" s="1"/>
  <c r="J29" i="5"/>
  <c r="G29" i="5"/>
  <c r="D29" i="5"/>
  <c r="M28" i="5"/>
  <c r="J28" i="5"/>
  <c r="G28" i="5"/>
  <c r="D28" i="5"/>
  <c r="M27" i="5"/>
  <c r="J27" i="5"/>
  <c r="G27" i="5"/>
  <c r="D27" i="5"/>
  <c r="N26" i="5"/>
  <c r="J26" i="5"/>
  <c r="G26" i="5"/>
  <c r="D26" i="5"/>
  <c r="M25" i="5"/>
  <c r="J25" i="5"/>
  <c r="G25" i="5"/>
  <c r="D25" i="5"/>
  <c r="M24" i="5"/>
  <c r="J24" i="5"/>
  <c r="G24" i="5"/>
  <c r="D24" i="5"/>
  <c r="M23" i="5"/>
  <c r="J23" i="5"/>
  <c r="G23" i="5"/>
  <c r="D23" i="5"/>
  <c r="M22" i="5"/>
  <c r="J22" i="5"/>
  <c r="G22" i="5"/>
  <c r="D22" i="5"/>
  <c r="O21" i="5"/>
  <c r="L21" i="5"/>
  <c r="L30" i="5" s="1"/>
  <c r="K21" i="5"/>
  <c r="K30" i="5" s="1"/>
  <c r="I21" i="5"/>
  <c r="I30" i="5" s="1"/>
  <c r="H21" i="5"/>
  <c r="H30" i="5" s="1"/>
  <c r="F21" i="5"/>
  <c r="F30" i="5" s="1"/>
  <c r="E21" i="5"/>
  <c r="O20" i="5"/>
  <c r="N20" i="5"/>
  <c r="J20" i="5"/>
  <c r="G20" i="5"/>
  <c r="D20" i="5"/>
  <c r="O19" i="5"/>
  <c r="N19" i="5"/>
  <c r="J19" i="5"/>
  <c r="G19" i="5"/>
  <c r="D19" i="5"/>
  <c r="O18" i="5"/>
  <c r="N18" i="5"/>
  <c r="J18" i="5"/>
  <c r="G18" i="5"/>
  <c r="D18" i="5"/>
  <c r="O17" i="5"/>
  <c r="N17" i="5"/>
  <c r="J17" i="5"/>
  <c r="G17" i="5"/>
  <c r="D17" i="5"/>
  <c r="M16" i="5"/>
  <c r="J16" i="5"/>
  <c r="G16" i="5"/>
  <c r="D16" i="5"/>
  <c r="O15" i="5"/>
  <c r="N15" i="5"/>
  <c r="M15" i="5" s="1"/>
  <c r="J15" i="5"/>
  <c r="G15" i="5"/>
  <c r="D15" i="5"/>
  <c r="O14" i="5"/>
  <c r="N14" i="5"/>
  <c r="J14" i="5"/>
  <c r="G14" i="5"/>
  <c r="D14" i="5"/>
  <c r="O13" i="5"/>
  <c r="N13" i="5"/>
  <c r="J13" i="5"/>
  <c r="G13" i="5"/>
  <c r="D13" i="5"/>
  <c r="O12" i="5"/>
  <c r="N12" i="5"/>
  <c r="J12" i="5"/>
  <c r="G12" i="5"/>
  <c r="D12" i="5"/>
  <c r="O11" i="5"/>
  <c r="N11" i="5"/>
  <c r="M11" i="5" s="1"/>
  <c r="J11" i="5"/>
  <c r="G11" i="5"/>
  <c r="D11" i="5"/>
  <c r="O10" i="5"/>
  <c r="N10" i="5"/>
  <c r="J10" i="5"/>
  <c r="G10" i="5"/>
  <c r="D10" i="5"/>
  <c r="D9" i="5"/>
  <c r="O8" i="5"/>
  <c r="N8" i="5"/>
  <c r="J8" i="5"/>
  <c r="G8" i="5"/>
  <c r="D8" i="5"/>
  <c r="AF34" i="4"/>
  <c r="X34" i="4"/>
  <c r="W34" i="4"/>
  <c r="U34" i="4"/>
  <c r="T34" i="4"/>
  <c r="P7" i="4"/>
  <c r="O7" i="4"/>
  <c r="N7" i="4"/>
  <c r="M7" i="4"/>
  <c r="M28" i="4" s="1"/>
  <c r="L7" i="4"/>
  <c r="L28" i="4" s="1"/>
  <c r="K7" i="4"/>
  <c r="AB7" i="4"/>
  <c r="AB28" i="4" s="1"/>
  <c r="AA7" i="4"/>
  <c r="AA28" i="4" s="1"/>
  <c r="Z7" i="4"/>
  <c r="Z27" i="4" s="1"/>
  <c r="AH7" i="4"/>
  <c r="AG7" i="4"/>
  <c r="AG6" i="4" s="1"/>
  <c r="AF7" i="4"/>
  <c r="AF28" i="4" s="1"/>
  <c r="AE7" i="4"/>
  <c r="AD7" i="4"/>
  <c r="AC7" i="4"/>
  <c r="W28" i="4"/>
  <c r="D36" i="4"/>
  <c r="C36" i="4"/>
  <c r="B36" i="4"/>
  <c r="J35" i="4"/>
  <c r="D35" i="4" s="1"/>
  <c r="I35" i="4"/>
  <c r="C35" i="4" s="1"/>
  <c r="H35" i="4"/>
  <c r="B35" i="4" s="1"/>
  <c r="J34" i="4"/>
  <c r="D34" i="4" s="1"/>
  <c r="H34" i="4"/>
  <c r="B34" i="4" s="1"/>
  <c r="J33" i="4"/>
  <c r="D33" i="4" s="1"/>
  <c r="I33" i="4"/>
  <c r="C33" i="4" s="1"/>
  <c r="H33" i="4"/>
  <c r="B33" i="4" s="1"/>
  <c r="J32" i="4"/>
  <c r="D32" i="4" s="1"/>
  <c r="I32" i="4"/>
  <c r="C32" i="4" s="1"/>
  <c r="H32" i="4"/>
  <c r="B32" i="4" s="1"/>
  <c r="AH28" i="4"/>
  <c r="Y28" i="4"/>
  <c r="X28" i="4"/>
  <c r="K28" i="4"/>
  <c r="AH27" i="4"/>
  <c r="AG27" i="4"/>
  <c r="Y27" i="4"/>
  <c r="X27" i="4"/>
  <c r="W27" i="4"/>
  <c r="K27" i="4"/>
  <c r="J25" i="4"/>
  <c r="D25" i="4" s="1"/>
  <c r="I25" i="4"/>
  <c r="C25" i="4" s="1"/>
  <c r="H25" i="4"/>
  <c r="B25" i="4" s="1"/>
  <c r="J24" i="4"/>
  <c r="D24" i="4" s="1"/>
  <c r="I24" i="4"/>
  <c r="C24" i="4" s="1"/>
  <c r="H24" i="4"/>
  <c r="B24" i="4" s="1"/>
  <c r="J23" i="4"/>
  <c r="D23" i="4" s="1"/>
  <c r="I23" i="4"/>
  <c r="C23" i="4" s="1"/>
  <c r="H23" i="4"/>
  <c r="B23" i="4" s="1"/>
  <c r="J22" i="4"/>
  <c r="D22" i="4" s="1"/>
  <c r="I22" i="4"/>
  <c r="C22" i="4" s="1"/>
  <c r="H22" i="4"/>
  <c r="B22" i="4" s="1"/>
  <c r="J21" i="4"/>
  <c r="D21" i="4" s="1"/>
  <c r="I21" i="4"/>
  <c r="C21" i="4" s="1"/>
  <c r="H21" i="4"/>
  <c r="B21" i="4" s="1"/>
  <c r="J20" i="4"/>
  <c r="D20" i="4" s="1"/>
  <c r="I20" i="4"/>
  <c r="C20" i="4" s="1"/>
  <c r="H20" i="4"/>
  <c r="B20" i="4" s="1"/>
  <c r="J19" i="4"/>
  <c r="D19" i="4" s="1"/>
  <c r="I19" i="4"/>
  <c r="C19" i="4" s="1"/>
  <c r="H19" i="4"/>
  <c r="B19" i="4" s="1"/>
  <c r="J18" i="4"/>
  <c r="D18" i="4" s="1"/>
  <c r="I18" i="4"/>
  <c r="C18" i="4" s="1"/>
  <c r="H18" i="4"/>
  <c r="B18" i="4" s="1"/>
  <c r="J17" i="4"/>
  <c r="D17" i="4" s="1"/>
  <c r="I17" i="4"/>
  <c r="C17" i="4" s="1"/>
  <c r="H17" i="4"/>
  <c r="B17" i="4" s="1"/>
  <c r="J16" i="4"/>
  <c r="D16" i="4" s="1"/>
  <c r="I16" i="4"/>
  <c r="C16" i="4" s="1"/>
  <c r="H16" i="4"/>
  <c r="B16" i="4" s="1"/>
  <c r="J15" i="4"/>
  <c r="D15" i="4" s="1"/>
  <c r="I15" i="4"/>
  <c r="C15" i="4" s="1"/>
  <c r="H15" i="4"/>
  <c r="B15" i="4" s="1"/>
  <c r="J13" i="4"/>
  <c r="D13" i="4" s="1"/>
  <c r="I13" i="4"/>
  <c r="C13" i="4" s="1"/>
  <c r="H13" i="4"/>
  <c r="B13" i="4" s="1"/>
  <c r="E11" i="4"/>
  <c r="J10" i="4"/>
  <c r="D10" i="4" s="1"/>
  <c r="I10" i="4"/>
  <c r="C10" i="4" s="1"/>
  <c r="H10" i="4"/>
  <c r="B10" i="4" s="1"/>
  <c r="J9" i="4"/>
  <c r="D9" i="4" s="1"/>
  <c r="I9" i="4"/>
  <c r="C9" i="4" s="1"/>
  <c r="H9" i="4"/>
  <c r="B9" i="4" s="1"/>
  <c r="AK28" i="4"/>
  <c r="AJ27" i="4"/>
  <c r="AI28" i="4"/>
  <c r="AE8" i="4"/>
  <c r="AD8" i="4"/>
  <c r="AD27" i="4" s="1"/>
  <c r="AC8" i="4"/>
  <c r="V28" i="4"/>
  <c r="U28" i="4"/>
  <c r="T28" i="4"/>
  <c r="S28" i="4"/>
  <c r="R28" i="4"/>
  <c r="Q28" i="4"/>
  <c r="P8" i="4"/>
  <c r="O8" i="4"/>
  <c r="O28" i="4" s="1"/>
  <c r="N8" i="4"/>
  <c r="G28" i="4"/>
  <c r="F28" i="4"/>
  <c r="E28" i="4"/>
  <c r="AK6" i="4"/>
  <c r="AJ6" i="4"/>
  <c r="AI6" i="4"/>
  <c r="AH6" i="4"/>
  <c r="Y6" i="4"/>
  <c r="X6" i="4"/>
  <c r="W6" i="4"/>
  <c r="U6" i="4"/>
  <c r="S6" i="4"/>
  <c r="Q6" i="4"/>
  <c r="K6" i="4"/>
  <c r="G6" i="4"/>
  <c r="F6" i="4"/>
  <c r="F39" i="4" s="1"/>
  <c r="E6" i="4"/>
  <c r="E39" i="4" s="1"/>
  <c r="M55" i="5" l="1"/>
  <c r="AF6" i="4"/>
  <c r="AC6" i="4"/>
  <c r="AC39" i="4" s="1"/>
  <c r="I34" i="4"/>
  <c r="C34" i="4" s="1"/>
  <c r="M13" i="5"/>
  <c r="M18" i="5"/>
  <c r="L6" i="4"/>
  <c r="L39" i="4" s="1"/>
  <c r="G69" i="5"/>
  <c r="N71" i="5"/>
  <c r="H7" i="4"/>
  <c r="B7" i="4" s="1"/>
  <c r="M27" i="4"/>
  <c r="AA27" i="4"/>
  <c r="M104" i="5"/>
  <c r="AA6" i="4"/>
  <c r="AC27" i="4"/>
  <c r="AB27" i="4"/>
  <c r="M34" i="5"/>
  <c r="M6" i="4"/>
  <c r="AF27" i="4"/>
  <c r="AE6" i="4"/>
  <c r="AE38" i="4" s="1"/>
  <c r="J7" i="4"/>
  <c r="D7" i="4" s="1"/>
  <c r="J42" i="5"/>
  <c r="D49" i="5"/>
  <c r="M106" i="5"/>
  <c r="M105" i="5"/>
  <c r="M108" i="5"/>
  <c r="Z6" i="4"/>
  <c r="Z38" i="4" s="1"/>
  <c r="I7" i="4"/>
  <c r="C7" i="4" s="1"/>
  <c r="P28" i="4"/>
  <c r="L27" i="4"/>
  <c r="Z28" i="4"/>
  <c r="AG28" i="4"/>
  <c r="M10" i="5"/>
  <c r="M14" i="5"/>
  <c r="M19" i="5"/>
  <c r="D42" i="5"/>
  <c r="M85" i="5"/>
  <c r="N82" i="5"/>
  <c r="D89" i="5"/>
  <c r="G106" i="5"/>
  <c r="O6" i="4"/>
  <c r="O38" i="4" s="1"/>
  <c r="I8" i="4"/>
  <c r="C8" i="4" s="1"/>
  <c r="AE27" i="4"/>
  <c r="N21" i="5"/>
  <c r="M21" i="5" s="1"/>
  <c r="N61" i="5"/>
  <c r="M61" i="5" s="1"/>
  <c r="AB6" i="4"/>
  <c r="AB39" i="4" s="1"/>
  <c r="N28" i="4"/>
  <c r="M12" i="5"/>
  <c r="M17" i="5"/>
  <c r="F92" i="5"/>
  <c r="F111" i="5" s="1"/>
  <c r="G64" i="5"/>
  <c r="D87" i="5"/>
  <c r="J87" i="5"/>
  <c r="G89" i="5"/>
  <c r="I11" i="4"/>
  <c r="C11" i="4" s="1"/>
  <c r="G39" i="4"/>
  <c r="G26" i="4"/>
  <c r="J11" i="4"/>
  <c r="D11" i="4" s="1"/>
  <c r="H11" i="4"/>
  <c r="B11" i="4" s="1"/>
  <c r="M107" i="5"/>
  <c r="M20" i="5"/>
  <c r="D33" i="5"/>
  <c r="G56" i="5"/>
  <c r="G61" i="5"/>
  <c r="M38" i="5"/>
  <c r="N56" i="5"/>
  <c r="M56" i="5" s="1"/>
  <c r="M88" i="5"/>
  <c r="G82" i="5"/>
  <c r="M81" i="5"/>
  <c r="G77" i="5"/>
  <c r="O77" i="5"/>
  <c r="M70" i="5"/>
  <c r="N69" i="5"/>
  <c r="M69" i="5" s="1"/>
  <c r="M68" i="5"/>
  <c r="M65" i="5"/>
  <c r="M60" i="5"/>
  <c r="I92" i="5"/>
  <c r="I111" i="5" s="1"/>
  <c r="M47" i="5"/>
  <c r="G44" i="5"/>
  <c r="M44" i="5"/>
  <c r="M46" i="5"/>
  <c r="M45" i="5"/>
  <c r="H92" i="5"/>
  <c r="H111" i="5" s="1"/>
  <c r="G42" i="5"/>
  <c r="M40" i="5"/>
  <c r="M37" i="5"/>
  <c r="G33" i="5"/>
  <c r="M36" i="5"/>
  <c r="J89" i="5"/>
  <c r="J77" i="5"/>
  <c r="J64" i="5"/>
  <c r="J61" i="5"/>
  <c r="J56" i="5"/>
  <c r="J49" i="5"/>
  <c r="J44" i="5"/>
  <c r="M9" i="5"/>
  <c r="M26" i="5"/>
  <c r="G21" i="5"/>
  <c r="M8" i="5"/>
  <c r="J21" i="5"/>
  <c r="O30" i="5"/>
  <c r="J33" i="5"/>
  <c r="O33" i="5"/>
  <c r="N42" i="5"/>
  <c r="M42" i="5" s="1"/>
  <c r="D44" i="5"/>
  <c r="G49" i="5"/>
  <c r="D56" i="5"/>
  <c r="D61" i="5"/>
  <c r="D64" i="5"/>
  <c r="N64" i="5"/>
  <c r="M64" i="5" s="1"/>
  <c r="J69" i="5"/>
  <c r="G71" i="5"/>
  <c r="M73" i="5"/>
  <c r="M75" i="5"/>
  <c r="D77" i="5"/>
  <c r="N77" i="5"/>
  <c r="J82" i="5"/>
  <c r="O82" i="5"/>
  <c r="G87" i="5"/>
  <c r="D21" i="5"/>
  <c r="E30" i="5"/>
  <c r="L92" i="5"/>
  <c r="L111" i="5" s="1"/>
  <c r="N49" i="5"/>
  <c r="M50" i="5"/>
  <c r="O49" i="5"/>
  <c r="M86" i="5"/>
  <c r="N87" i="5"/>
  <c r="M87" i="5" s="1"/>
  <c r="E92" i="5"/>
  <c r="E111" i="5" s="1"/>
  <c r="G30" i="5"/>
  <c r="M39" i="5"/>
  <c r="N33" i="5"/>
  <c r="M76" i="5"/>
  <c r="O71" i="5"/>
  <c r="M71" i="5" s="1"/>
  <c r="M90" i="5"/>
  <c r="O89" i="5"/>
  <c r="M89" i="5" s="1"/>
  <c r="K92" i="5"/>
  <c r="N6" i="4"/>
  <c r="N31" i="4" s="1"/>
  <c r="P6" i="4"/>
  <c r="P31" i="4" s="1"/>
  <c r="R6" i="4"/>
  <c r="R31" i="4" s="1"/>
  <c r="T6" i="4"/>
  <c r="T31" i="4" s="1"/>
  <c r="V6" i="4"/>
  <c r="X39" i="4"/>
  <c r="X38" i="4"/>
  <c r="AB38" i="4"/>
  <c r="AD6" i="4"/>
  <c r="AD31" i="4" s="1"/>
  <c r="AF39" i="4"/>
  <c r="AF38" i="4"/>
  <c r="AH39" i="4"/>
  <c r="AH38" i="4"/>
  <c r="AJ39" i="4"/>
  <c r="AJ38" i="4"/>
  <c r="H8" i="4"/>
  <c r="H6" i="4" s="1"/>
  <c r="J8" i="4"/>
  <c r="J6" i="4" s="1"/>
  <c r="F40" i="4"/>
  <c r="F31" i="4"/>
  <c r="L40" i="4"/>
  <c r="L31" i="4"/>
  <c r="N40" i="4"/>
  <c r="P40" i="4"/>
  <c r="R40" i="4"/>
  <c r="T40" i="4"/>
  <c r="V40" i="4"/>
  <c r="V31" i="4"/>
  <c r="X40" i="4"/>
  <c r="X31" i="4"/>
  <c r="Z40" i="4"/>
  <c r="Z31" i="4"/>
  <c r="AB40" i="4"/>
  <c r="AB31" i="4"/>
  <c r="AD40" i="4"/>
  <c r="AF40" i="4"/>
  <c r="AF31" i="4"/>
  <c r="AH40" i="4"/>
  <c r="AH31" i="4"/>
  <c r="AJ40" i="4"/>
  <c r="AJ31" i="4"/>
  <c r="F26" i="4"/>
  <c r="X26" i="4"/>
  <c r="X30" i="4" s="1"/>
  <c r="Z26" i="4"/>
  <c r="Z30" i="4" s="1"/>
  <c r="AB26" i="4"/>
  <c r="AB30" i="4" s="1"/>
  <c r="AF26" i="4"/>
  <c r="AF30" i="4" s="1"/>
  <c r="AH26" i="4"/>
  <c r="AH30" i="4" s="1"/>
  <c r="AJ26" i="4"/>
  <c r="AJ30" i="4" s="1"/>
  <c r="F27" i="4"/>
  <c r="C27" i="4" s="1"/>
  <c r="O27" i="4"/>
  <c r="Q27" i="4"/>
  <c r="S27" i="4"/>
  <c r="U27" i="4"/>
  <c r="AI27" i="4"/>
  <c r="AK27" i="4"/>
  <c r="AJ28" i="4"/>
  <c r="K39" i="4"/>
  <c r="K38" i="4"/>
  <c r="M39" i="4"/>
  <c r="M38" i="4"/>
  <c r="O39" i="4"/>
  <c r="Q39" i="4"/>
  <c r="Q38" i="4"/>
  <c r="S39" i="4"/>
  <c r="S38" i="4"/>
  <c r="U39" i="4"/>
  <c r="U38" i="4"/>
  <c r="W39" i="4"/>
  <c r="W38" i="4"/>
  <c r="Y39" i="4"/>
  <c r="Y38" i="4"/>
  <c r="AA39" i="4"/>
  <c r="AA38" i="4"/>
  <c r="AC38" i="4"/>
  <c r="AE39" i="4"/>
  <c r="AG39" i="4"/>
  <c r="AG38" i="4"/>
  <c r="AI39" i="4"/>
  <c r="AI38" i="4"/>
  <c r="AK39" i="4"/>
  <c r="AK38" i="4"/>
  <c r="E40" i="4"/>
  <c r="E31" i="4"/>
  <c r="G40" i="4"/>
  <c r="G31" i="4"/>
  <c r="K40" i="4"/>
  <c r="K31" i="4"/>
  <c r="M40" i="4"/>
  <c r="M31" i="4"/>
  <c r="O40" i="4"/>
  <c r="O31" i="4"/>
  <c r="Q40" i="4"/>
  <c r="Q31" i="4"/>
  <c r="S40" i="4"/>
  <c r="S31" i="4"/>
  <c r="U40" i="4"/>
  <c r="U31" i="4"/>
  <c r="W40" i="4"/>
  <c r="W31" i="4"/>
  <c r="Y40" i="4"/>
  <c r="Y31" i="4"/>
  <c r="AA40" i="4"/>
  <c r="AA31" i="4"/>
  <c r="AC40" i="4"/>
  <c r="AE40" i="4"/>
  <c r="AG40" i="4"/>
  <c r="AG31" i="4"/>
  <c r="AI40" i="4"/>
  <c r="AI31" i="4"/>
  <c r="AK40" i="4"/>
  <c r="AK31" i="4"/>
  <c r="E26" i="4"/>
  <c r="K26" i="4"/>
  <c r="K30" i="4" s="1"/>
  <c r="M26" i="4"/>
  <c r="M30" i="4" s="1"/>
  <c r="O26" i="4"/>
  <c r="O30" i="4" s="1"/>
  <c r="Q26" i="4"/>
  <c r="Q30" i="4" s="1"/>
  <c r="S26" i="4"/>
  <c r="S30" i="4" s="1"/>
  <c r="U26" i="4"/>
  <c r="U30" i="4" s="1"/>
  <c r="W26" i="4"/>
  <c r="W30" i="4" s="1"/>
  <c r="Y26" i="4"/>
  <c r="Y30" i="4" s="1"/>
  <c r="AA26" i="4"/>
  <c r="AA30" i="4" s="1"/>
  <c r="AC26" i="4"/>
  <c r="AC30" i="4" s="1"/>
  <c r="AG26" i="4"/>
  <c r="AG30" i="4" s="1"/>
  <c r="AI26" i="4"/>
  <c r="AI30" i="4" s="1"/>
  <c r="AK26" i="4"/>
  <c r="AK30" i="4" s="1"/>
  <c r="E27" i="4"/>
  <c r="B27" i="4" s="1"/>
  <c r="G27" i="4"/>
  <c r="D27" i="4" s="1"/>
  <c r="N27" i="4"/>
  <c r="P27" i="4"/>
  <c r="R27" i="4"/>
  <c r="T27" i="4"/>
  <c r="V27" i="4"/>
  <c r="AC31" i="4" l="1"/>
  <c r="L26" i="4"/>
  <c r="L30" i="4" s="1"/>
  <c r="Z39" i="4"/>
  <c r="L38" i="4"/>
  <c r="N30" i="5"/>
  <c r="M82" i="5"/>
  <c r="D92" i="5"/>
  <c r="AE26" i="4"/>
  <c r="AE30" i="4" s="1"/>
  <c r="AE31" i="4"/>
  <c r="G111" i="5"/>
  <c r="F93" i="5"/>
  <c r="F95" i="5" s="1"/>
  <c r="F112" i="5"/>
  <c r="I112" i="5"/>
  <c r="I6" i="4"/>
  <c r="I26" i="4" s="1"/>
  <c r="I30" i="4" s="1"/>
  <c r="D111" i="5"/>
  <c r="M77" i="5"/>
  <c r="G92" i="5"/>
  <c r="I93" i="5"/>
  <c r="I95" i="5" s="1"/>
  <c r="H93" i="5"/>
  <c r="H95" i="5" s="1"/>
  <c r="H112" i="5"/>
  <c r="O92" i="5"/>
  <c r="O112" i="5" s="1"/>
  <c r="J92" i="5"/>
  <c r="K111" i="5"/>
  <c r="J111" i="5" s="1"/>
  <c r="N92" i="5"/>
  <c r="M33" i="5"/>
  <c r="J30" i="5"/>
  <c r="K112" i="5"/>
  <c r="K93" i="5"/>
  <c r="M49" i="5"/>
  <c r="M30" i="5"/>
  <c r="L112" i="5"/>
  <c r="D30" i="5"/>
  <c r="D93" i="5" s="1"/>
  <c r="E112" i="5"/>
  <c r="E93" i="5"/>
  <c r="E95" i="5" s="1"/>
  <c r="L93" i="5"/>
  <c r="L95" i="5" s="1"/>
  <c r="J26" i="4"/>
  <c r="J30" i="4" s="1"/>
  <c r="D6" i="4"/>
  <c r="H26" i="4"/>
  <c r="H30" i="4" s="1"/>
  <c r="B6" i="4"/>
  <c r="E30" i="4"/>
  <c r="H40" i="4"/>
  <c r="B40" i="4" s="1"/>
  <c r="F30" i="4"/>
  <c r="I40" i="4"/>
  <c r="C40" i="4" s="1"/>
  <c r="B8" i="4"/>
  <c r="V39" i="4"/>
  <c r="V38" i="4"/>
  <c r="V26" i="4"/>
  <c r="V30" i="4" s="1"/>
  <c r="R39" i="4"/>
  <c r="R38" i="4"/>
  <c r="R26" i="4"/>
  <c r="R30" i="4" s="1"/>
  <c r="N39" i="4"/>
  <c r="N38" i="4"/>
  <c r="N26" i="4"/>
  <c r="N30" i="4" s="1"/>
  <c r="J40" i="4"/>
  <c r="D40" i="4" s="1"/>
  <c r="G30" i="4"/>
  <c r="J31" i="4"/>
  <c r="D31" i="4" s="1"/>
  <c r="H31" i="4"/>
  <c r="B31" i="4" s="1"/>
  <c r="I31" i="4"/>
  <c r="C31" i="4" s="1"/>
  <c r="D8" i="4"/>
  <c r="AD39" i="4"/>
  <c r="I39" i="4" s="1"/>
  <c r="C39" i="4" s="1"/>
  <c r="AD38" i="4"/>
  <c r="AD26" i="4"/>
  <c r="AD30" i="4" s="1"/>
  <c r="T39" i="4"/>
  <c r="T38" i="4"/>
  <c r="H38" i="4" s="1"/>
  <c r="B38" i="4" s="1"/>
  <c r="T26" i="4"/>
  <c r="T30" i="4" s="1"/>
  <c r="P39" i="4"/>
  <c r="J39" i="4" s="1"/>
  <c r="D39" i="4" s="1"/>
  <c r="P38" i="4"/>
  <c r="P26" i="4"/>
  <c r="P30" i="4" s="1"/>
  <c r="D95" i="5" l="1"/>
  <c r="D112" i="5"/>
  <c r="C6" i="4"/>
  <c r="J38" i="4"/>
  <c r="D38" i="4" s="1"/>
  <c r="G112" i="5"/>
  <c r="I38" i="4"/>
  <c r="C38" i="4" s="1"/>
  <c r="C26" i="4"/>
  <c r="C30" i="4" s="1"/>
  <c r="D26" i="4"/>
  <c r="D30" i="4" s="1"/>
  <c r="N112" i="5"/>
  <c r="N93" i="5"/>
  <c r="O111" i="5"/>
  <c r="O93" i="5"/>
  <c r="O95" i="5" s="1"/>
  <c r="G93" i="5"/>
  <c r="G95" i="5"/>
  <c r="M112" i="5"/>
  <c r="N111" i="5"/>
  <c r="M92" i="5"/>
  <c r="J93" i="5"/>
  <c r="K95" i="5"/>
  <c r="J95" i="5" s="1"/>
  <c r="J112" i="5"/>
  <c r="H39" i="4"/>
  <c r="B39" i="4" s="1"/>
  <c r="B26" i="4"/>
  <c r="B30" i="4" s="1"/>
  <c r="M111" i="5" l="1"/>
  <c r="N95" i="5"/>
  <c r="M93" i="5"/>
  <c r="M95" i="5" s="1"/>
  <c r="M97" i="5" s="1"/>
  <c r="M99" i="5" s="1"/>
  <c r="M101" i="5" s="1"/>
</calcChain>
</file>

<file path=xl/comments1.xml><?xml version="1.0" encoding="utf-8"?>
<comments xmlns="http://schemas.openxmlformats.org/spreadsheetml/2006/main">
  <authors>
    <author>Автор</author>
  </authors>
  <commentList>
    <comment ref="K21" authorId="0" shapeId="0">
      <text>
        <r>
          <rPr>
            <b/>
            <sz val="8"/>
            <color indexed="81"/>
            <rFont val="Tahoma"/>
            <family val="2"/>
            <charset val="204"/>
          </rPr>
          <t xml:space="preserve">Автор:
</t>
        </r>
      </text>
    </comment>
  </commentList>
</comments>
</file>

<file path=xl/sharedStrings.xml><?xml version="1.0" encoding="utf-8"?>
<sst xmlns="http://schemas.openxmlformats.org/spreadsheetml/2006/main" count="12551" uniqueCount="1438">
  <si>
    <t>Приложение  №  1</t>
  </si>
  <si>
    <t xml:space="preserve">к решению районного  Совета </t>
  </si>
  <si>
    <t xml:space="preserve">народных депутатов </t>
  </si>
  <si>
    <r>
      <t xml:space="preserve">                                                                                                     </t>
    </r>
    <r>
      <rPr>
        <sz val="12"/>
        <rFont val="Arial Narrow"/>
        <family val="2"/>
        <charset val="204"/>
      </rPr>
      <t xml:space="preserve">                            </t>
    </r>
  </si>
  <si>
    <t>Код ГАД (АД)</t>
  </si>
  <si>
    <t>Код вида (подвида) доходов</t>
  </si>
  <si>
    <t>Наименование</t>
  </si>
  <si>
    <t>Главные администраторы - органы государственной власти Российской Федерации</t>
  </si>
  <si>
    <t xml:space="preserve">Федеральная налоговая служба </t>
  </si>
  <si>
    <t>1 01 02000 01 0000 110</t>
  </si>
  <si>
    <t>Налог на доходы физических  лиц</t>
  </si>
  <si>
    <t>1 05 01000 00 0000 110</t>
  </si>
  <si>
    <t>Налог, взимаемый в связи с применением упрощенной системой налогообложения</t>
  </si>
  <si>
    <t>1 05 02000 02 0000 110</t>
  </si>
  <si>
    <t>Единый налог на вмененный доход для отдельных видов деятельности</t>
  </si>
  <si>
    <t>1 05 03000 01 0000 110</t>
  </si>
  <si>
    <t>Единый сельскохозяйственный налог</t>
  </si>
  <si>
    <t>1 06 01030 05 0000 110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</si>
  <si>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</si>
  <si>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1 06 06013 05 0000 110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</si>
  <si>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расположенных в границах межселенных территорий</t>
  </si>
  <si>
    <t>1 06 06023 05 0000 110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</si>
  <si>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межселенных территорий</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</si>
  <si>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</si>
  <si>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</si>
  <si>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1 09 01030 05 0000 110</t>
  </si>
  <si>
    <t>Налог на прибыль организаций, зачислявшийся до 1 января 2005 года в местные бюджеты, мобилизуемый на территориях муниципальных районов</t>
  </si>
  <si>
    <t>1 09 04053 05 0000 110</t>
  </si>
  <si>
    <t>Земельный налог (по обязательствам, возникшим до 1 января 2006 года), мобилизуемый на межселенных территориях</t>
  </si>
  <si>
    <t>1 16 03010 01 0000 140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</si>
  <si>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</si>
  <si>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</si>
  <si>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</si>
  <si>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</si>
  <si>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</si>
  <si>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 xml:space="preserve">1 16 08000 01 0000 140 </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</si>
  <si>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</si>
  <si>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048</t>
  </si>
  <si>
    <t>Федеральная служба по надзору в сфере природопользования</t>
  </si>
  <si>
    <t>1 12 01000 01 0000 120</t>
  </si>
  <si>
    <t>Плата за негативное воздействие на окружающую среду</t>
  </si>
  <si>
    <t>1 16 25050 01 0000 140</t>
  </si>
  <si>
    <t>Денежные взыскания (штрафы) за нарушение  законодательства в области охраны окружающей среды</t>
  </si>
  <si>
    <t>076</t>
  </si>
  <si>
    <t>Федеральное агентство по рыболовству</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</si>
  <si>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</si>
  <si>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</si>
  <si>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1 16 25030 01 0000 140</t>
  </si>
  <si>
    <t>Денежные взыскания (штрафы) за нарушение  законодательства Российской Федерации об охране и использовании животного мира</t>
  </si>
  <si>
    <t>Федеральная миграционная служба</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</si>
  <si>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</si>
  <si>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предусмотренных статьей 20.25 Кодекса Российской Федерации об административных правонарушениях</t>
  </si>
  <si>
    <t>Федеральная служба государственной регистрации, кадастра и картографии</t>
  </si>
  <si>
    <t>1 16 25060 01 0000 140</t>
  </si>
  <si>
    <t>Денежные взыскания (штрафы) за нарушение земельного законодательства</t>
  </si>
  <si>
    <t>Министерство внутренних дел Российской Федерации</t>
  </si>
  <si>
    <t>1 16 30030 01 6000 140</t>
  </si>
  <si>
    <t>Прочие денежные взыскания (штрафы) за правонарушения в области дорожного движения</t>
  </si>
  <si>
    <t>Федеральная служба по надзору в сфере защиты прав потребителей и благополучия человека</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</si>
  <si>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</si>
  <si>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</si>
  <si>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Федеральное казначейство</t>
  </si>
  <si>
    <t>1 17 01010 01 0000 180</t>
  </si>
  <si>
    <t>Невыясненные поступления, зачисляемые в федеральный бюджет</t>
  </si>
  <si>
    <t>1 03 02230 01 0000 110</t>
  </si>
  <si>
    <t>Доходы от уплаты акцизов на дизельное топливо, зачисляемые в консолидированные бюджеты субъектов Российской Федерации</t>
  </si>
  <si>
    <t>1 03 02240 01 0000 110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</si>
  <si>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</si>
  <si>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1 03 02250 01 0000 110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</si>
  <si>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</si>
  <si>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1 03 02260 01 0000 110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</si>
  <si>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</si>
  <si>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Федеральная антимонопольная служба</t>
  </si>
  <si>
    <t>1 16 33050 05 6000 140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</si>
  <si>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</si>
  <si>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Главные администраторы - органы государственной власти субъекта Российской Федерации</t>
  </si>
  <si>
    <t>019</t>
  </si>
  <si>
    <t>Государственная инспекция по надзору за техническим состоянием самоходных машин и других видов техники Амурской области (Гостехнадзор)</t>
  </si>
  <si>
    <t>1 08 07142 01 0000 110</t>
  </si>
  <si>
    <t>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 регистрации тракторов, самоходных и иных машин, за выдачу удостоверений тракториста- машиниста (тракториста), временного удостоверения на право управления самоходными машинами</t>
  </si>
  <si>
    <t>Управление ветеринарии Амурской области</t>
  </si>
  <si>
    <t>Инспекция государственного строительного надзора Амурской области</t>
  </si>
  <si>
    <t>Управление по охране, контролю и регулированию использования объектов животного мира и среды их обитания Амурской области</t>
  </si>
  <si>
    <t>Государственная жилищная инспекция Амурской области</t>
  </si>
  <si>
    <t>Министерство здравоохранения Амурской области</t>
  </si>
  <si>
    <t>Главные администраторы - органы местного самоуправления</t>
  </si>
  <si>
    <t>001</t>
  </si>
  <si>
    <t>администрация Сковородинского района</t>
  </si>
  <si>
    <t>1 16 33050 05 0000 140</t>
  </si>
  <si>
    <t>1 17 01050 05 0000 180</t>
  </si>
  <si>
    <t>Невыясненные поступления, зачисляемые в бюджеты муниципальных районов</t>
  </si>
  <si>
    <t>2 00 00000 00 0000 000*</t>
  </si>
  <si>
    <t xml:space="preserve">Безвозмездные поступления </t>
  </si>
  <si>
    <t>002</t>
  </si>
  <si>
    <t>Финансовое управление  администрации Сковородинского района</t>
  </si>
  <si>
    <t>1 08 04020 01 1000 110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</si>
  <si>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t>
  </si>
  <si>
    <t>1 08 04020 01 4000 110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</si>
  <si>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(прочие поступления)</t>
  </si>
  <si>
    <t xml:space="preserve">1 08 07150 01 1000 110 </t>
  </si>
  <si>
    <t>Государственная пошлина за выдачу разрешения на установку рекламной конструкции (сумма платежа)</t>
  </si>
  <si>
    <t xml:space="preserve">1 08 07150 01 4000 110 </t>
  </si>
  <si>
    <t>Государственная пошлина за выдачу разрешения на установку рекламной конструкции (прочие поступления)</t>
  </si>
  <si>
    <t>1 11 03050 05 0000 120</t>
  </si>
  <si>
    <t>Проценты, полученные от предоставления бюджетных кредитов внутри  страны за счет средств бюджетов муниципальных районов</t>
  </si>
  <si>
    <t>1 13 01995 05 0000 130</t>
  </si>
  <si>
    <t>Прочие доходы от оказания платных услуг (работ) получателями средств бюджетов муниципальных районов</t>
  </si>
  <si>
    <t>1 13 02995 05 0000 130</t>
  </si>
  <si>
    <t>Прочие доходы от компенсации затрат бюджетов муниципальных районов</t>
  </si>
  <si>
    <t xml:space="preserve">1 15 02050 05 0000 140  </t>
  </si>
  <si>
    <t>Платежи, взимаемые  органами местного самоуправления (организациями)  муниципальных районов за  выполнение определенных функций</t>
  </si>
  <si>
    <t xml:space="preserve">1 16 90050 05 0000 140 </t>
  </si>
  <si>
    <t>Прочие поступления от денежных взысканий (штрафов) и иных сумм в возмещение ущерба, зачисляемые в бюджеты муниципальных районов.</t>
  </si>
  <si>
    <t>1 17 05050 05 0000 180</t>
  </si>
  <si>
    <t>Прочие неналоговые доходы бюджетов муниципальных районов</t>
  </si>
  <si>
    <t>2 18 05010 05 0000 151</t>
  </si>
  <si>
    <t>Доходы бюджетов муниципальных районов от возврата остатков субсидий, субвенций и иных межбюджетных трансфертов, имеющих целевое назначение , прошлых лет из бюджетов поселений</t>
  </si>
  <si>
    <t>2 18 05010 05 0000 180</t>
  </si>
  <si>
    <t>Доходы бюджетов муниципальных районов от возврата бюджетными учреждениями остатков субсидий прошлых лет</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</si>
  <si>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</si>
  <si>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</si>
  <si>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003</t>
  </si>
  <si>
    <t>Отдел образования администрации Сковородинского района</t>
  </si>
  <si>
    <t>Безвозмездные поступления</t>
  </si>
  <si>
    <t>014</t>
  </si>
  <si>
    <t xml:space="preserve">Комитет по управлению муниципальным  имуществом  </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</si>
  <si>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</si>
  <si>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 же средства от продажи права на  заключение  договоров аренды указанных земельных участков</t>
  </si>
  <si>
    <t>1 11 05013 10 0000 120</t>
  </si>
  <si>
    <t>1 11 05025 05 0000 120</t>
  </si>
  <si>
    <t>Доходы, получаемые в виде  арендной платы,  а так 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</si>
  <si>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</si>
  <si>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</si>
  <si>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</si>
  <si>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</si>
  <si>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1 11 09035 05 0000 120  </t>
  </si>
  <si>
    <t>Доходы от эксплуатации и использования имущества автомобильных дорог, находящихся в собственности муниципальных районов</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</si>
  <si>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</si>
  <si>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</si>
  <si>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1 14 02053 05 0000 410</t>
  </si>
  <si>
    <t xml:space="preserve">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 же имущества муниципальных унитарных предприятий, в том  числе казенных), в части реализации основных средств по указанному имуществу </t>
  </si>
  <si>
    <t>1 14 06013 05 0000 430</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</si>
  <si>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</si>
  <si>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1 14 06013 10 0000 430</t>
  </si>
  <si>
    <t>1 14 06025 05 0000 430</t>
  </si>
  <si>
    <t>Доходы  от продажи земельных участков, находящихся  в собственности муниципальных районов ( за исключением земельных участков муниципальных  бюджетных и автономных учреждений)</t>
  </si>
  <si>
    <t>1 15 02050 05 0000 140</t>
  </si>
  <si>
    <t>Платежи, взимаемые органами местного самоуправления (организациями) муниципальных районов  за выполнение определенных функций</t>
  </si>
  <si>
    <t xml:space="preserve">1 17 02020 05 0000 180 </t>
  </si>
  <si>
    <t>Возмещение потерь сельскохозяйственного производства, связанных с изъятием сельскохозяйственных угодий, расположенных на межселенных территориях (по обязательствам, возникшим до 1 января 2008 года)</t>
  </si>
  <si>
    <t>1 17 02020 10 0000 180</t>
  </si>
  <si>
    <t>Администрация Сковородинского района</t>
  </si>
  <si>
    <t>* Администрирование поступлений по всем подстатьям и программам соответствующей статьи осуществляется администратором, указанным в группировочном коде бюджетной  классификации</t>
  </si>
  <si>
    <t>(проект)</t>
  </si>
  <si>
    <t xml:space="preserve">Главные администраторы (администраторы) доходов районного бюджета, закрепляемые за ними виды (подвиды) доходов </t>
  </si>
  <si>
    <t>к решению районного Совета</t>
  </si>
  <si>
    <t xml:space="preserve">     народных депутатов</t>
  </si>
  <si>
    <t xml:space="preserve">                </t>
  </si>
  <si>
    <t>182</t>
  </si>
  <si>
    <t>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</si>
  <si>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</si>
  <si>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</si>
  <si>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100</t>
  </si>
  <si>
    <t>Единый налог на вмененный доход для отдельных видов деятельности (за налоговые периоды, истекшие до 1 января 2011 года)</t>
  </si>
  <si>
    <t>120</t>
  </si>
  <si>
    <t>410</t>
  </si>
  <si>
    <t>430</t>
  </si>
  <si>
    <t>140</t>
  </si>
  <si>
    <t>Платежи, взимаемые органами местного самоуправления (организациями) муниципальных районов за выполнение определенных функций</t>
  </si>
  <si>
    <t>Денежные взыскания (штрафы) за нарушение законодательства Российской Федерации об охране и использовании животного мира</t>
  </si>
  <si>
    <t>927</t>
  </si>
  <si>
    <t>188</t>
  </si>
  <si>
    <t>192</t>
  </si>
  <si>
    <t>180</t>
  </si>
  <si>
    <t xml:space="preserve"> Доходы районного бюджета  на 2015  год  и плановый период 2016 и 2017 годов</t>
  </si>
  <si>
    <t>КВД</t>
  </si>
  <si>
    <t>КОСГУ</t>
  </si>
  <si>
    <t>Гл. администратор</t>
  </si>
  <si>
    <t>Наименование КВД</t>
  </si>
  <si>
    <t>10102010010000</t>
  </si>
  <si>
    <t>10102020010000</t>
  </si>
  <si>
    <t>10102030010000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</si>
  <si>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</si>
  <si>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10302230010000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</si>
  <si>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</si>
  <si>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</si>
  <si>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</si>
  <si>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</si>
  <si>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</si>
  <si>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</si>
  <si>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</si>
  <si>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10502020020000</t>
  </si>
  <si>
    <t>10503010010000</t>
  </si>
  <si>
    <t>10606013051000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</si>
  <si>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</si>
  <si>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10606013052000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</si>
  <si>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 (пени и проценты по соответствующему платежу)</t>
  </si>
  <si>
    <t>10606023051000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</si>
  <si>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</si>
  <si>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10803010011000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</si>
  <si>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</si>
  <si>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10804020011000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</si>
  <si>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t>
  </si>
  <si>
    <t>11103050050000</t>
  </si>
  <si>
    <t>Проценты, полученные от предоставления бюджетных кредитов внутри страны за счет средств бюджетов муниципальных районов</t>
  </si>
  <si>
    <t>11105013100000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</si>
  <si>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</si>
  <si>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11107015050000</t>
  </si>
  <si>
    <t>11109045050000</t>
  </si>
  <si>
    <t>11201010016000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</si>
  <si>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</si>
  <si>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11201020016000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</si>
  <si>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</si>
  <si>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11201040016000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</si>
  <si>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</si>
  <si>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11402053050000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</si>
  <si>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</si>
  <si>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11406013100000</t>
  </si>
  <si>
    <t>Доходы от продажи земельных участков, государственная собственность на которые не разграничена и которые расположены в границах поселений</t>
  </si>
  <si>
    <t>11502050050000</t>
  </si>
  <si>
    <t>11603010016000</t>
  </si>
  <si>
    <t>11625030010000</t>
  </si>
  <si>
    <t>11643000016000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</si>
  <si>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</si>
  <si>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11690050056000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</si>
  <si>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</si>
  <si>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11705050050000</t>
  </si>
  <si>
    <t>ИТОГО:</t>
  </si>
  <si>
    <t>Приложение №3</t>
  </si>
  <si>
    <t>Сумма на 2015 год</t>
  </si>
  <si>
    <t xml:space="preserve">Сумма на  2016 год </t>
  </si>
  <si>
    <t>Сумма на 2017 год</t>
  </si>
  <si>
    <t>(руб.коп.)</t>
  </si>
  <si>
    <t>ПРОГНОЗ ОСНОВНЫХ ХАРАКТЕРИСТИК КОНСОЛИДИРОВАННОГО БЮДЖЕТА СКОВОРОДИНСКОГО РАЙОНА НА 2015-2017 ГОДЫ</t>
  </si>
  <si>
    <t>тыс. руб.</t>
  </si>
  <si>
    <t>Консолидированный бюджет</t>
  </si>
  <si>
    <t>Районный бюджет</t>
  </si>
  <si>
    <t>Бюджеты поселений</t>
  </si>
  <si>
    <t>в том числе:</t>
  </si>
  <si>
    <t>Албазино</t>
  </si>
  <si>
    <t>Джалинда</t>
  </si>
  <si>
    <t>Ерофей Павлович</t>
  </si>
  <si>
    <t>Невер</t>
  </si>
  <si>
    <t>Сковородино</t>
  </si>
  <si>
    <t>Солнечный</t>
  </si>
  <si>
    <t>Талдан</t>
  </si>
  <si>
    <t>Тахтамыгда</t>
  </si>
  <si>
    <t>Уруша</t>
  </si>
  <si>
    <t>Доходы бюджета - ВСЕГО</t>
  </si>
  <si>
    <t>Налоговые  доходы</t>
  </si>
  <si>
    <t>Неналоговые доходы</t>
  </si>
  <si>
    <t>Доходы от предпринимательской и иной приносящей доход деятельности</t>
  </si>
  <si>
    <t>Расходы бюджета - ВСЕГО</t>
  </si>
  <si>
    <t>Условно утвержденные расходы</t>
  </si>
  <si>
    <t>Общегосударственные вопросы</t>
  </si>
  <si>
    <t>Национальная безопасность и правоохранительная деятельность</t>
  </si>
  <si>
    <t>Национальная экономика</t>
  </si>
  <si>
    <t>Жилищно-коммунальное хозяйство</t>
  </si>
  <si>
    <t>Охрана окружающей среды</t>
  </si>
  <si>
    <t>Образование</t>
  </si>
  <si>
    <t>Культура и кинематография</t>
  </si>
  <si>
    <t>Здравоохранение</t>
  </si>
  <si>
    <t>Социальная политика</t>
  </si>
  <si>
    <t>Физическая культура</t>
  </si>
  <si>
    <t>Обслуживание государственного и муниципального долга</t>
  </si>
  <si>
    <t>Межбюджетные трансферты бюджетам субъектов Российской Федерации и муниципальных образований общего характера</t>
  </si>
  <si>
    <t>Дефицит (-)/ Профицит (+) (расчетный)</t>
  </si>
  <si>
    <t>Дефицит (-)/ Профицит (+) (по нормативу)</t>
  </si>
  <si>
    <t>Расходы на аппарат из расчета на норматив</t>
  </si>
  <si>
    <t>Источники финансирования дефицита бюджетов - ВСЕГО</t>
  </si>
  <si>
    <t>Получение кредитов от кредитных организаций в валюте РФ</t>
  </si>
  <si>
    <t>Погашение кредитов, предоставленных кредитными организациями в валюте РФ</t>
  </si>
  <si>
    <t>Получение кредитов от других бюджетов бюджетной системы  в валюте РФ</t>
  </si>
  <si>
    <t>Погашение кредитов, предоставленных другими бюджетами  в валюте РФ</t>
  </si>
  <si>
    <t>Возврат бюджетных кредитов, предоставленных другим бюджетам</t>
  </si>
  <si>
    <t>Предоставление бюджетных кредитов другим бюджетам бюджетной системы</t>
  </si>
  <si>
    <t>Иные источники</t>
  </si>
  <si>
    <t>Остатки средств бюджетов</t>
  </si>
  <si>
    <t>Увеличение прочих остатков средств бюджетов</t>
  </si>
  <si>
    <t>Уменьшение прочих остатков средств бюджетов</t>
  </si>
  <si>
    <t>ОЦЕНКА ОЖИДАЕМОГО ИСПОЛНЕНИЯ КОНСОЛИДИРОВАННОГО БЮДЖЕТА СКОВОРОДИНСКОГО РАЙОНА ЗА 2014 ГОД</t>
  </si>
  <si>
    <t>КБК</t>
  </si>
  <si>
    <t>План на 2014 год</t>
  </si>
  <si>
    <t>Исполнено на 01.10.2014 г.</t>
  </si>
  <si>
    <t>Уточненный план на 01.10.2014 г.</t>
  </si>
  <si>
    <t>Ожидаемое исполнение за 2014 год</t>
  </si>
  <si>
    <t>ДОХОДЫ БЮДЖЕТА</t>
  </si>
  <si>
    <t>ГР</t>
  </si>
  <si>
    <t>ПГР</t>
  </si>
  <si>
    <t>1</t>
  </si>
  <si>
    <t>01</t>
  </si>
  <si>
    <t>Налоги на прибыль, доходы</t>
  </si>
  <si>
    <t>03</t>
  </si>
  <si>
    <t>Налоги на товары (работы, услуги), реализуемые на территории Российской Федерации</t>
  </si>
  <si>
    <t>05</t>
  </si>
  <si>
    <t>Налоги на совокупный доход</t>
  </si>
  <si>
    <t>06</t>
  </si>
  <si>
    <t>Налоги на имущество</t>
  </si>
  <si>
    <t>08</t>
  </si>
  <si>
    <t>Государственная пошлина</t>
  </si>
  <si>
    <t>09</t>
  </si>
  <si>
    <t>Задолженность и перерасчеты по отмененным налогам, сборам и иным обязательным платежам</t>
  </si>
  <si>
    <t>11</t>
  </si>
  <si>
    <t>Доходы от использования имущества, находящегося в государственной и муниципальной собственности</t>
  </si>
  <si>
    <t>12</t>
  </si>
  <si>
    <t>Платежи при пользовании природными ресурсами</t>
  </si>
  <si>
    <t>13</t>
  </si>
  <si>
    <t>Доходы от оказания платных услуг и компенсация затрат государства</t>
  </si>
  <si>
    <t>14</t>
  </si>
  <si>
    <t>Доходы от продажи материальных и нематериальных активов</t>
  </si>
  <si>
    <t>15</t>
  </si>
  <si>
    <t>Административные платежи и сборы</t>
  </si>
  <si>
    <t>16</t>
  </si>
  <si>
    <t>Штрафы, санкции, возмещение ущерба</t>
  </si>
  <si>
    <t>17</t>
  </si>
  <si>
    <t>Прочие неналоговые доходы</t>
  </si>
  <si>
    <t>02</t>
  </si>
  <si>
    <t>00</t>
  </si>
  <si>
    <t>2</t>
  </si>
  <si>
    <t>Дотации бюджетам субъектов РФ и муниципальных образований</t>
  </si>
  <si>
    <t>Субсидии бюджетам субъектов РФ и муниципальных образований (межбюджетные субсидии)</t>
  </si>
  <si>
    <t>Субвенции бюджетам субъектов РФ и муниципальных образований</t>
  </si>
  <si>
    <t>Иные межбюджетные трансферты</t>
  </si>
  <si>
    <t>Прочие  безвозмездные поступления</t>
  </si>
  <si>
    <t>18</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</si>
  <si>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</si>
  <si>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19</t>
  </si>
  <si>
    <t>Возврат остатков субсидий, субвенций, иных межбюджетных трансфертов имеющих целевое назначение прошлых лет</t>
  </si>
  <si>
    <t xml:space="preserve">Прочие безвозмездные поступления </t>
  </si>
  <si>
    <t>ДОХОДЫ БЮДЖЕТА - ИТОГО</t>
  </si>
  <si>
    <t xml:space="preserve">РАСХОДЫ БЮДЖЕТА </t>
  </si>
  <si>
    <t>РЗ</t>
  </si>
  <si>
    <t>ПРЗ</t>
  </si>
  <si>
    <t>Функционирование высшего должностного лица органа местного самоуправления</t>
  </si>
  <si>
    <t>Функционирование представительных органов местного самоуправления</t>
  </si>
  <si>
    <t>04</t>
  </si>
  <si>
    <t>Функционирование местных администраций</t>
  </si>
  <si>
    <t>Судебная система</t>
  </si>
  <si>
    <t>Обеспечение деятельности финансовых органов  и органов финансового надзора</t>
  </si>
  <si>
    <t>07</t>
  </si>
  <si>
    <t>Обеспечение проведения выборов и референдумов</t>
  </si>
  <si>
    <t>Резервные фонды</t>
  </si>
  <si>
    <t>Другие общегосударственные вопросы</t>
  </si>
  <si>
    <t>Национальная оборона</t>
  </si>
  <si>
    <t>Мобилизационная и вневойсковая подготовка</t>
  </si>
  <si>
    <t>Органы внутренних дел</t>
  </si>
  <si>
    <t>Защита населения и территории от  чрезвычайных ситуаций природного и техногенного характера, гражданская оборона</t>
  </si>
  <si>
    <t>10</t>
  </si>
  <si>
    <t>Обеспечение пожарной безопасности</t>
  </si>
  <si>
    <t>Другие вопросы в области национальной безопасности и правоохранительной деятельности</t>
  </si>
  <si>
    <t>Общеэкономические вопросы</t>
  </si>
  <si>
    <t>Сельское хозяйство и рыболовство</t>
  </si>
  <si>
    <t>Водные ресурсы</t>
  </si>
  <si>
    <t>Транспорт</t>
  </si>
  <si>
    <t>Дорожное хозяйство</t>
  </si>
  <si>
    <t>Другие вопросы в области национальной экономики</t>
  </si>
  <si>
    <t>Жилищное хозяйство</t>
  </si>
  <si>
    <t>Коммунальное хозяйство</t>
  </si>
  <si>
    <t>Благоустройство</t>
  </si>
  <si>
    <t>Другие вопросы в области жилищно-коммунального хозяйства</t>
  </si>
  <si>
    <t>Сбор, удаление отходов и очистка сточных вод</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</si>
  <si>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</si>
  <si>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</si>
  <si>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</si>
  <si>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</si>
  <si>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 кинематография, средства массовой информации</t>
  </si>
  <si>
    <t>Культура</t>
  </si>
  <si>
    <t>Стационарная медицинская помощь</t>
  </si>
  <si>
    <t>Амбулаторная помощь</t>
  </si>
  <si>
    <t>Скорая медицинская помощь</t>
  </si>
  <si>
    <t>Санитарно-эпидемиологическое благополучие</t>
  </si>
  <si>
    <t>Другие вопросы в области здравоохранения</t>
  </si>
  <si>
    <t>Пенсионное обеспечение</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</si>
  <si>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</si>
  <si>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</si>
  <si>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</si>
  <si>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</si>
  <si>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</si>
  <si>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Прикладные научные исследования в области физической культуры и спорта</t>
  </si>
  <si>
    <t>Другие вопросы в области физической культуры и спорта</t>
  </si>
  <si>
    <t>Обслуживание внутреннего государственного и муниципального долга</t>
  </si>
  <si>
    <t>Межбюджетные трансферты бюджетам субъектов Российскорй Федерации и муниципальных образований общего характера</t>
  </si>
  <si>
    <t>Дотации на выравнивание бюджетной обеспеченности субъектов Российской Федерации и муниципальных образований</t>
  </si>
  <si>
    <t>Прочие межбюджетныетрансферты общего характера</t>
  </si>
  <si>
    <t>96</t>
  </si>
  <si>
    <t>Расходы бюджета - ИТОГО</t>
  </si>
  <si>
    <t>Дефицит (-) / Профицит (+)</t>
  </si>
  <si>
    <t xml:space="preserve">ИСТОЧНИКИ ФИНАНСИРОВАНИЯ ДЕФИЦИТА БЮДЖЕТА </t>
  </si>
  <si>
    <t>Источники финансирования дефицита бюджета  - всего</t>
  </si>
  <si>
    <t>Получение кредитов от кредитных организаций в валюте Российской Федерации</t>
  </si>
  <si>
    <t>Погашение кредитов, предорставленных кредитными организациями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</si>
  <si>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</si>
  <si>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от других бюджетов бюджетной системы Российской Федерации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</si>
  <si>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</si>
  <si>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</si>
  <si>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Изменение остатков средств на счетах по учету средств бюджетов</t>
  </si>
  <si>
    <t>СПРАВОЧНО</t>
  </si>
  <si>
    <t>Расходы на содержание аппарата управления</t>
  </si>
  <si>
    <t>Расходы на реализацию муниципальных программ</t>
  </si>
  <si>
    <t>Расходы на бюджетные инвестиции</t>
  </si>
  <si>
    <t xml:space="preserve">Расходы на оплату труда </t>
  </si>
  <si>
    <t>Оплата коммунальных услуг</t>
  </si>
  <si>
    <t>Предоставление бюджетных кредитов из бюджетов муниципальных районов бюджетам поселений</t>
  </si>
  <si>
    <t>Возврат в бюджет  района  бюджетных кредитов,  предоставленных бюджетам поселений</t>
  </si>
  <si>
    <t>Расходы за счет собственных средств бюджетов (расходы за исключением субвенций)</t>
  </si>
  <si>
    <t xml:space="preserve">Остаток </t>
  </si>
  <si>
    <t>Другие вопросы в области охраны окружающей среды</t>
  </si>
  <si>
    <t>№ п/п</t>
  </si>
  <si>
    <t>Вид  долгового обязательства муниципального образования</t>
  </si>
  <si>
    <t>Муниципальные ценные бумаги</t>
  </si>
  <si>
    <t>Муниципальные гарантии</t>
  </si>
  <si>
    <t>Итого долговых обязательств муниципального образования</t>
  </si>
  <si>
    <t>(рублей)</t>
  </si>
  <si>
    <r>
      <t>Величина муниципального долга на  1 января текущего финансового  года (</t>
    </r>
    <r>
      <rPr>
        <u/>
        <sz val="12"/>
        <rFont val="Times New Roman"/>
        <family val="1"/>
        <charset val="204"/>
      </rPr>
      <t>на 01.01.2014)</t>
    </r>
  </si>
  <si>
    <r>
      <t>Объем привлечения в текущем финансовом году (</t>
    </r>
    <r>
      <rPr>
        <u/>
        <sz val="12"/>
        <rFont val="Times New Roman"/>
        <family val="1"/>
        <charset val="204"/>
      </rPr>
      <t>в 2014 году</t>
    </r>
    <r>
      <rPr>
        <sz val="12"/>
        <rFont val="Times New Roman"/>
        <family val="1"/>
        <charset val="204"/>
      </rPr>
      <t>)</t>
    </r>
  </si>
  <si>
    <r>
      <t>Объем погашения в текущем финансовом году (</t>
    </r>
    <r>
      <rPr>
        <u/>
        <sz val="12"/>
        <rFont val="Times New Roman"/>
        <family val="1"/>
        <charset val="204"/>
      </rPr>
      <t>в 2014 году</t>
    </r>
    <r>
      <rPr>
        <sz val="12"/>
        <rFont val="Times New Roman"/>
        <family val="1"/>
        <charset val="204"/>
      </rPr>
      <t>)</t>
    </r>
  </si>
  <si>
    <r>
      <t>Планируемая величина муниципального долга на  1 января очередного финансового  года (</t>
    </r>
    <r>
      <rPr>
        <u/>
        <sz val="12"/>
        <rFont val="Times New Roman"/>
        <family val="1"/>
        <charset val="204"/>
      </rPr>
      <t>на 01.01.2015)</t>
    </r>
  </si>
  <si>
    <r>
      <t>Объем привлечения в очередном финансовом году (</t>
    </r>
    <r>
      <rPr>
        <u/>
        <sz val="12"/>
        <rFont val="Times New Roman"/>
        <family val="1"/>
        <charset val="204"/>
      </rPr>
      <t>в 2015 году</t>
    </r>
    <r>
      <rPr>
        <sz val="12"/>
        <rFont val="Times New Roman"/>
        <family val="1"/>
        <charset val="204"/>
      </rPr>
      <t>)</t>
    </r>
  </si>
  <si>
    <r>
      <t>Объем погашения в очередном финансовом году (</t>
    </r>
    <r>
      <rPr>
        <u/>
        <sz val="12"/>
        <rFont val="Times New Roman"/>
        <family val="1"/>
        <charset val="204"/>
      </rPr>
      <t>в 2015 году</t>
    </r>
    <r>
      <rPr>
        <sz val="12"/>
        <rFont val="Times New Roman"/>
        <family val="1"/>
        <charset val="204"/>
      </rPr>
      <t>)</t>
    </r>
  </si>
  <si>
    <r>
      <t>Планируемая величина муниципального долга на  1 января года, следующего за очередным финансовым  годом (</t>
    </r>
    <r>
      <rPr>
        <u/>
        <sz val="12"/>
        <rFont val="Times New Roman"/>
        <family val="1"/>
        <charset val="204"/>
      </rPr>
      <t>на 01.01.2016)</t>
    </r>
  </si>
  <si>
    <r>
      <t>Объем привлечения в первом году планового периода (</t>
    </r>
    <r>
      <rPr>
        <u/>
        <sz val="12"/>
        <rFont val="Times New Roman"/>
        <family val="1"/>
        <charset val="204"/>
      </rPr>
      <t>в 2016 году</t>
    </r>
    <r>
      <rPr>
        <sz val="12"/>
        <rFont val="Times New Roman"/>
        <family val="1"/>
        <charset val="204"/>
      </rPr>
      <t>)</t>
    </r>
  </si>
  <si>
    <r>
      <t>Объем погашения в первом году планового периода (</t>
    </r>
    <r>
      <rPr>
        <u/>
        <sz val="12"/>
        <rFont val="Times New Roman"/>
        <family val="1"/>
        <charset val="204"/>
      </rPr>
      <t>в 2016 году</t>
    </r>
    <r>
      <rPr>
        <sz val="12"/>
        <rFont val="Times New Roman"/>
        <family val="1"/>
        <charset val="204"/>
      </rPr>
      <t>)</t>
    </r>
  </si>
  <si>
    <r>
      <t>Планируемая величина муниципального долга на  1 января года, следующего за первым годом планового периода  (</t>
    </r>
    <r>
      <rPr>
        <u/>
        <sz val="12"/>
        <rFont val="Times New Roman"/>
        <family val="1"/>
        <charset val="204"/>
      </rPr>
      <t>на 01.01.2017)</t>
    </r>
  </si>
  <si>
    <r>
      <t>Объем привлечения во втором году планового периода (</t>
    </r>
    <r>
      <rPr>
        <u/>
        <sz val="12"/>
        <rFont val="Times New Roman"/>
        <family val="1"/>
        <charset val="204"/>
      </rPr>
      <t>в 2017 году</t>
    </r>
    <r>
      <rPr>
        <sz val="12"/>
        <rFont val="Times New Roman"/>
        <family val="1"/>
        <charset val="204"/>
      </rPr>
      <t>)</t>
    </r>
  </si>
  <si>
    <r>
      <t>Объем погашения во втором году планового периода (</t>
    </r>
    <r>
      <rPr>
        <u/>
        <sz val="12"/>
        <rFont val="Times New Roman"/>
        <family val="1"/>
        <charset val="204"/>
      </rPr>
      <t>в 2017 году</t>
    </r>
    <r>
      <rPr>
        <sz val="12"/>
        <rFont val="Times New Roman"/>
        <family val="1"/>
        <charset val="204"/>
      </rPr>
      <t>)</t>
    </r>
  </si>
  <si>
    <r>
      <t>Планируемая величина муниципального долга на  1 января года, следующего за вторым годом планового периода  (</t>
    </r>
    <r>
      <rPr>
        <u/>
        <sz val="12"/>
        <rFont val="Times New Roman"/>
        <family val="1"/>
        <charset val="204"/>
      </rPr>
      <t>на 01.01.2018)</t>
    </r>
  </si>
  <si>
    <t>Кредиты кредитных организаций в валюте Российской Федерации</t>
  </si>
  <si>
    <t>Бюджетные кредиты от других бюджетов бюджетной системы Российской Федерации</t>
  </si>
  <si>
    <t>Верхний  предел  муниципального долга Сковородинского района  по  состоянию  на 1 января года, следующего за очередным финансовым годом  и каждым годом планового периода</t>
  </si>
  <si>
    <t>10502010020000</t>
  </si>
  <si>
    <t xml:space="preserve">Программа  муниципальных внутренних заимствований </t>
  </si>
  <si>
    <t>Муниципальные внутренние заимствования</t>
  </si>
  <si>
    <t>Сумма, руб.</t>
  </si>
  <si>
    <t>Итого муниципальных заимствований</t>
  </si>
  <si>
    <t>Кредиты от кредитных организаций в валюте Российской Федерации</t>
  </si>
  <si>
    <t>- получение кредитов от кредитных организаций районным бюджетом в валюте Российской Федерации</t>
  </si>
  <si>
    <t>- погашение кредитов, предоставленных кредитными организациями, районному бюджету в валюте Российской Федерации</t>
  </si>
  <si>
    <t>Бюджетные кредиты, от других бюджетов бюджетной системы Российской Федерации</t>
  </si>
  <si>
    <t>- получение кредитов от бюджетов других уровней районным бюджетом в валюте Российской Федерации</t>
  </si>
  <si>
    <t>- погашение кредитов, предоставленных бюджетами других уровней, районному бюджету в валюте Российской Федерации</t>
  </si>
  <si>
    <t>Бюджетные кредиты, другим бюджетам бюджетной системы Российской Федерации</t>
  </si>
  <si>
    <t>- предоставление бюджетных кредитов бюджетам других уровней</t>
  </si>
  <si>
    <t>- возврат бюджетных кредитов, предоставленных другим бюджетам бюджетной системы</t>
  </si>
  <si>
    <t>Информационная таблица</t>
  </si>
  <si>
    <t>на 2015 -2017 годы</t>
  </si>
  <si>
    <t>Вид предоставления средств районного бюджета на возвратной основе</t>
  </si>
  <si>
    <t>Особенности бюджетного кредита</t>
  </si>
  <si>
    <t>целевое назначение</t>
  </si>
  <si>
    <t>сроки кредитования</t>
  </si>
  <si>
    <t>процентная ставка по бюджетному кредиту</t>
  </si>
  <si>
    <t>субъект кредитования</t>
  </si>
  <si>
    <t>Бюджетные кредиты для покрытия временных кассовых разрывов бюджетов муниципальных образований Сковородинского района</t>
  </si>
  <si>
    <t>на покрытие временных кассовых разрывов, возникающих при исполнении бюджетов муниципальных образований Сковородинского района</t>
  </si>
  <si>
    <t>в пределах финансового года</t>
  </si>
  <si>
    <t>¼ ставки рефинансирования Центрального Банка Российской Федерации, действующей в период пользования бюджетным кредитом</t>
  </si>
  <si>
    <t>муниципальные образования Сковородинского района</t>
  </si>
  <si>
    <t>на частичное покрытие дефицитов местных бюджетов</t>
  </si>
  <si>
    <t>до трех лет</t>
  </si>
  <si>
    <t>ВСЕГО</t>
  </si>
  <si>
    <t>х</t>
  </si>
  <si>
    <t>Программа предоставления бюджетных кредитов из районного бюджета на 2015-2017 годы</t>
  </si>
  <si>
    <t>Сумма средств на предоставление бюджетных кредитов, руб.</t>
  </si>
  <si>
    <t>на 2015 год</t>
  </si>
  <si>
    <t>на 2016 год</t>
  </si>
  <si>
    <t>на 2017 год</t>
  </si>
  <si>
    <t>Бюджетные кредиты на цели, связанные с осуществлением мероприятий по ликвидации последствий стихийных бедствий</t>
  </si>
  <si>
    <t xml:space="preserve">Бюджетные кредиты на цели, связанные с частичным покрытием дефицита бюджетов поселений </t>
  </si>
  <si>
    <t xml:space="preserve">на  мероприятия по ликвидации последствий стихийных бедствий </t>
  </si>
  <si>
    <t>0 ставки рефинансирования Центрального Банка Российской Федерации, действующей в период пользования бюджетным кредитом</t>
  </si>
  <si>
    <t>20203999050000</t>
  </si>
  <si>
    <t>151</t>
  </si>
  <si>
    <t>Прочие субвенции бюджетам муниципальных районов</t>
  </si>
  <si>
    <t>20203119050000</t>
  </si>
  <si>
    <t>20204999050000</t>
  </si>
  <si>
    <t>20203029050000</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</si>
  <si>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</si>
  <si>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20203027050000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</si>
  <si>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</si>
  <si>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руб.коп.</t>
  </si>
  <si>
    <t>Наименование муниципальной программы</t>
  </si>
  <si>
    <t>Примечание</t>
  </si>
  <si>
    <t>Исполнитель</t>
  </si>
  <si>
    <t>ЦСР</t>
  </si>
  <si>
    <t>По программе в целом</t>
  </si>
  <si>
    <t>народных   депутатов</t>
  </si>
  <si>
    <t>Сумма на год, рублей</t>
  </si>
  <si>
    <t>002 01 02 00 00 00 0000 000</t>
  </si>
  <si>
    <t>002 01 02 00 00 05 0000 710</t>
  </si>
  <si>
    <t>Получение кредитов от кредитных организаций бюджетами муниципальных районов в валюте Российской Федерации</t>
  </si>
  <si>
    <t>002 01 02 00 00 05 0000 810</t>
  </si>
  <si>
    <t>Погашение бюджетами муниципальных районов кредитов от кредитных организаций в валюте Российской Федерации</t>
  </si>
  <si>
    <t>002 01 03 01 00 00 0000 000</t>
  </si>
  <si>
    <t>Бюджетные кредиты от других бюджетов бюджетной системы Российской Федерации в валюте Российской Федерации</t>
  </si>
  <si>
    <t>002 01 03 01 00 05 0000 710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</si>
  <si>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</si>
  <si>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002 01 03 01 00 05 0000 810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</si>
  <si>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</si>
  <si>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000 01 05 00 00 00 0000 000</t>
  </si>
  <si>
    <t>002 01 06 05 00 00 0000 000</t>
  </si>
  <si>
    <t>Бюджетные кредиты, предоставленные внутри страны в валюте Российской Федерации</t>
  </si>
  <si>
    <t>002 01 06 05 02 05 0000 540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</si>
  <si>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</si>
  <si>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002 01 06 05 02 05 0000 640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</si>
  <si>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</si>
  <si>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Источники внутреннего финансирования дефицита районного бюджета - всего</t>
  </si>
  <si>
    <t>КОНТРОЛЬНЫЕ СООТНОШЕНИЯ</t>
  </si>
  <si>
    <t>увеличение</t>
  </si>
  <si>
    <t>уменьшение</t>
  </si>
  <si>
    <t>ПО долга</t>
  </si>
  <si>
    <t>верх.предел</t>
  </si>
  <si>
    <t>ВР</t>
  </si>
  <si>
    <t>Компенсация теплоснабжающим организациям выпадающих доходов,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 – коммунального обслуживания населения» государственной программы «Модернизация жилищно – коммунального комплекса, энергосбережение и повышение энергетической эффективности в Амурской области на 2014–2020 годы»</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</si>
  <si>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</si>
  <si>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</si>
  <si>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</si>
  <si>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</si>
  <si>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t>
  </si>
  <si>
    <t>Компенсация части родительской платы за присмотр и уход за детьми в дошкольных образовательных организациях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</si>
  <si>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</si>
  <si>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</si>
  <si>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t>
  </si>
  <si>
    <t>Расходы на оплату труда с учетом начислений и иные выплаты, предусмотренные законодательством главе муниципального образования по непрограммным расходам органов местного самоуправления</t>
  </si>
  <si>
    <t>Расходы на оплату труда с учетом начислений и иные выплаты, предусмотренные законодательством области Председателю представительного органа муниципального образования по непрограммным расходам органов местного самоуправления</t>
  </si>
  <si>
    <t>Расходы на обеспечение функций представительных органов местного самоуправления по непрограммным расходам органов местного самоуправления</t>
  </si>
  <si>
    <t>Расходы на обеспечение функций контрольно-счетной палаты района по непрограммным расходам органов местного самоуправления</t>
  </si>
  <si>
    <t>Расходы на проведение мероприятий в области социальной политики по прочим непрограммным расходам</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</si>
  <si>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по прочим непрограммным расходам</t>
  </si>
  <si>
    <t>Расходы на проведение мероприятий в области культуры, не относящиеся к деятельности муниципальных учреждений культуры по прочим непрограммным расходам</t>
  </si>
  <si>
    <t>800</t>
  </si>
  <si>
    <t xml:space="preserve">                                                                          к решению районного Совета</t>
  </si>
  <si>
    <t xml:space="preserve">                                                            народных депутатов </t>
  </si>
  <si>
    <t>Распределение бюджетных ассигнований по разделам и подразделам классификации расходов районного бюджета</t>
  </si>
  <si>
    <t>Сумма на год, руб.</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</si>
  <si>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</si>
  <si>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</si>
  <si>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</si>
  <si>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</si>
  <si>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Защита населения и территории от чрезвычайных ситуаций природного и техногенного характера, гражданская оборона</t>
  </si>
  <si>
    <t>Водное хозяйство</t>
  </si>
  <si>
    <t>Культура, кинематография</t>
  </si>
  <si>
    <t xml:space="preserve">Физическая культура </t>
  </si>
  <si>
    <t>Обслуживание государственного внутреннего и муниципального долга</t>
  </si>
  <si>
    <t>Межбюджетные трансферты общего характера бюджетам субъектов Российской Федерации и муниципальных образований</t>
  </si>
  <si>
    <t>народных депутатов</t>
  </si>
  <si>
    <t>к Решению районного Совета</t>
  </si>
  <si>
    <t>Программа  муниципальных внутренних заимствований районного бюджета</t>
  </si>
  <si>
    <t>Итого муниципальные внутренние заимствования</t>
  </si>
  <si>
    <t>ИТОГО</t>
  </si>
  <si>
    <t>Приложение №</t>
  </si>
  <si>
    <t>Верхний предел муниципального долга в 2014-2016 году</t>
  </si>
  <si>
    <t>руб.</t>
  </si>
  <si>
    <t>Вид долгового обязательства</t>
  </si>
  <si>
    <t>Объем долга на 01.01.2015 г.</t>
  </si>
  <si>
    <t>Объем долга на 01.01.2016  г.</t>
  </si>
  <si>
    <t>Объем долга на 01.01.2017 г.</t>
  </si>
  <si>
    <t>1. Кредиты кредитных организаций в валюте Российской Федерации</t>
  </si>
  <si>
    <t>2. Бюджетные кредиты от других бюджетов бюджетной системы Российской Федерации</t>
  </si>
  <si>
    <t>Источники внутреннего финансирования дефицита районного бюджета в 2015 году и плановом периоде 2016 и 2017 годов</t>
  </si>
  <si>
    <t>Развитие образования Сковородинского района на 2015-2020 годы</t>
  </si>
  <si>
    <t>Благоустройство Сковородинского района на 2015-2020 годы</t>
  </si>
  <si>
    <t>Развитие физической культуры и спорта  на территории Сковородинского района  на 2015-2020 годы</t>
  </si>
  <si>
    <t>Экономическое развитие Сковородинского района в 2015-2020 годы</t>
  </si>
  <si>
    <t>Повышение эффективности деятельности органов местного самоуправления Сковородинского района в 2015-2020 годы</t>
  </si>
  <si>
    <t>Снижение рисков и смягчения последствий чрезвычайных ситуаций природного и техногенного характера, а также обеспечение безопасности населения Сковородинского района на 2015-2020 годы</t>
  </si>
  <si>
    <t>Развитие транспортной системы Сковородинского района на 2015-2020 годы</t>
  </si>
  <si>
    <t>Сумма год (1-й год)</t>
  </si>
  <si>
    <t>Сумма год (2-й год)</t>
  </si>
  <si>
    <t>Сумма год (3-й год)</t>
  </si>
  <si>
    <t>20201000000000</t>
  </si>
  <si>
    <t>Дотации бюджетам субъектов Российской Федерации и муниципальных образований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</si>
  <si>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</si>
  <si>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Прочие межбюджетные трансферты, передаваемые бюджетам муниципальных районов</t>
  </si>
  <si>
    <t xml:space="preserve"> (руб.)</t>
  </si>
  <si>
    <t>Рз</t>
  </si>
  <si>
    <t>ПР</t>
  </si>
  <si>
    <t>Сумма</t>
  </si>
  <si>
    <t>2016 г.</t>
  </si>
  <si>
    <t>2017 г.</t>
  </si>
  <si>
    <t>ОБЩЕГОСУДАРСТВЕННЫЕ ВОПРОСЫ</t>
  </si>
  <si>
    <t>99 1 0111</t>
  </si>
  <si>
    <t>Расходы на оплату труда с учетом начислений и иные выплаты, предусмотренные законодательством главе муниципального образования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</si>
  <si>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99 1 0112</t>
  </si>
  <si>
    <t>Расходы на оплату труда с учетом начислений и иные выплаты, предусмотренные законодательством области Председателю представительного органа муниципального образования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</si>
  <si>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99 1 0113</t>
  </si>
  <si>
    <t>Расходы на обеспечение функций представительных органов местного самоуправления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</si>
  <si>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представительных органов местного самоуправления по непрограммным расходам органов местного самоуправления (Закупка товаров, работ и услуг для государственных (муниципальных) нужд)</t>
  </si>
  <si>
    <t>200</t>
  </si>
  <si>
    <t>Расходы на обеспечение функций представительных органов местного самоуправления по непрограммным расходам органов местного самоуправления (Иные бюджетные ассигнования)</t>
  </si>
  <si>
    <t>Расходы на обеспечение деятельности (оказание услуг) муниципальных учреждений</t>
  </si>
  <si>
    <t>03 2 0301</t>
  </si>
  <si>
    <t>Расходы на обеспечение деятельности (оказание услуг) муниципальных учреждений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</si>
  <si>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t>
  </si>
  <si>
    <t>10 4 0114</t>
  </si>
  <si>
    <t>Расходы на обеспечение функций исполнительных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</si>
  <si>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</si>
  <si>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 (Иные бюджетные ассигнования)</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</si>
  <si>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t>
  </si>
  <si>
    <t>99 3 0197</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</si>
  <si>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</si>
  <si>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 (Закупка товаров, работ и услуг для государственных (муниципальных) нужд)</t>
  </si>
  <si>
    <t>10 6 5120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</si>
  <si>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государственных (муниципальных) нужд)</t>
  </si>
  <si>
    <t>99 1 0115</t>
  </si>
  <si>
    <t>Расходы на обеспечение функций контрольно-счетной палаты района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</si>
  <si>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Сковородинского района</t>
  </si>
  <si>
    <t>10 4 0191</t>
  </si>
  <si>
    <t>Резервный фонд администрации Сковородинского района (Иные бюджетные ассигнования)</t>
  </si>
  <si>
    <t>Модернизация учреждений здравохранения в сельской местности в рамках подпрограммы "Устойчивое развитие сельских территорий"</t>
  </si>
  <si>
    <t>01 2 0114</t>
  </si>
  <si>
    <t>Модернизация учреждений здравохранения в сельской местности в рамках подпрограммы "Устойчивое развитие сельских территорий" (Закупка товаров, работ и услуг для государственных (муниципальных) нужд)</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</si>
  <si>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t>
  </si>
  <si>
    <t>10 4 0141</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</si>
  <si>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 (Предоставление субсидий бюджетным, автономным учреждениям и иным некоммерческим организациям)</t>
  </si>
  <si>
    <t>600</t>
  </si>
  <si>
    <t>10 6 8843</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</si>
  <si>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</si>
  <si>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 (Закупка товаров, работ и услуг для государственных (муниципальных) нужд)</t>
  </si>
  <si>
    <t>НАЦИОНАЛЬНАЯ БЕЗОПАСНОСТЬ И ПРАВООХРАНИТЕЛЬНАЯ ДЕЯТЕЛЬНОСТЬ</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</si>
  <si>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t>
  </si>
  <si>
    <t>11 1 1101</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</si>
  <si>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(Закупка товаров, работ и услуг для государственных (муниципальных) нужд)</t>
  </si>
  <si>
    <t>Развитие аппаратно-программного комплекса «Безопасный город»</t>
  </si>
  <si>
    <t>11 2 1104</t>
  </si>
  <si>
    <t>Развитие аппаратно-программного комплекса «Безопасный город» (Закупка товаров, работ и услуг для государственных (муниципальных) нужд)</t>
  </si>
  <si>
    <t>99 3 0192</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</si>
  <si>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по прочим непрограммным расходам (Закупка товаров, работ и услуг для государственных (муниципальных) нужд)</t>
  </si>
  <si>
    <t>НАЦИОНАЛЬНАЯ ЭКОНОМИКА</t>
  </si>
  <si>
    <t>Возмещение части затрат по доставке кормов от производителя хозяйствам, расположенным на территории района</t>
  </si>
  <si>
    <t>01 1 0102</t>
  </si>
  <si>
    <t>Возмещение части затрат по доставке кормов от производителя хозяйствам, расположенным на территории района (Закупка товаров, работ и услуг для государственных (муниципальных) нужд)</t>
  </si>
  <si>
    <t>Возмещение части затрат по наращиванию или сохранению поголовья лошадей</t>
  </si>
  <si>
    <t>01 1 0105</t>
  </si>
  <si>
    <t>Возмещение части затрат по наращиванию или сохранению поголовья лошадей (Закупка товаров, работ и услуг для государственных (муниципальных) нужд)</t>
  </si>
  <si>
    <t>Финансовое обеспечение (возмещение) части затрат, связанных с приобретением сельскохозяйственной техники и оборудования</t>
  </si>
  <si>
    <t>01 1 0107</t>
  </si>
  <si>
    <t>Финансовое обеспечение (возмещение) части затрат, связанных с приобретением сельскохозяйственной техники и оборудования (Закупка товаров, работ и услуг для государственных (муниципальных) нужд)</t>
  </si>
  <si>
    <t>Организация и проведение мероприятий по развитию сельского хозяйства</t>
  </si>
  <si>
    <t>01 1 0108</t>
  </si>
  <si>
    <t>Организация и проведение мероприятий по развитию сельского хозяйства (Закупка товаров, работ и услуг для государственных (муниципальных) нужд)</t>
  </si>
  <si>
    <t>Улучшение жилищных условий граждан, проживающих в сельской местности</t>
  </si>
  <si>
    <t>01 2 0109</t>
  </si>
  <si>
    <t>Улучшение жилищных условий граждан, проживающих в сельской местности (Закупка товаров, работ и услуг для государственных (муниципальных) нужд)</t>
  </si>
  <si>
    <t>Улучшение жилищных условий молодых семей и молодых специалистов, проживающих в сельской местности</t>
  </si>
  <si>
    <t>01 2 0110</t>
  </si>
  <si>
    <t>Улучшение жилищных условий молодых семей и молодых специалистов, проживающих в сельской местности (Закупка товаров, работ и услуг для государственных (муниципальных) нужд)</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</si>
  <si>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t>
  </si>
  <si>
    <t>01 5 6970</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</si>
  <si>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 (Закупка товаров, работ и услуг для государственных (муниципальных) нужд)</t>
  </si>
  <si>
    <t>Приобретение циклонов на котельные</t>
  </si>
  <si>
    <t>04 1 0401</t>
  </si>
  <si>
    <t>Приобретение циклонов на котельные (Закупка товаров, работ и услуг для государственных (муниципальных) нужд)</t>
  </si>
  <si>
    <t>Капитальный ремонт защитной дамбы от паводковых вод в п. Уруша</t>
  </si>
  <si>
    <t>04 1 0402</t>
  </si>
  <si>
    <t>Капитальный ремонт защитной дамбы от паводковых вод в п. Уруша (Закупка товаров, работ и услуг для государственных (муниципальных) нужд)</t>
  </si>
  <si>
    <t>Модернизация подвижного состава для осуществления перевозок</t>
  </si>
  <si>
    <t>13 1 1302</t>
  </si>
  <si>
    <t>Модернизация подвижного состава для осуществления перевозок (Закупка товаров, работ и услуг для государственных (муниципальных) нужд)</t>
  </si>
  <si>
    <t>Внедрение автоматизированных систем управления автомобильным пассажирским транспортом</t>
  </si>
  <si>
    <t>13 1 1303</t>
  </si>
  <si>
    <t>Внедрение автоматизированных систем управления автомобильным пассажирским транспортом (Закупка товаров, работ и услуг для государственных (муниципальных) нужд)</t>
  </si>
  <si>
    <t>Приобретение билетной продукции для пассажирского автотранспорта общего пользования</t>
  </si>
  <si>
    <t>13 1 1304</t>
  </si>
  <si>
    <t>Приобретение билетной продукции для пассажирского автотранспорта общего пользования (Закупка товаров, работ и услуг для государственных (муниципальных) нужд)</t>
  </si>
  <si>
    <t>Приобретение автобусных остановок</t>
  </si>
  <si>
    <t>13 1 1305</t>
  </si>
  <si>
    <t>Приобретение автобусных остановок (Закупка товаров, работ и услуг для государственных (муниципальных) нужд)</t>
  </si>
  <si>
    <t>Компенсация выпадающих доходов при обслуживании населения на социально-значимых маршрутах</t>
  </si>
  <si>
    <t>13 1 1306</t>
  </si>
  <si>
    <t>Компенсация выпадающих доходов при обслуживании населения на социально-значимых маршрутах (Закупка товаров, работ и услуг для государственных (муниципальных) нужд)</t>
  </si>
  <si>
    <t>Совершенствование пешеходных переходов</t>
  </si>
  <si>
    <t>13 2 1310</t>
  </si>
  <si>
    <t>Совершенствование пешеходных переходов (Закупка товаров, работ и услуг для государственных (муниципальных) нужд)</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</si>
  <si>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t>
  </si>
  <si>
    <t>13 2 1311</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</si>
  <si>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 (Закупка товаров, работ и услуг для государственных (муниципальных) нужд)</t>
  </si>
  <si>
    <t>Обеспечение содержания, ремонта автомобильных дорог общего пользования местного значения</t>
  </si>
  <si>
    <t>13 3 1312</t>
  </si>
  <si>
    <t>Обеспечение содержания, ремонта автомобильных дорог общего пользования местного значения (Закупка товаров, работ и услуг для государственных (муниципальных) нужд)</t>
  </si>
  <si>
    <t>Строительство, реконструкция автомобильных дорог общего пользования местного значения</t>
  </si>
  <si>
    <t>13 3 1313</t>
  </si>
  <si>
    <t>Строительство, реконструкция автомобильных дорог общего пользования местного значения (Закупка товаров, работ и услуг для государственных (муниципальных) нужд)</t>
  </si>
  <si>
    <t>Осуществление муниципальными образованиями района дорожной деятельности в отношении автомобильных дорог местного значения и сооружений на них</t>
  </si>
  <si>
    <t>13 3 1314</t>
  </si>
  <si>
    <t>Осуществление муниципальными образованиями района дорожной деятельности в отношении автомобильных дорог местного значения и сооружений на них (Закупка товаров, работ и услуг для государственных (муниципальных) нужд)</t>
  </si>
  <si>
    <t>Субсидии начинающим субъектам малого и среднего предпринимательства на создание собственного бизнеса</t>
  </si>
  <si>
    <t>08 1 0801</t>
  </si>
  <si>
    <t>Субсидии начинающим субъектам малого и среднего предпринимательства на создание собственного бизнеса (Закупка товаров, работ и услуг для государственных (муниципальных) нужд)</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</si>
  <si>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t>
  </si>
  <si>
    <t>08 1 0802</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</si>
  <si>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 (Закупка товаров, работ и услуг для государственных (муниципальных) нужд)</t>
  </si>
  <si>
    <t>Организационная, информационная, консультационная поддержка субъектов малого и среднего предпринимательства</t>
  </si>
  <si>
    <t>08 1 0804</t>
  </si>
  <si>
    <t>Организационная, информационная, консультационная поддержка субъектов малого и среднего предпринимательства (Закупка товаров, работ и услуг для государственных (муниципальных) нужд)</t>
  </si>
  <si>
    <t>Организация и проведение мероприятий по реализации муниципальной программы</t>
  </si>
  <si>
    <t>08 2 0805</t>
  </si>
  <si>
    <t>Организация и проведение мероприятий по реализации муниципальной программы (Закупка товаров, работ и услуг для государственных (муниципальных) нужд)</t>
  </si>
  <si>
    <t>ЖИЛИЩНО-КОММУНАЛЬНОЕ ХОЗЯЙСТВО</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</si>
  <si>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t>
  </si>
  <si>
    <t>07 2 0702</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</si>
  <si>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(Капитальные вложения в объекты недвижимого имущества государственной (муниципальной) собственности)</t>
  </si>
  <si>
    <t>400</t>
  </si>
  <si>
    <t>05 1 8712</t>
  </si>
  <si>
    <t>Компенсация теплоснабжающим организациям выпадающих доходов,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 – коммунального обслуживания населения» государственной программы «Модернизация жилищно – коммунального комплекса, энергосбережение и повышение энергетической эффективности в Амурской области на 2014–2020 годы» (Закупка товаров, работ и услуг для государственных (муниципальных) нужд)</t>
  </si>
  <si>
    <t>Обустройство санкционированных свалок захоронения твердых бытовых отходов</t>
  </si>
  <si>
    <t>04 1 0404</t>
  </si>
  <si>
    <t>Обустройство санкционированных свалок захоронения твердых бытовых отходов (Закупка товаров, работ и услуг для государственных (муниципальных) нужд)</t>
  </si>
  <si>
    <t>Ликвидация несанкционированных свалок</t>
  </si>
  <si>
    <t>04 1 0405</t>
  </si>
  <si>
    <t>Ликвидация несанкционированных свалок (Закупка товаров, работ и услуг для государственных (муниципальных) нужд)</t>
  </si>
  <si>
    <t>Приобретение и посадка деревьев, газона, живой изгороди</t>
  </si>
  <si>
    <t>14 1 1401</t>
  </si>
  <si>
    <t>Приобретение и посадка деревьев, газона, живой изгороди (Закупка товаров, работ и услуг для государственных (муниципальных) нужд)</t>
  </si>
  <si>
    <t>Приобретение и установка фонарей</t>
  </si>
  <si>
    <t>14 1 1402</t>
  </si>
  <si>
    <t>Приобретение и установка фонарей (Закупка товаров, работ и услуг для государственных (муниципальных) нужд)</t>
  </si>
  <si>
    <t>Приобретение и установка детских, спортивных площадок</t>
  </si>
  <si>
    <t>14 1 1403</t>
  </si>
  <si>
    <t>Приобретение и установка детских, спортивных площадок (Закупка товаров, работ и услуг для государственных (муниципальных) нужд)</t>
  </si>
  <si>
    <t>Приобретение урн для мусора</t>
  </si>
  <si>
    <t>14 1 1404</t>
  </si>
  <si>
    <t>Приобретение урн для мусора (Закупка товаров, работ и услуг для государственных (муниципальных) нужд)</t>
  </si>
  <si>
    <t>Благоустройство муниципальных образований Сковородинского района</t>
  </si>
  <si>
    <t>14 1 1406</t>
  </si>
  <si>
    <t>Благоустройство муниципальных образований Сковородинского района (Закупка товаров, работ и услуг для государственных (муниципальных) нужд)</t>
  </si>
  <si>
    <t>ОБРАЗОВАНИЕ</t>
  </si>
  <si>
    <t>Модернизация муниципальных систем общего образования</t>
  </si>
  <si>
    <t>12 1 1202</t>
  </si>
  <si>
    <t>Модернизация муниципальных систем общего образования (Закупка товаров, работ и услуг для государственных (муниципальных) нужд)</t>
  </si>
  <si>
    <t>Уничтожение сырьевой базы конопли, являющейся производной для изготовления наркотиков</t>
  </si>
  <si>
    <t>06 1 0601</t>
  </si>
  <si>
    <t>Уничтожение сырьевой базы конопли, являющейся производной для изготовления наркотиков (Закупка товаров, работ и услуг для государственных (муниципальных) нужд)</t>
  </si>
  <si>
    <t>Подпрограмма «Профилактика правонарушений, терроризма и экстремизма в районе»</t>
  </si>
  <si>
    <t>11 2 1102</t>
  </si>
  <si>
    <t>Подпрограмма «Профилактика правонарушений, терроризма и экстремизма в районе» (Закупка товаров, работ и услуг для государственных (муниципальных) нужд)</t>
  </si>
  <si>
    <t>Пропаганда здорового и социально активного образа жизни</t>
  </si>
  <si>
    <t>11 2 1103</t>
  </si>
  <si>
    <t>Пропаганда здорового и социально активного образа жизни (Закупка товаров, работ и услуг для государственных (муниципальных) нужд)</t>
  </si>
  <si>
    <t>Организация и проведение мероприятий по реализации муниципальной подпрограммы</t>
  </si>
  <si>
    <t>12 3 1208</t>
  </si>
  <si>
    <t>Организация и проведение мероприятий по реализации муниципальной подпрограммы (Закупка товаров, работ и услуг для государственных (муниципальных) нужд)</t>
  </si>
  <si>
    <t>12 3 8729</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</si>
  <si>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</si>
  <si>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 (Закупка товаров, работ и услуг для государственных (муниципальных) нужд)</t>
  </si>
  <si>
    <t>КУЛЬТУРА, КИНЕМАТОГРАФИЯ</t>
  </si>
  <si>
    <t>Организация и проведение мероприятия по реализации муниципальной программы</t>
  </si>
  <si>
    <t>03 4 0302</t>
  </si>
  <si>
    <t>Организация и проведение мероприятия по реализации муниципальной программы (Закупка товаров, работ и услуг для государственных (муниципальных) нужд)</t>
  </si>
  <si>
    <t>03 6 0303</t>
  </si>
  <si>
    <t>Реализация мероприятий по развитию и сохранению культуры в муниципальных образованиях района</t>
  </si>
  <si>
    <t>03 7 0304</t>
  </si>
  <si>
    <t>Реализация мероприятий по развитию и сохранению культуры в муниципальных образованиях района (Закупка товаров, работ и услуг для государственных (муниципальных) нужд)</t>
  </si>
  <si>
    <t>Капитальные вложения в объекты муниципальной собственности</t>
  </si>
  <si>
    <t>03 7 0305</t>
  </si>
  <si>
    <t>Капитальные вложения в объекты муниципальной собственности (Закупка товаров, работ и услуг для государственных (муниципальных) нужд)</t>
  </si>
  <si>
    <t>99 3 0194</t>
  </si>
  <si>
    <t>Расходы на проведение мероприятий в области культуры, не относящиеся к деятельности муниципальных учреждений культуры по прочим непрограммным расходам (Закупка товаров, работ и услуг для государственных (муниципальных) нужд)</t>
  </si>
  <si>
    <t>ЗДРАВООХРАНЕНИЕ</t>
  </si>
  <si>
    <t>06 7 8736</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</si>
  <si>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</si>
  <si>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 (Закупка товаров, работ и услуг для государственных (муниципальных) нужд)</t>
  </si>
  <si>
    <t>СОЦИАЛЬНАЯ ПОЛИТИКА</t>
  </si>
  <si>
    <t>Расходы районного бюджета на выплату пенсии за выслугу лет муниципальным служащим района и лицам, замещавшим муниципальные должности района по прочим непрограммным расходам</t>
  </si>
  <si>
    <t>99 3 0162</t>
  </si>
  <si>
    <t>Расходы районного бюджета на выплату пенсии за выслугу лет муниципальным служащим района и лицам, замещавшим муниципальные должности района по прочим непрограммным расходам (Социальное обеспечение и иные выплаты населению)</t>
  </si>
  <si>
    <t>300</t>
  </si>
  <si>
    <t>Адаптация объектов социальной инфраструктуры и услуг с учетом нужд и потребностей инвалидов и других МГН</t>
  </si>
  <si>
    <t>02 1 0201</t>
  </si>
  <si>
    <t>Адаптация объектов социальной инфраструктуры и услуг с учетом нужд и потребностей инвалидов и других МГН (Закупка товаров, работ и услуг для государственных (муниципальных) нужд)</t>
  </si>
  <si>
    <t>Предоставление социальных выплат молодым семьям на приобретение (строительство) жилья</t>
  </si>
  <si>
    <t>07 1 0701</t>
  </si>
  <si>
    <t>Предоставление социальных выплат молодым семьям на приобретение (строительство) жилья (Социальное обеспечение и иные выплаты населению)</t>
  </si>
  <si>
    <t>Оказание финансовой поддержки деятельности СОНКО путем предоставления субсидий на реализацию социально значимых проектов</t>
  </si>
  <si>
    <t>10 3 1007</t>
  </si>
  <si>
    <t>Оказание финансовой поддержки деятельности СОНКО путем предоставления субсидий на реализацию социально значимых проектов (Закупка товаров, работ и услуг для государственных (муниципальных) нужд)</t>
  </si>
  <si>
    <t>99 3 0161</t>
  </si>
  <si>
    <t>Расходы на проведение мероприятий в области социальной политики по прочим непрограммным расходам (Социальное обеспечение и иные выплаты населению)</t>
  </si>
  <si>
    <t>07 7 5082</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</si>
  <si>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(Социальное обеспечение и иные выплаты населению)</t>
  </si>
  <si>
    <t>07 7 8732</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</si>
  <si>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 (Социальное обеспечение и иные выплаты населению)</t>
  </si>
  <si>
    <t>ФИЗИЧЕСКАЯ КУЛЬТУРА И СПОРТ</t>
  </si>
  <si>
    <t>Приобретение спортивного инвентаря и оборудования</t>
  </si>
  <si>
    <t>09 1 0902</t>
  </si>
  <si>
    <t>Приобретение спортивного инвентаря и оборудования (Закупка товаров, работ и услуг для государственных (муниципальных) нужд)</t>
  </si>
  <si>
    <t>Подготовка спортсменов с ограниченными возможностями и их участие в соревнованиях</t>
  </si>
  <si>
    <t>09 1 0904</t>
  </si>
  <si>
    <t>Подготовка спортсменов с ограниченными возможностями и их участие в соревнованиях (Закупка товаров, работ и услуг для государственных (муниципальных) нужд)</t>
  </si>
  <si>
    <t>Проведение спортивных мероприятий</t>
  </si>
  <si>
    <t>09 1 0901</t>
  </si>
  <si>
    <t>Проведение спортивных мероприятий (Закупка товаров, работ и услуг для государственных (муниципальных) нужд)</t>
  </si>
  <si>
    <t>Участие в соревнованиях</t>
  </si>
  <si>
    <t>09 1 0903</t>
  </si>
  <si>
    <t>Участие в соревнованиях (Закупка товаров, работ и услуг для государственных (муниципальных) нужд)</t>
  </si>
  <si>
    <t>Развитие физической культуры и спорта в муниципальных образованиях Сковородинского района</t>
  </si>
  <si>
    <t>09 1 0906</t>
  </si>
  <si>
    <t>Развитие физической культуры и спорта в муниципальных образованиях Сковородинского района (Закупка товаров, работ и услуг для государственных (муниципальных) нужд)</t>
  </si>
  <si>
    <t>Расходы на обеспечение функций Финансового управления</t>
  </si>
  <si>
    <t>10 1 0116</t>
  </si>
  <si>
    <t>Расходы на обеспечение функций Финансового 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</si>
  <si>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Финансового управления (Закупка товаров, работ и услуг для государственных (муниципальных) нужд)</t>
  </si>
  <si>
    <t>Расходы на обеспечение функций Финансового управления (Иные бюджетные ассигнования)</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</si>
  <si>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t>
  </si>
  <si>
    <t>10 1 1003</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</si>
  <si>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</si>
  <si>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ОБСЛУЖИВАНИЕ ГОСУДАРСТВЕННОГО И МУНИЦИПАЛЬНОГО ДОЛГА</t>
  </si>
  <si>
    <t>Расходы на обслуживание муниципального долга перед другими бюджетами бюджетной системы</t>
  </si>
  <si>
    <t>10 1 0171</t>
  </si>
  <si>
    <t>Расходы на обслуживание муниципального долга перед другими бюджетами бюджетной системы (Обслуживание государственного (муниципального) долга)</t>
  </si>
  <si>
    <t>700</t>
  </si>
  <si>
    <t>МЕЖБЮДЖЕТНЫЕ ТРАНСФЕРТЫ ОБЩЕГО ХАРАКТЕРА БЮДЖЕТАМ СУБЪЕКТОВ РОССИЙСКОЙ ФЕДЕРАЦИИ И МУНИЦИПАЛЬНЫХ ОБРАЗОВАНИЙ</t>
  </si>
  <si>
    <t>Расходы районного бюджета по предоставлению бюджетам поселений района дотаций на выравнивание бюджетной обеспеченности, поступление указанных дотаций бюджетами поселений отражается по соответствующим кодам вида доходов 000 2 02 01001 00 0000 151 «Дотации на выравнивание бюджетной обеспеченности» классификации доходов бюджетов</t>
  </si>
  <si>
    <t>10 1 0151</t>
  </si>
  <si>
    <t>Расходы районного бюджета по предоставлению бюджетам поселений района дотаций на выравнивание бюджетной обеспеченности, поступление указанных дотаций бюджетами поселений отражается по соответствующим кодам вида доходов 000 2 02 01001 00 0000 151 «Дотации на выравнивание бюджетной обеспеченности» классификации доходов бюджетов (Межбюджетные трансферты)</t>
  </si>
  <si>
    <t>500</t>
  </si>
  <si>
    <t>Расходы на обеспечение деятельности (оказание услуг) муниципальных детских дошкольных учреждений</t>
  </si>
  <si>
    <t>12 1 0121</t>
  </si>
  <si>
    <t>Расходы на обеспечение деятельности (оказание услуг) муниципальных детских дошкольных учреждений (Предоставление субсидий бюджетным, автономным учреждениям и иным некоммерческим организациям)</t>
  </si>
  <si>
    <t>Модернизация муниципальных систем дошкольного образования</t>
  </si>
  <si>
    <t>12 1 1201</t>
  </si>
  <si>
    <t>Модернизация муниципальных систем дошкольного образования (Предоставление субсидий бюджетным, автономным учреждениям и иным некоммерческим организациям)</t>
  </si>
  <si>
    <t>12 2 8751</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</si>
  <si>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(Предоставление субсидий бюджетным, автономным учреждениям и иным некоммерческим организациям)</t>
  </si>
  <si>
    <t>Проведение энергоаудита и паспортизации существующих зданий и сооружений бюджетной сферы</t>
  </si>
  <si>
    <t>05 3 0504</t>
  </si>
  <si>
    <t>Проведение энергоаудита и паспортизации существующих зданий и сооружений бюджетной сферы (Предоставление субсидий бюджетным, автономным учреждениям и иным некоммерческим организациям)</t>
  </si>
  <si>
    <t>Оснащение приборами учета</t>
  </si>
  <si>
    <t>05 3 0505</t>
  </si>
  <si>
    <t>Оснащение приборами учета (Предоставление субсидий бюджетным, автономным учреждениям и иным некоммерческим организациям)</t>
  </si>
  <si>
    <t>Повышение тепловой защиты зданий, строений, сооружений</t>
  </si>
  <si>
    <t>05 3 0506</t>
  </si>
  <si>
    <t>Повышение тепловой защиты зданий, строений, сооружений (Предоставление субсидий бюджетным, автономным учреждениям и иным некоммерческим организациям)</t>
  </si>
  <si>
    <t>Развитие инженерно-технического обеспечения профилактики терроризма и экстремизма</t>
  </si>
  <si>
    <t>11 2 1105</t>
  </si>
  <si>
    <t>Развитие инженерно-технического обеспечения профилактики терроризма и экстремизма (Предоставление субсидий бюджетным, автономным учреждениям и иным некоммерческим организациям)</t>
  </si>
  <si>
    <t>Установка и ремонт ограждения территорий муниципальных образовательных организаций</t>
  </si>
  <si>
    <t>11 2 1106</t>
  </si>
  <si>
    <t>Установка и ремонт ограждения территорий муниципальных образовательных организаций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</si>
  <si>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общеобразовательных учреждений</t>
  </si>
  <si>
    <t>12 1 0122</t>
  </si>
  <si>
    <t>Расходы районного бюджета на обеспечение деятельности (оказание услуг) муниципальных общеобразовательных учреждений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</si>
  <si>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учреждений по внешкольной работе с детьми</t>
  </si>
  <si>
    <t>12 1 0124</t>
  </si>
  <si>
    <t>Расходы районного бюджета на обеспечение деятельности (оказание услуг) муниципальных учреждений по внешкольной работе с детьми (Предоставление субсидий бюджетным, автономным учреждениям и иным некоммерческим организациям)</t>
  </si>
  <si>
    <t>Модернизация муниципальных систем общего образования (Предоставление субсидий бюджетным, автономным учреждениям и иным некоммерческим организациям)</t>
  </si>
  <si>
    <t>Выявление и поддержка одаренных детей</t>
  </si>
  <si>
    <t>12 1 1203</t>
  </si>
  <si>
    <t>Выявление и поддержка одаренных детей (Предоставление субсидий бюджетным, автономным учреждениям и иным некоммерческим организациям)</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</si>
  <si>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t>
  </si>
  <si>
    <t>12 1 1204</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</si>
  <si>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 (Предоставление субсидий бюджетным, автономным учреждениям и иным некоммерческим организациям)</t>
  </si>
  <si>
    <t>12 2 8726</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</si>
  <si>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(Предоставление субсидий бюджетным, автономным учреждениям и иным некоммерческим организациям)</t>
  </si>
  <si>
    <t>Строительство и оснащение детских автоплощадок</t>
  </si>
  <si>
    <t>13 2 1307</t>
  </si>
  <si>
    <t>Строительство и оснащение детских автоплощадок (Предоставление субсидий бюджетным, автономным учреждениям и иным некоммерческим организациям)</t>
  </si>
  <si>
    <t>Создания «Класса безопасности дорожного движения»</t>
  </si>
  <si>
    <t>13 2 1308</t>
  </si>
  <si>
    <t>Создания «Класса безопасности дорожного движения» (Предоставление субсидий бюджетным, автономным учреждениям и иным некоммерческим организациям)</t>
  </si>
  <si>
    <t>Организация и проведение конкурса-соревнования «Безопасное колесо»</t>
  </si>
  <si>
    <t>13 2 1309</t>
  </si>
  <si>
    <t>Организация и проведение конкурса-соревнования «Безопасное колесо» (Предоставление субсидий бюджетным, автономным учреждениям и иным некоммерческим организациям)</t>
  </si>
  <si>
    <t>Расходы на выплату стипендии отличника обучающимся муниципальных общеобразовательных учреждений района по прочим непрограммным расходам</t>
  </si>
  <si>
    <t>99 3 0165</t>
  </si>
  <si>
    <t>Расходы на выплату стипендии отличника обучающимся муниципальных общеобразовательных учреждений района по прочим непрограммным расходам (Предоставление субсидий бюджетным, автономным учреждениям и иным некоммерческим организациям)</t>
  </si>
  <si>
    <t>Частичная оплата стоимости путевок для детей работающих граждан в организации отдыха и оздоровления детей в каникулярное время</t>
  </si>
  <si>
    <t>12 2 1205</t>
  </si>
  <si>
    <t>Частичная оплата стоимости путевок для детей работающих граждан в организации отдыха и оздоровления детей в каникулярное время (Предоставление субсидий бюджетным, автономным учреждениям и иным некоммерческим организациям)</t>
  </si>
  <si>
    <t>Развитие инфраструктуры отдыха, оздоровления и занятости детей и подростков в каникулярное время</t>
  </si>
  <si>
    <t>12 2 1206</t>
  </si>
  <si>
    <t>Развитие инфраструктуры отдыха, оздоровления и занятости детей и подростков в каникулярное время (Предоставление субсидий бюджетным, автономным учреждениям и иным некоммерческим организациям)</t>
  </si>
  <si>
    <t>Реконструкция лагеря «Березка» п.г.т. Уруша</t>
  </si>
  <si>
    <t>12 2 1207</t>
  </si>
  <si>
    <t>Реконструкция лагеря «Березка» п.г.т. Уруша (Предоставление субсидий бюджетным, автономным учреждениям и иным некоммерческим организациям)</t>
  </si>
  <si>
    <t>Организация и осуществление деятельности по опеке и попечительству в отношении несовершеннолетних</t>
  </si>
  <si>
    <t>02 2 8730</t>
  </si>
  <si>
    <t>Организация и осуществление деятельности по опеке и попечительству в отношении несовершеннолетних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</si>
  <si>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осуществление деятельности по опеке и попечительству в отношении несовершеннолетних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</si>
  <si>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 в области образования</t>
  </si>
  <si>
    <t>12 4 0117</t>
  </si>
  <si>
    <t>Расходы на обеспечение функций исполнительных органов местного самоуправления в области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</si>
  <si>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в области образования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</si>
  <si>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 в области образования (Иные бюджетные ассигнования)</t>
  </si>
  <si>
    <t>Расходы на содержание и обеспечение деятельности централизованной бухгалтерии и группы хозяйственного обслуживания отдела образования</t>
  </si>
  <si>
    <t>12 4 0118</t>
  </si>
  <si>
    <t>Расходы на содержание и обеспечение деятельности централизованной бухгалтерии и группы хозяйственного обслуживания отдела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</si>
  <si>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содержание и обеспечение деятельности централизованной бухгалтерии и группы хозяйственного обслуживания отдела образования (Закупка товаров, работ и услуг для государственных (муниципальных) нужд)</t>
  </si>
  <si>
    <t>Расходы на содержание и обеспечение деятельности централизованной бухгалтерии и группы хозяйственного обслуживания отдела образования (Иные бюджетные ассигнования)</t>
  </si>
  <si>
    <t>Расходы на обеспечение деятельности (оказание услуг) подведомственных учреждений, обепечивающих предоставление услуг в сфере образования</t>
  </si>
  <si>
    <t>12 4 0143</t>
  </si>
  <si>
    <t>Расходы на обеспечение деятельности (оказание услуг) подведомственных учреждений, обепечивающих предоставление услуг в сфере образования (Предоставление субсидий бюджетным, автономным учреждениям и иным некоммерческим организациям)</t>
  </si>
  <si>
    <t>Расходы районного бюджета на выплату ежемесячной доплаты к пенсии по старости работникам образования, здравоохранения, культуры, имеющих государственные и отраслевые награды, звания «Заслуженный врач», «Заслуженный работник культуры», «Заслуженный учитель», «Почетный работник», «Отличник просвещения», «Отличник здравоохранения» по прочим непрограммным расходам</t>
  </si>
  <si>
    <t>99 3 0163</t>
  </si>
  <si>
    <t>Расходы районного бюджета на выплату ежемесячной доплаты к пенсии по старости работникам образования, здравоохранения, культуры, имеющих государственные и отраслевые награды, звания «Заслуженный врач», «Заслуженный работник культуры», «Заслуженный учитель», «Почетный работник», «Отличник просвещения», «Отличник здравоохранения» по прочим непрограммным расходам (Социальное обеспечение и иные выплаты населению)</t>
  </si>
  <si>
    <t>Единовременная денежная выплата при передаче ребенка на воспитание в семью</t>
  </si>
  <si>
    <t>02 2 1102</t>
  </si>
  <si>
    <t>Единовременная денежная выплата при передаче ребенка на воспитание в семью (Социальное обеспечение и иные выплаты населению)</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</si>
  <si>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t>
  </si>
  <si>
    <t>02 2 7000</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</si>
  <si>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 (Социальное обеспечение и иные выплаты населению)</t>
  </si>
  <si>
    <t>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t>
  </si>
  <si>
    <t>02 2 8770</t>
  </si>
  <si>
    <t>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 (Социальное обеспечение и иные выплаты населению)</t>
  </si>
  <si>
    <t>12 2 8725</t>
  </si>
  <si>
    <t>Компенсация части родительской платы за присмотр и уход за детьми в дошкольных образовательных организациях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(Социальное обеспечение и иные выплаты населению)</t>
  </si>
  <si>
    <t>Расходы на обеспечение функций исполнительных органов местного самоуправления в области управления муниципальным имуществом</t>
  </si>
  <si>
    <t>10 2 0118</t>
  </si>
  <si>
    <t>Расходы на обеспечение функций исполнительных органов местного самоуправления в области управления муниципальным имуществом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</si>
  <si>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в области управления муниципальным имуществом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</si>
  <si>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 в области управления муниципальным имуществом (Иные бюджетные ассигнования)</t>
  </si>
  <si>
    <t>Оценка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t>
  </si>
  <si>
    <t>10 2 1004</t>
  </si>
  <si>
    <t>Оценка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(Закупка товаров, работ и услуг для государственных (муниципальных) нужд)</t>
  </si>
  <si>
    <t>Расходы на обеспечение деятельности (оказание услуг) единой дежурно-диспетчерской службы района</t>
  </si>
  <si>
    <t>11 1 0142</t>
  </si>
  <si>
    <t>Расходы на обеспечение деятельности (оказание услуг) единой дежурно-диспетчерской службы района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</si>
  <si>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учреждений дополнительного образования детей</t>
  </si>
  <si>
    <t>12 1 0123</t>
  </si>
  <si>
    <t>Расходы районного бюджета на обеспечение деятельности (оказание услуг) муниципальных учреждений дополнительного образования детей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</si>
  <si>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домов культуры, клубов</t>
  </si>
  <si>
    <t>03 1 0131</t>
  </si>
  <si>
    <t>Расходы на обеспечение деятельности (оказание услуг) домов культуры, клубов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</si>
  <si>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музея</t>
  </si>
  <si>
    <t>03 3 0133</t>
  </si>
  <si>
    <t>Расходы на обеспечение деятельности (оказание услуг) музея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</si>
  <si>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библиотеки</t>
  </si>
  <si>
    <t>03 5 0132</t>
  </si>
  <si>
    <t>Расходы на обеспечение деятельности (оказание услуг) библиотеки (Предоставление субсидий бюджетным, автономным учреждениям и иным некоммерческим организациям)</t>
  </si>
  <si>
    <t>Всего</t>
  </si>
  <si>
    <t>Распределение расходов, функциональная классификация расходов</t>
  </si>
  <si>
    <t>Раздел</t>
  </si>
  <si>
    <t>Подраздел</t>
  </si>
  <si>
    <t>Целевая статья</t>
  </si>
  <si>
    <t>Вид расходов</t>
  </si>
  <si>
    <t>Условно утвержленные расходы</t>
  </si>
  <si>
    <t>9999999</t>
  </si>
  <si>
    <t>000</t>
  </si>
  <si>
    <t xml:space="preserve">Дорожное хозяйство </t>
  </si>
  <si>
    <t>ДОХОДЫ</t>
  </si>
  <si>
    <t>Сумма (руб.)</t>
  </si>
  <si>
    <t>ИТОГО ПО ДОХОДАМ</t>
  </si>
  <si>
    <t>ИСТОЧНИКИ</t>
  </si>
  <si>
    <t>ИТОГО ПО ИСТОЧНИКАМ ФИНАНСИРОВАНИЯ</t>
  </si>
  <si>
    <t>РАСХОДЫ</t>
  </si>
  <si>
    <t>КГ</t>
  </si>
  <si>
    <t>0100 "Общегосударственные вопросы"</t>
  </si>
  <si>
    <t>0300 "Национальная безопасность и правоохранительная деятельность"</t>
  </si>
  <si>
    <t>0400 "Национальная экономика"</t>
  </si>
  <si>
    <t>0500 "Жилищно-коммунальное хозяйство"</t>
  </si>
  <si>
    <t>0600 "Охрана окружающей среды"</t>
  </si>
  <si>
    <t>0700 "Образование"</t>
  </si>
  <si>
    <t>0800 "Культура, кинематография, средства массовой информации"</t>
  </si>
  <si>
    <t>0900 "Здравоохранение"</t>
  </si>
  <si>
    <t>1000 "Социальная политика"</t>
  </si>
  <si>
    <t>1100 "Физическая культура"</t>
  </si>
  <si>
    <t>1300 "Обслуживание государственного и муниципального долга"</t>
  </si>
  <si>
    <t>1400 "Межбюджетные трансферты общего характера бюджетам субъектов РФ и муниципальных образований"</t>
  </si>
  <si>
    <t>ИТОГО ПО РАСХОДАМ</t>
  </si>
  <si>
    <t>Начальник Финансового управления</t>
  </si>
  <si>
    <t>М.Ф. Макарова</t>
  </si>
  <si>
    <t>С.В.Сидельникова</t>
  </si>
  <si>
    <t>22 2 40</t>
  </si>
  <si>
    <t>Налоговые и неналоговые</t>
  </si>
  <si>
    <t>Безвозм ездные поступления</t>
  </si>
  <si>
    <t>Увеличение</t>
  </si>
  <si>
    <t>Балансировка</t>
  </si>
  <si>
    <t>Уменьшение</t>
  </si>
  <si>
    <t>Администрация района</t>
  </si>
  <si>
    <t>Финансовый отдел</t>
  </si>
  <si>
    <t>Отдел образования</t>
  </si>
  <si>
    <t>Комитет по управлению муниципальным имуществом</t>
  </si>
  <si>
    <t>ДЕФИЦИТ (ПРОФИЦИТ)</t>
  </si>
  <si>
    <t xml:space="preserve"> ИНФОРМАЦИЯ</t>
  </si>
  <si>
    <t>О внесении изменений и дополнений в проект решения о бюджете на 2015 и плановый период 2016-2017 года</t>
  </si>
  <si>
    <t>0116</t>
  </si>
  <si>
    <t>99</t>
  </si>
  <si>
    <t>0113</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</si>
  <si>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</si>
  <si>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 xml:space="preserve">1 17 05050 05 0000 180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</si>
  <si>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 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</si>
  <si>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</si>
  <si>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</si>
  <si>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</si>
  <si>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</si>
  <si>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</si>
  <si>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1 17 02020 13 0000 180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</si>
  <si>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поселений (по обязательствам, возникшим до 1 января 2008 года)</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</si>
  <si>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</si>
  <si>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</si>
  <si>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11105013130000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</si>
  <si>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</si>
  <si>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</si>
  <si>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11406013130000</t>
  </si>
  <si>
    <t>налоговые и неналоговые доходы</t>
  </si>
  <si>
    <t>1306</t>
  </si>
  <si>
    <t>Компенсация выпадающих доходов при обслуживании населения на социально-значимых маршрутах(уточнение ВР)</t>
  </si>
  <si>
    <t>7</t>
  </si>
  <si>
    <t>5082</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</si>
  <si>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(Социальное обеспечение и иные выплаты населению)(уточнение ВР ФС)</t>
  </si>
  <si>
    <t>8732</t>
  </si>
  <si>
    <t>0801</t>
  </si>
  <si>
    <t>Субсидии начинающим субъектам малого и среднего предпринимательства на создание собственного бизнеса(уточнение ВР)</t>
  </si>
  <si>
    <t>0802</t>
  </si>
  <si>
    <t>8712</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</si>
  <si>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бюджета(уточнение ВР ОБ)</t>
  </si>
  <si>
    <t>Компенсация теплоснабжающим организациям выпадающих доходов,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 – коммунального обслуживания населения» государственной программы «Модернизация жилищно – коммунального комплекса, энергосбережение и повышение энергетической эффективности в Амурской области на 2014–2020 годы»(уточнение ВР, средства ОБ)</t>
  </si>
  <si>
    <t>Компенсация теплоснабжающим организациям выпадающих доходов,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 – коммунального обслуживания населения» государственной программы «Модернизация жилищно – коммунального комплекса, энергосбережение и повышение энергетической эффективности в Амурской области на 2014–2020 годы»(уточнение ВР,средства ОБ)</t>
  </si>
  <si>
    <t>0402</t>
  </si>
  <si>
    <t>Капитальный ремонт защитной дамбы от паводковых вод в п. Уруша(письмо  отдела экономики)</t>
  </si>
  <si>
    <t>0401</t>
  </si>
  <si>
    <t>3</t>
  </si>
  <si>
    <t>1313</t>
  </si>
  <si>
    <t>1401</t>
  </si>
  <si>
    <t>1402</t>
  </si>
  <si>
    <t>1403</t>
  </si>
  <si>
    <t>1404</t>
  </si>
  <si>
    <t>1406</t>
  </si>
  <si>
    <t>0906</t>
  </si>
  <si>
    <t>0904</t>
  </si>
  <si>
    <t>0301</t>
  </si>
  <si>
    <t>0304</t>
  </si>
  <si>
    <t>0601</t>
  </si>
  <si>
    <t>1007</t>
  </si>
  <si>
    <t>1202</t>
  </si>
  <si>
    <t>0404</t>
  </si>
  <si>
    <t>0405</t>
  </si>
  <si>
    <t>0403</t>
  </si>
  <si>
    <t>Обустройство полигонов</t>
  </si>
  <si>
    <t>Обустройство полигонов в рамках подпрограммы "Развитие водохозяйственного комплекса и охрана окружающей среды"</t>
  </si>
  <si>
    <t>0410403</t>
  </si>
  <si>
    <t>1312</t>
  </si>
  <si>
    <t>6</t>
  </si>
  <si>
    <t>7011</t>
  </si>
  <si>
    <t>Ремонт жилых помещений участников и инвалидов ВОВ 1941-1945 годов, супругов погибших (умерших) участников ВОВ 1941-1945 годов</t>
  </si>
  <si>
    <t>04999</t>
  </si>
  <si>
    <t>0767011</t>
  </si>
  <si>
    <t>Иные межбюджетные трансферты на ремонт помещений участников и инвалидов ВОВ 1941-1945 годов, супругов погибших (умерших) участников ВОВ 1941-1945 годов</t>
  </si>
  <si>
    <t xml:space="preserve"> Субвенция на компенсацию части родительской платы за присмотр и уход за детьми в дошкольных образовательных организациях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</si>
  <si>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03999</t>
  </si>
  <si>
    <t>Иные межбюджетные трансферты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</si>
  <si>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Иные межбюджетные трансферты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</si>
  <si>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03027</t>
  </si>
  <si>
    <t>Субвенция на выплату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t>
  </si>
  <si>
    <t>Субвенция на организацию и осуществление деятельности по опеке и попечительству в отношении несовершеннолетних</t>
  </si>
  <si>
    <t>04014</t>
  </si>
  <si>
    <t>8726</t>
  </si>
  <si>
    <t>1102</t>
  </si>
  <si>
    <t>8751</t>
  </si>
  <si>
    <t>8770</t>
  </si>
  <si>
    <t>5</t>
  </si>
  <si>
    <t>6970</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</si>
  <si>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 (средства ОБ)</t>
  </si>
  <si>
    <t>7000</t>
  </si>
  <si>
    <t>8730</t>
  </si>
  <si>
    <t>1003</t>
  </si>
  <si>
    <t>8725</t>
  </si>
  <si>
    <t>20204014050000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</si>
  <si>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</si>
  <si>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дефицит</t>
  </si>
  <si>
    <t>Приложение №2</t>
  </si>
  <si>
    <t>Приложение№4</t>
  </si>
  <si>
    <t xml:space="preserve">                                                     Приложение № 7</t>
  </si>
  <si>
    <t>Приложение № 8</t>
  </si>
  <si>
    <t>Субвенция на Организацию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t>
  </si>
  <si>
    <t>Иные межбюджетные трансферты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t>
  </si>
  <si>
    <t>8729</t>
  </si>
  <si>
    <t>1201</t>
  </si>
  <si>
    <t>0164</t>
  </si>
  <si>
    <t>,</t>
  </si>
  <si>
    <t>Расходы на обеспечение выплат по социальным гарантиям молодым специалистам, принятым на работу  в муниципальные образовательные учреждения района по прочим непрограммным расходам</t>
  </si>
  <si>
    <t>ДОПОЛНИТЕЛЬНАЯ  ИНФОРМАЦИЯ</t>
  </si>
  <si>
    <t>Модернизация муниципальных систем дошкольного образования(остатки 2014 года)</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</si>
  <si>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</si>
  <si>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21905000050000</t>
  </si>
  <si>
    <t>219</t>
  </si>
  <si>
    <t>0005</t>
  </si>
  <si>
    <t>дефицит с учетом остатков 2014года</t>
  </si>
  <si>
    <t xml:space="preserve">дефицит с учетом остатков на начало года </t>
  </si>
  <si>
    <t>30.01.2015 №298</t>
  </si>
  <si>
    <r>
      <t xml:space="preserve">Изменение остатков средств на счетах по учету средств бюджетов </t>
    </r>
    <r>
      <rPr>
        <b/>
        <sz val="12"/>
        <rFont val="Arial Narrow"/>
        <family val="2"/>
        <charset val="204"/>
      </rPr>
      <t>(остаток, образовавшийся на начало года на едином счете бюджета)</t>
    </r>
  </si>
  <si>
    <t>Итого по программе с учетом иных  источников  на 2010 год</t>
  </si>
  <si>
    <t>Неисполненные плановые назначения</t>
  </si>
  <si>
    <t>Развитие сельского хозяйства в Сковородинском районе на 2015-2020 годы :</t>
  </si>
  <si>
    <t>"Реабилитация и обеспечение жизнедеятельности инвалидов в Сковородинском районе в 2015-2020 годы"</t>
  </si>
  <si>
    <t>Администрация Сковородинского района / Отдел образования</t>
  </si>
  <si>
    <t xml:space="preserve">Отдел образования </t>
  </si>
  <si>
    <t xml:space="preserve"> ЦСР</t>
  </si>
  <si>
    <t xml:space="preserve">001 0405  </t>
  </si>
  <si>
    <t xml:space="preserve">001 0405 </t>
  </si>
  <si>
    <t xml:space="preserve">001 0113  </t>
  </si>
  <si>
    <t xml:space="preserve">001 1003 </t>
  </si>
  <si>
    <t xml:space="preserve">003 1004 </t>
  </si>
  <si>
    <t xml:space="preserve">003 1004  </t>
  </si>
  <si>
    <t>"Развитие и сохранение культуры и искусства Сковородинского района на 2015-2020 годы"</t>
  </si>
  <si>
    <t>001 0104</t>
  </si>
  <si>
    <t>001 0801</t>
  </si>
  <si>
    <t>014 0801</t>
  </si>
  <si>
    <t>Администрация Сковородинского района / КУМИ</t>
  </si>
  <si>
    <t>КУМИ</t>
  </si>
  <si>
    <t>"Охрана окружающей среды в Сковородинском районе в 2015-2020 годы"</t>
  </si>
  <si>
    <t>001 0406</t>
  </si>
  <si>
    <t>04 1 0403</t>
  </si>
  <si>
    <t>001 0503</t>
  </si>
  <si>
    <t>"Модернизация жилищно-коммунального комплекса, энергосбережегие и повышение энергетической эффективности в Сковородинском районе в 2015-2020 годы"</t>
  </si>
  <si>
    <t>001 0502</t>
  </si>
  <si>
    <t>«Модернизация жилищно – коммунального комплекса, энергосбережение и повышение энергетической эффективности в Амурской области на 2014–2020 годы»</t>
  </si>
  <si>
    <t>003 0702</t>
  </si>
  <si>
    <t>"Противодействие злоупотреблению наркотическими средствами и их незаконному обороту в Сковородинском районе на 2015-2020 годы"</t>
  </si>
  <si>
    <t>001 0707</t>
  </si>
  <si>
    <t>Обеспечение доступным и качественным жильём населения Сковородинского района на 2015-2020 годы"</t>
  </si>
  <si>
    <t>001 0501</t>
  </si>
  <si>
    <t>001 0909</t>
  </si>
  <si>
    <t>001 1003</t>
  </si>
  <si>
    <t>07 6 7011</t>
  </si>
  <si>
    <t>001 1004</t>
  </si>
  <si>
    <t>001 0412</t>
  </si>
  <si>
    <t>001 1101</t>
  </si>
  <si>
    <t>001 1102</t>
  </si>
  <si>
    <t>Администрация Сковородинского</t>
  </si>
  <si>
    <t>Отдел экономики администрации</t>
  </si>
  <si>
    <t>района Амурской области</t>
  </si>
  <si>
    <t>Сковородинского района</t>
  </si>
  <si>
    <t>Ф И Н А Н С О В О Е</t>
  </si>
  <si>
    <t>У П Р А В Л Е Н И Е</t>
  </si>
  <si>
    <t>Победы ул., д.33, г. Сковородино,676014</t>
  </si>
  <si>
    <t>Тел. (41654) 22-6-38; факс (41654) 22-6-39</t>
  </si>
  <si>
    <t>e-mail: rfo-skv@mail.ru</t>
  </si>
  <si>
    <t>ОКПО 02281581, ОГРН 1022801228306,</t>
  </si>
  <si>
    <t>ИНН/КПП 2826002132/282601001</t>
  </si>
  <si>
    <r>
      <t>На №</t>
    </r>
    <r>
      <rPr>
        <u/>
        <sz val="14"/>
        <rFont val="Times New Roman"/>
        <family val="1"/>
        <charset val="204"/>
      </rPr>
      <t>__________</t>
    </r>
    <r>
      <rPr>
        <sz val="14"/>
        <rFont val="Times New Roman"/>
        <family val="1"/>
        <charset val="204"/>
      </rPr>
      <t xml:space="preserve"> от </t>
    </r>
    <r>
      <rPr>
        <u/>
        <sz val="14"/>
        <rFont val="Times New Roman"/>
        <family val="1"/>
        <charset val="204"/>
      </rPr>
      <t>_________</t>
    </r>
  </si>
  <si>
    <t>001 0111</t>
  </si>
  <si>
    <t>001 0113</t>
  </si>
  <si>
    <t>002 0106</t>
  </si>
  <si>
    <t>002 1301</t>
  </si>
  <si>
    <t>002 1401</t>
  </si>
  <si>
    <t>014 0113</t>
  </si>
  <si>
    <t>Администрация Сковородинского района / Финансовое управление / КУМИ</t>
  </si>
  <si>
    <t>Финансовое управление</t>
  </si>
  <si>
    <t>001 0309</t>
  </si>
  <si>
    <t>014 0309</t>
  </si>
  <si>
    <t>001 0701</t>
  </si>
  <si>
    <t>001 0702</t>
  </si>
  <si>
    <t>001 0709</t>
  </si>
  <si>
    <t>003 0701</t>
  </si>
  <si>
    <t>003 0707</t>
  </si>
  <si>
    <t>003 0709</t>
  </si>
  <si>
    <t>003 1004</t>
  </si>
  <si>
    <t>014 0702</t>
  </si>
  <si>
    <t>Администрация Сковородинского района / Отдел образования/КУМИ</t>
  </si>
  <si>
    <t>001 0408</t>
  </si>
  <si>
    <t>Всего по районным программам</t>
  </si>
  <si>
    <t xml:space="preserve"> «Повышение эффективности деятельности органов государственной власти и управления Амурской области на 2014 – 2020 годы»</t>
  </si>
  <si>
    <t>Всего по областным программам</t>
  </si>
  <si>
    <t xml:space="preserve"> Отдел образования</t>
  </si>
  <si>
    <t>Развитие дошкольного, общего и дополнительного образования детей</t>
  </si>
  <si>
    <t xml:space="preserve">Начальник финансового управления </t>
  </si>
  <si>
    <t>администрации Сковородинского района</t>
  </si>
  <si>
    <t>Исп.</t>
  </si>
  <si>
    <t>О.В.Утюпина</t>
  </si>
  <si>
    <t>Проведение мероприятий по организации утилизации и переработке бытовых и промышленных отходов</t>
  </si>
  <si>
    <t>002 1403</t>
  </si>
  <si>
    <t>Администрация Сковородинского района / Финансовое управление</t>
  </si>
  <si>
    <t>0010113</t>
  </si>
  <si>
    <t>10 4 0181</t>
  </si>
  <si>
    <t>001 0409</t>
  </si>
  <si>
    <t xml:space="preserve">"Обеспечение доступным и качественным жильем населения Амурской области на 2014-2020 годы" </t>
  </si>
  <si>
    <t xml:space="preserve">Переселение граждан из аварийного жилищного фонда с учетом необходимости развития малоэтажного жилищного строительства на территории области </t>
  </si>
  <si>
    <t>07 5 9503</t>
  </si>
  <si>
    <t>Н.В. Палащенко</t>
  </si>
  <si>
    <t>Расходы на приобретение вышки для сотовой связи</t>
  </si>
  <si>
    <t>01 2 0116</t>
  </si>
  <si>
    <t>001 0310</t>
  </si>
  <si>
    <t>Субсидии субъектам малого и среднего предпринимательства по возмещению части затрат на производство хлеба и хлебобулочных изделий</t>
  </si>
  <si>
    <t>001 0405</t>
  </si>
  <si>
    <t>Субсидии организациям инфраструктуры поддержки субъектов малого и среднего предпринимательства на возмещению части затрат, связанных с оказанием субъектам малого и среднего предпринимательства консультационных услуг</t>
  </si>
  <si>
    <t>Расходы на исполнение мировых соглашений</t>
  </si>
  <si>
    <t>10 4 0184</t>
  </si>
  <si>
    <t xml:space="preserve">Капитальные вложения в объекты недвижимого имущества государственной (муниципальной) собственности </t>
  </si>
  <si>
    <t>07 5 9603</t>
  </si>
  <si>
    <t>13 2 8748</t>
  </si>
  <si>
    <t xml:space="preserve"> Финансовое управление</t>
  </si>
  <si>
    <t xml:space="preserve"> 002 1403</t>
  </si>
  <si>
    <t xml:space="preserve">Капитальные вложения в объекты муниципальной собствености в рамках подпрограммы "Обеспечение реализации основных направлений муниципальной политики в сфере реализации муниципальной программы"(Невер) </t>
  </si>
  <si>
    <t>05 1 0501</t>
  </si>
  <si>
    <t xml:space="preserve"> Отдел образования\Финансовое управление</t>
  </si>
  <si>
    <t xml:space="preserve">Иные межбюдетные трансферты на модернизацию коммунальной инфраструктуры в рамках подпрограммы "Обеспечение доступности коммунальных услуг, повышение качества и надежности жилищно-коммунального обслуживания населения" </t>
  </si>
  <si>
    <t xml:space="preserve">003 0709 </t>
  </si>
  <si>
    <t>10 4 0183</t>
  </si>
  <si>
    <t>Расходы районного бюджета на финансовое обеспечение исковых требований предъявленных к администрации Сковородинского района по решениям судов, государственная пошлина по судебным решениям, подлежащих выплате в денежном выражении</t>
  </si>
  <si>
    <t xml:space="preserve">Расходы на финансовое обеспечение исковых требований предъявленных к муниципальным учреждениям Сковородинского района в рамках подпрограмм "Повышение эффективности деятельности администрации района" </t>
  </si>
  <si>
    <t>12 2 8041</t>
  </si>
  <si>
    <t xml:space="preserve">003 0701 </t>
  </si>
  <si>
    <t>12 2 5059</t>
  </si>
  <si>
    <t>12 2 8752</t>
  </si>
  <si>
    <t>12 2 5097</t>
  </si>
  <si>
    <t>03 5 0134</t>
  </si>
  <si>
    <t>Мероприятия по проведению лабораторных и инстркментальных исследований в рамках подпрограммы "Развитие водохозяйственного комплекса и охрана окружающей среды"</t>
  </si>
  <si>
    <t>04 1 0409</t>
  </si>
  <si>
    <t>Расходы направленные на модернизацию коммунальной инфраструктуры</t>
  </si>
  <si>
    <t>Мероприятия по обеспечению деятельности добровольнных формирований населения по охране общественнного порядка в рамках  подпрограммы "Профилактика правонарушений, терроризма и экстремизма в районе"</t>
  </si>
  <si>
    <t>"Модернизация жилищно-коммунального комплекса, энергосбережение и повышение энергетической эффективности в Амурской области на 2014 -2020 годы"</t>
  </si>
  <si>
    <t>05 1 8740</t>
  </si>
  <si>
    <t>Развитие водосннабжения в сельской местности, Тахтамыгдинский сельсовет в рамках подпрограммы "Устойчивое развитие сельских территорий"</t>
  </si>
  <si>
    <t>Отдел экономики</t>
  </si>
  <si>
    <t xml:space="preserve">Иные межбюдетные трансферты на модернизацию коммунальной инфраструктуры в рамках подпрограммы "Капитальный ремонт многоквартирных домов" </t>
  </si>
  <si>
    <t xml:space="preserve">05 2 0503 </t>
  </si>
  <si>
    <t xml:space="preserve">Благоустройство </t>
  </si>
  <si>
    <t>14 11406</t>
  </si>
  <si>
    <t xml:space="preserve">Обеспечение жильем молодых семей </t>
  </si>
  <si>
    <t>07 4 8814</t>
  </si>
  <si>
    <t>05 4 5020</t>
  </si>
  <si>
    <t>Субсидии на мероприятия, по восстановлению спортивных сооружений и  материально-технической базы объектов физической культуры и спорта на территориях муниципальных образований Амурской области, пострадавших от наводнения</t>
  </si>
  <si>
    <t>88 8 022</t>
  </si>
  <si>
    <t>Всего по федеральным программам</t>
  </si>
  <si>
    <t xml:space="preserve"> "Обеспечение доступным и качественым жильем населения Амурской области на 2014-2020 годы"</t>
  </si>
  <si>
    <t>Обеспечение жильем молодых семей</t>
  </si>
  <si>
    <t xml:space="preserve"> «Развитие образования Амурской области на 2014 – 2020 годы»:</t>
  </si>
  <si>
    <t>субвенцция на финансовое обеспечение полномочий по организации деятельности административных комиссий</t>
  </si>
  <si>
    <t>иные межбюджетные трансферты на обеспечение государством гарантийныхреализаций прав  на получение общедошкольного и бесплатного дошкольного  образования в муниципальных дошкольных общеобразовательных организациях</t>
  </si>
  <si>
    <t>иные межбюджетные трансферты на обеспечение государством гарантийных прав граждан на получение общедошкольного и бесплатного дошкольного общего, дополнительного образования в муниципальных общеобразовательных организациях</t>
  </si>
  <si>
    <t>Ккомпенсация части родительской платы за присмотр и уход за детьми в дошкольных образовательных организациях</t>
  </si>
  <si>
    <t>субсидии на создание в общеобразовательных организациях, расположенных в сельской местности, условий для занятий физической культурой и спортом (0000551)</t>
  </si>
  <si>
    <t>субсидии на частичную оплату стоимости путевок детей, работающих граждан в организациях отдыха, оздоровления детей в каникулярное время</t>
  </si>
  <si>
    <t>субсидии на модернизацию региональных систем дошкольного образования</t>
  </si>
  <si>
    <t>субсидии муниципальным образованиям на софинансирование мероприятий по модернизации региональных систем дошкольного образования</t>
  </si>
  <si>
    <t>субсидии на создание в общеобразовательных организациях, расположенных в сельской местности, условий для занятий физической культурой и спортом (0000169)</t>
  </si>
  <si>
    <t>03 2 02 03010</t>
  </si>
  <si>
    <t>10 4 04 01140</t>
  </si>
  <si>
    <t>001 0105</t>
  </si>
  <si>
    <t>10 6 01 51200</t>
  </si>
  <si>
    <t>10 4 04 01910</t>
  </si>
  <si>
    <r>
      <t xml:space="preserve">Расходы на обеспечение функций исполнительных органов местного самоуправления в рамках </t>
    </r>
    <r>
      <rPr>
        <b/>
        <sz val="12"/>
        <rFont val="Times New Roman"/>
        <family val="1"/>
        <charset val="204"/>
      </rPr>
      <t>пп "Повышение эффективности деятельности администрации района"</t>
    </r>
  </si>
  <si>
    <r>
      <t xml:space="preserve">Расходы на обеспечение деятельности (оказание услуг) муниципальных учреждений в рамках </t>
    </r>
    <r>
      <rPr>
        <b/>
        <sz val="12"/>
        <rFont val="Times New Roman"/>
        <family val="1"/>
        <charset val="204"/>
      </rPr>
      <t>пп"Архивное дело"</t>
    </r>
  </si>
  <si>
    <t>01 2 02 01140</t>
  </si>
  <si>
    <t>10 4 04 01410</t>
  </si>
  <si>
    <t>10 6 01 88430</t>
  </si>
  <si>
    <t>11 1 01 11010</t>
  </si>
  <si>
    <t>11 2 02 11040</t>
  </si>
  <si>
    <r>
      <t xml:space="preserve">Организация и проведение мероприятия по реализации муниципальной </t>
    </r>
    <r>
      <rPr>
        <b/>
        <sz val="12"/>
        <color indexed="8"/>
        <rFont val="Times New Roman"/>
        <family val="1"/>
        <charset val="204"/>
      </rPr>
      <t>пп "Развитие лесного хозяйства"</t>
    </r>
  </si>
  <si>
    <t>04 2 02 04080</t>
  </si>
  <si>
    <t>01 1 01 01020</t>
  </si>
  <si>
    <t>01 1 01 01050</t>
  </si>
  <si>
    <t>01 1 01 01070</t>
  </si>
  <si>
    <t>01 1 01 01080</t>
  </si>
  <si>
    <t>01 2 02 01090</t>
  </si>
  <si>
    <t>01 2 02 01100</t>
  </si>
  <si>
    <t>01 5 01 69700</t>
  </si>
  <si>
    <t>08 1 01 08050</t>
  </si>
  <si>
    <t>08 1 01 08060</t>
  </si>
  <si>
    <t>04 1 01 04020</t>
  </si>
  <si>
    <t>Приобретение циклонов на котельные в рамках пп"Развитие водохозяйственного комплекса и охрана окружающей среды"</t>
  </si>
  <si>
    <t>04 1 01 04010</t>
  </si>
  <si>
    <t>13 1 01 13020</t>
  </si>
  <si>
    <t>13 1 01 13030</t>
  </si>
  <si>
    <t>13 1 01 13050</t>
  </si>
  <si>
    <t>13 1 01 13060</t>
  </si>
  <si>
    <t>13 2 02 13100</t>
  </si>
  <si>
    <t>13 2 02 13110</t>
  </si>
  <si>
    <t>13 3 03 13120</t>
  </si>
  <si>
    <t>13 3 03 13140</t>
  </si>
  <si>
    <t>08 1 01 08010</t>
  </si>
  <si>
    <t>08 1 01 08020</t>
  </si>
  <si>
    <t>08 1 01 08040</t>
  </si>
  <si>
    <t>07 2 02 07020</t>
  </si>
  <si>
    <t>01 2 02 01150</t>
  </si>
  <si>
    <t>Развитие водоснабжения в сельской местности в рамках пп "Устойчивое развитие сельских террторий" (организация и проведение мероприятий по реализации муниципальной программы)</t>
  </si>
  <si>
    <t>05 1 01 87120</t>
  </si>
  <si>
    <t>04 1 01 04040</t>
  </si>
  <si>
    <t>04 1 01 04050</t>
  </si>
  <si>
    <t>14 1 01 14010</t>
  </si>
  <si>
    <t>14 1 01 14030</t>
  </si>
  <si>
    <t>14 1 01 14040</t>
  </si>
  <si>
    <t>14 1 01 14060</t>
  </si>
  <si>
    <t>12 1 01 12020</t>
  </si>
  <si>
    <t>06 1 01 06010</t>
  </si>
  <si>
    <t>11 2 02 11020</t>
  </si>
  <si>
    <t>11 2 02 11030</t>
  </si>
  <si>
    <t>11 2 02 11070</t>
  </si>
  <si>
    <t>12 3 03 12080</t>
  </si>
  <si>
    <r>
      <t xml:space="preserve">Организация и проведение мероприятий по реализации муниципальной </t>
    </r>
    <r>
      <rPr>
        <b/>
        <sz val="12"/>
        <color indexed="8"/>
        <rFont val="Times New Roman"/>
        <family val="1"/>
        <charset val="204"/>
      </rPr>
      <t>пп "Вовлечение молодежи в социальную практику"</t>
    </r>
  </si>
  <si>
    <t>12 3 02 87290</t>
  </si>
  <si>
    <t>03 4 04 03020</t>
  </si>
  <si>
    <r>
      <t xml:space="preserve">Организация и проведение мероприятия по реализации муниципальной программы в рамках </t>
    </r>
    <r>
      <rPr>
        <b/>
        <sz val="12"/>
        <color indexed="8"/>
        <rFont val="Times New Roman"/>
        <family val="1"/>
        <charset val="204"/>
      </rPr>
      <t>пп"Этнокультурное наследие"</t>
    </r>
  </si>
  <si>
    <t>03 6 06 03030</t>
  </si>
  <si>
    <r>
      <t xml:space="preserve">Организация и проведение мероприятия по реализации муниципальной программы в рамках </t>
    </r>
    <r>
      <rPr>
        <b/>
        <sz val="12"/>
        <color indexed="8"/>
        <rFont val="Times New Roman"/>
        <family val="1"/>
        <charset val="204"/>
      </rPr>
      <t>пп"Мероприятия в сфере культуры и искусства"</t>
    </r>
  </si>
  <si>
    <t xml:space="preserve">001 0801 </t>
  </si>
  <si>
    <t>03 7 07 03040</t>
  </si>
  <si>
    <t>03 7 07 03050</t>
  </si>
  <si>
    <t>06 7 03 87360</t>
  </si>
  <si>
    <t>02 1 01 02010</t>
  </si>
  <si>
    <t>07 1 01 07010</t>
  </si>
  <si>
    <t>10 3 03 10070</t>
  </si>
  <si>
    <t>07 7 01 50820</t>
  </si>
  <si>
    <t>07 7 01 R0820</t>
  </si>
  <si>
    <t>09 1 01 09020</t>
  </si>
  <si>
    <t>09 1 01 09040</t>
  </si>
  <si>
    <t>09 1 01 09010</t>
  </si>
  <si>
    <t>09 1 01 09030</t>
  </si>
  <si>
    <t xml:space="preserve">Капитальные вложения в объекты недвижимого имущества (реконструкция стадиона в квартале 9/23 г.Сковородино) </t>
  </si>
  <si>
    <t>09 1 01 09050</t>
  </si>
  <si>
    <t>10 1 01 01160</t>
  </si>
  <si>
    <t>10 1 01 10030</t>
  </si>
  <si>
    <t>10 1 01 01710</t>
  </si>
  <si>
    <t>10 1 01 01510</t>
  </si>
  <si>
    <t>12 1 01 01210</t>
  </si>
  <si>
    <t>12 1 01 12010</t>
  </si>
  <si>
    <t>12 2 01 87510</t>
  </si>
  <si>
    <t>05 3 03 05060</t>
  </si>
  <si>
    <t>11 2 02 11050</t>
  </si>
  <si>
    <t>11 2 02 11060</t>
  </si>
  <si>
    <t>12 1 01 01220</t>
  </si>
  <si>
    <t>12 1 01 01240</t>
  </si>
  <si>
    <t>12 1 01 12030</t>
  </si>
  <si>
    <t>12 1 01 12040</t>
  </si>
  <si>
    <t>12 2 01 87260</t>
  </si>
  <si>
    <t>13 2 02 13070</t>
  </si>
  <si>
    <t>13 2 02 13080</t>
  </si>
  <si>
    <t>13 2 02 13090</t>
  </si>
  <si>
    <t>12 2 02 12050</t>
  </si>
  <si>
    <t>12 2 02 12060</t>
  </si>
  <si>
    <t>12 3 01 87500</t>
  </si>
  <si>
    <t>12 4 04 01170</t>
  </si>
  <si>
    <t>12 4 04 01180</t>
  </si>
  <si>
    <t>12 4 04 01430</t>
  </si>
  <si>
    <t>02 2 01 11020</t>
  </si>
  <si>
    <t>02 2 01 70000</t>
  </si>
  <si>
    <t>02 2 01 87700</t>
  </si>
  <si>
    <t>12 2 01 87250</t>
  </si>
  <si>
    <t>02 2 01 87300</t>
  </si>
  <si>
    <t>10 2 02 01180</t>
  </si>
  <si>
    <t>10 2 02 10040</t>
  </si>
  <si>
    <t>11 1 01 01420</t>
  </si>
  <si>
    <t>12 1 01 01230</t>
  </si>
  <si>
    <t>03 1 01 01310</t>
  </si>
  <si>
    <t>03 3 03 01330</t>
  </si>
  <si>
    <t>03 5 05 01320</t>
  </si>
  <si>
    <t xml:space="preserve">МУНИЦИПАЛЬНЫЕ  ПРОГРАММЫ НА 2016 ГОД </t>
  </si>
  <si>
    <t>02 0 00 00000</t>
  </si>
  <si>
    <t>01 0 00 00000</t>
  </si>
  <si>
    <t>03 0 00 00000</t>
  </si>
  <si>
    <t>04 0 00 00000</t>
  </si>
  <si>
    <t>05 0 00 00000</t>
  </si>
  <si>
    <t>06 0 00 00000</t>
  </si>
  <si>
    <t>07 0 00 00000</t>
  </si>
  <si>
    <t>08 0 00 00000</t>
  </si>
  <si>
    <t>09 0 00 00000</t>
  </si>
  <si>
    <t>10 0 00 00000</t>
  </si>
  <si>
    <t>11 0 00 00000</t>
  </si>
  <si>
    <t>12 0 00 00000</t>
  </si>
  <si>
    <t>13 0 00 00000</t>
  </si>
  <si>
    <t>14 0 00 00000</t>
  </si>
  <si>
    <t xml:space="preserve">Утверждено на 2016 год решением о бюджете </t>
  </si>
  <si>
    <t>Исполнено на 01.02.2016г.</t>
  </si>
  <si>
    <r>
      <t>От 02</t>
    </r>
    <r>
      <rPr>
        <u/>
        <sz val="14"/>
        <rFont val="Times New Roman"/>
        <family val="1"/>
        <charset val="204"/>
      </rPr>
      <t>.02.2016г.</t>
    </r>
    <r>
      <rPr>
        <sz val="14"/>
        <rFont val="Times New Roman"/>
        <family val="1"/>
        <charset val="204"/>
      </rPr>
      <t xml:space="preserve"> № </t>
    </r>
    <r>
      <rPr>
        <u/>
        <sz val="14"/>
        <rFont val="Times New Roman"/>
        <family val="1"/>
        <charset val="204"/>
      </rPr>
      <t>02-12/36</t>
    </r>
  </si>
  <si>
    <t>Расходы районного бюджета на исполнение мировых соглашений, подленжащих выплате в денежном выражении</t>
  </si>
  <si>
    <t>10 4 04 01840</t>
  </si>
  <si>
    <t>Организация и осуществление деятельности по опеке и попечительству в отношении совершеннолетних лиц, признанных судо недееспособными вследствии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государственной программы «Развитие здравоохранения Амурской области на 2014 – 2020 годы»</t>
  </si>
  <si>
    <t>13 1 01 13010</t>
  </si>
  <si>
    <t>Приобретение автобусов для развития перевозок</t>
  </si>
  <si>
    <t>13 1 01 13040</t>
  </si>
  <si>
    <t>07 2 02 S9602</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</si>
  <si>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(софинансирование)</t>
  </si>
  <si>
    <t>14 1 01 14020</t>
  </si>
  <si>
    <t>Обустройство скотомогильников</t>
  </si>
  <si>
    <t>04 1 01 04060</t>
  </si>
  <si>
    <t>05 1 01 05010</t>
  </si>
  <si>
    <t>Расходы направленные на модернизацию коммунальной инфраструктуры (возврат водовода)</t>
  </si>
  <si>
    <t>05 1 02 87400</t>
  </si>
  <si>
    <t>Исполнено на 01.03.2016г.</t>
  </si>
  <si>
    <t>компенсация части родительской платы за присмотр и уход за детьми в дошкольных образовательных организациях</t>
  </si>
  <si>
    <t>Капитальные вложения в объекты недвижимого имущества государственной (муниципальной) собственности</t>
  </si>
  <si>
    <t>07 5 01 09502</t>
  </si>
  <si>
    <t>12 2 02 R0590</t>
  </si>
  <si>
    <r>
      <t>От 02</t>
    </r>
    <r>
      <rPr>
        <u/>
        <sz val="14"/>
        <rFont val="Times New Roman"/>
        <family val="1"/>
        <charset val="204"/>
      </rPr>
      <t>.03.2016г.</t>
    </r>
    <r>
      <rPr>
        <sz val="14"/>
        <rFont val="Times New Roman"/>
        <family val="1"/>
        <charset val="204"/>
      </rPr>
      <t xml:space="preserve"> № </t>
    </r>
    <r>
      <rPr>
        <u/>
        <sz val="14"/>
        <rFont val="Times New Roman"/>
        <family val="1"/>
        <charset val="204"/>
      </rPr>
      <t>02-12/73</t>
    </r>
  </si>
  <si>
    <t xml:space="preserve">Зам.начальника Финансового управления </t>
  </si>
  <si>
    <t xml:space="preserve"> </t>
  </si>
  <si>
    <t>Исполнено на 01.04.2016г.</t>
  </si>
  <si>
    <t>Организация деятельности по сбору, транспортированию, обработке, утилизации, обезжириванию, захоронению твердых коммунальных отходов</t>
  </si>
  <si>
    <t>002 0503</t>
  </si>
  <si>
    <t>Мероприятитя на проведение Всероссийской сельскохозяйственной переписи</t>
  </si>
  <si>
    <t>01 9 02 53910</t>
  </si>
  <si>
    <t xml:space="preserve">Начальник Финансового управления </t>
  </si>
  <si>
    <r>
      <t>От 04</t>
    </r>
    <r>
      <rPr>
        <u/>
        <sz val="14"/>
        <rFont val="Times New Roman"/>
        <family val="1"/>
        <charset val="204"/>
      </rPr>
      <t>.04.2016г.</t>
    </r>
    <r>
      <rPr>
        <sz val="14"/>
        <rFont val="Times New Roman"/>
        <family val="1"/>
        <charset val="204"/>
      </rPr>
      <t xml:space="preserve"> № </t>
    </r>
    <r>
      <rPr>
        <u/>
        <sz val="14"/>
        <rFont val="Times New Roman"/>
        <family val="1"/>
        <charset val="204"/>
      </rPr>
      <t>02-12/111</t>
    </r>
  </si>
  <si>
    <t>Исполнено на 01.05.2016г.</t>
  </si>
  <si>
    <t>Расходы районного бюджета на финнансовое обеспеченние исковых требований предъявленных к администрации Сковородинского райогнна по решениям судов, государственная пошлина по судебным решениям, подлежащим выплате в денежном выражении</t>
  </si>
  <si>
    <t>10 4 04 01810</t>
  </si>
  <si>
    <t>Иные межбюджетные трансферты  бюджетам муниципального образования на осуществление дорожной деятельности в отношении автомобильных дорог местного значения и сооружений на них</t>
  </si>
  <si>
    <t>002 0409</t>
  </si>
  <si>
    <t>13 2 03 87480</t>
  </si>
  <si>
    <t>Средства областного бюджета, предусмотренные на реализацию мероприятий подрограммы "Обеспечение жильем молодых семей" государственой программы "Обеспечение доступным и качественым жильем населения Амурской области на 2014-2020 годы"</t>
  </si>
  <si>
    <t>07 4 01 R0200</t>
  </si>
  <si>
    <t>Средства федерального бюджета, предусмотренные на реализацию мероприятий подрограммы "Обеспечение жильем молодых семей" государственой программы "Обеспечение доступным и качественым жильем населения Амурской области на 2014-2020 годы"</t>
  </si>
  <si>
    <t>07 4 02 50200</t>
  </si>
  <si>
    <r>
      <t>От 04</t>
    </r>
    <r>
      <rPr>
        <u/>
        <sz val="14"/>
        <rFont val="Times New Roman"/>
        <family val="1"/>
        <charset val="204"/>
      </rPr>
      <t>.05.2016г.</t>
    </r>
    <r>
      <rPr>
        <sz val="14"/>
        <rFont val="Times New Roman"/>
        <family val="1"/>
        <charset val="204"/>
      </rPr>
      <t xml:space="preserve"> № </t>
    </r>
    <r>
      <rPr>
        <u/>
        <sz val="14"/>
        <rFont val="Times New Roman"/>
        <family val="1"/>
        <charset val="204"/>
      </rPr>
      <t>02-12/145</t>
    </r>
  </si>
  <si>
    <t>Исполнено на 01.06.2016г.</t>
  </si>
  <si>
    <r>
      <t>От 02</t>
    </r>
    <r>
      <rPr>
        <u/>
        <sz val="14"/>
        <rFont val="Times New Roman"/>
        <family val="1"/>
        <charset val="204"/>
      </rPr>
      <t>.06.2016г.</t>
    </r>
    <r>
      <rPr>
        <sz val="14"/>
        <rFont val="Times New Roman"/>
        <family val="1"/>
        <charset val="204"/>
      </rPr>
      <t xml:space="preserve"> № </t>
    </r>
    <r>
      <rPr>
        <u/>
        <sz val="14"/>
        <rFont val="Times New Roman"/>
        <family val="1"/>
        <charset val="204"/>
      </rPr>
      <t>02-12/176</t>
    </r>
  </si>
  <si>
    <t>Исполнено на 01.07.2016г.</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</si>
  <si>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</si>
  <si>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12 2 02 50970</t>
  </si>
  <si>
    <t xml:space="preserve">003 0702 </t>
  </si>
  <si>
    <t>12 2 02 R0970</t>
  </si>
  <si>
    <t>002 0502</t>
  </si>
  <si>
    <t>05 1 01 05020</t>
  </si>
  <si>
    <t xml:space="preserve">Расходы, направленные на ремонт бань в рамках подпрограммы «Обеспечение доступности коммунальных услуг, повышение качества и надежности жилищно-коммунального обслуживания населения» </t>
  </si>
  <si>
    <t>002 0801</t>
  </si>
  <si>
    <t>10 1 01 01530</t>
  </si>
  <si>
    <t xml:space="preserve"> Расходы районного бюджета по предоставлению бюджетам поселений межбюджетных трансфертов на покрытие временного кассового разрыва в рамках подпрограммы «Повышение эффективности управления муниципальными финансами и муниципальным долгом»</t>
  </si>
  <si>
    <t>07 4 01 50200</t>
  </si>
  <si>
    <t>Фин.управление</t>
  </si>
  <si>
    <r>
      <t>От 05</t>
    </r>
    <r>
      <rPr>
        <u/>
        <sz val="14"/>
        <rFont val="Times New Roman"/>
        <family val="1"/>
        <charset val="204"/>
      </rPr>
      <t>.07.2016г.</t>
    </r>
    <r>
      <rPr>
        <sz val="14"/>
        <rFont val="Times New Roman"/>
        <family val="1"/>
        <charset val="204"/>
      </rPr>
      <t xml:space="preserve"> № </t>
    </r>
    <r>
      <rPr>
        <u/>
        <sz val="14"/>
        <rFont val="Times New Roman"/>
        <family val="1"/>
        <charset val="204"/>
      </rPr>
      <t>02-12/208</t>
    </r>
  </si>
  <si>
    <t xml:space="preserve">Заместитель начальника Финансового управления </t>
  </si>
  <si>
    <t>Исполнено на 01.08.2016г.</t>
  </si>
  <si>
    <t xml:space="preserve">001 0113 </t>
  </si>
  <si>
    <r>
      <t>От 04.08</t>
    </r>
    <r>
      <rPr>
        <u/>
        <sz val="14"/>
        <rFont val="Times New Roman"/>
        <family val="1"/>
        <charset val="204"/>
      </rPr>
      <t>.2016г.</t>
    </r>
    <r>
      <rPr>
        <sz val="14"/>
        <rFont val="Times New Roman"/>
        <family val="1"/>
        <charset val="204"/>
      </rPr>
      <t xml:space="preserve"> № </t>
    </r>
    <r>
      <rPr>
        <u/>
        <sz val="14"/>
        <rFont val="Times New Roman"/>
        <family val="1"/>
        <charset val="204"/>
      </rPr>
      <t>02-12/231</t>
    </r>
  </si>
  <si>
    <t>И.В. Максианович</t>
  </si>
  <si>
    <t>О.В. Утюпина</t>
  </si>
  <si>
    <t>Исполнено на 01.09.2016г.</t>
  </si>
  <si>
    <r>
      <t>От 05.09</t>
    </r>
    <r>
      <rPr>
        <u/>
        <sz val="14"/>
        <rFont val="Times New Roman"/>
        <family val="1"/>
        <charset val="204"/>
      </rPr>
      <t>.2016г.</t>
    </r>
    <r>
      <rPr>
        <sz val="14"/>
        <rFont val="Times New Roman"/>
        <family val="1"/>
        <charset val="204"/>
      </rPr>
      <t xml:space="preserve"> № </t>
    </r>
    <r>
      <rPr>
        <u/>
        <sz val="14"/>
        <rFont val="Times New Roman"/>
        <family val="1"/>
        <charset val="204"/>
      </rPr>
      <t>02-12/266</t>
    </r>
  </si>
  <si>
    <t>Исполнено на 01.10.2016г.</t>
  </si>
  <si>
    <t>002 0104</t>
  </si>
  <si>
    <t>12 2 02 87520</t>
  </si>
  <si>
    <t>подпрограмма "Развитие дошкольного, общего и дополнительного образования детей"(Предоставление субсидий бюджетным, автономным учреждениям и иным некоммерческим организациям)</t>
  </si>
  <si>
    <t>11 1 01 11420</t>
  </si>
  <si>
    <r>
      <t>От 03.10</t>
    </r>
    <r>
      <rPr>
        <u/>
        <sz val="14"/>
        <rFont val="Times New Roman"/>
        <family val="1"/>
        <charset val="204"/>
      </rPr>
      <t>.2016г.</t>
    </r>
    <r>
      <rPr>
        <sz val="14"/>
        <rFont val="Times New Roman"/>
        <family val="1"/>
        <charset val="204"/>
      </rPr>
      <t xml:space="preserve"> № </t>
    </r>
    <r>
      <rPr>
        <u/>
        <sz val="14"/>
        <rFont val="Times New Roman"/>
        <family val="1"/>
        <charset val="204"/>
      </rPr>
      <t>02-12/322</t>
    </r>
  </si>
  <si>
    <t>Исполнено на 01.11.2016г.</t>
  </si>
  <si>
    <r>
      <t>От 02.11</t>
    </r>
    <r>
      <rPr>
        <u/>
        <sz val="14"/>
        <rFont val="Times New Roman"/>
        <family val="1"/>
        <charset val="204"/>
      </rPr>
      <t>.2016г.</t>
    </r>
    <r>
      <rPr>
        <sz val="14"/>
        <rFont val="Times New Roman"/>
        <family val="1"/>
        <charset val="204"/>
      </rPr>
      <t xml:space="preserve">       № </t>
    </r>
    <r>
      <rPr>
        <u/>
        <sz val="14"/>
        <rFont val="Times New Roman"/>
        <family val="1"/>
        <charset val="204"/>
      </rPr>
      <t>02-12/359</t>
    </r>
  </si>
  <si>
    <t>Исполнено на 01.12.2016г.</t>
  </si>
  <si>
    <r>
      <t>От 02.12</t>
    </r>
    <r>
      <rPr>
        <u/>
        <sz val="14"/>
        <rFont val="Times New Roman"/>
        <family val="1"/>
        <charset val="204"/>
      </rPr>
      <t>.2016г.</t>
    </r>
    <r>
      <rPr>
        <sz val="14"/>
        <rFont val="Times New Roman"/>
        <family val="1"/>
        <charset val="204"/>
      </rPr>
      <t xml:space="preserve">       № </t>
    </r>
    <r>
      <rPr>
        <u/>
        <sz val="14"/>
        <rFont val="Times New Roman"/>
        <family val="1"/>
        <charset val="204"/>
      </rPr>
      <t>02-12/401</t>
    </r>
  </si>
  <si>
    <t>Исполнено на 01.01.2017г.</t>
  </si>
  <si>
    <t>Проведение лабораторных и инструментальных исследований</t>
  </si>
  <si>
    <t>04 1 01 04090</t>
  </si>
  <si>
    <t xml:space="preserve"> «Повышение эффективности деятельности органов государственной власти и управления Амурской области на 2014 – 2020 годы» (административная комиссия)</t>
  </si>
  <si>
    <t>субвенцция на финансовое обеспечение полномочий по организации деятельности  комиссий по делам несовершеннолетних</t>
  </si>
  <si>
    <t>%</t>
  </si>
  <si>
    <t>исполнения</t>
  </si>
  <si>
    <t>200/800</t>
  </si>
  <si>
    <t xml:space="preserve">Уточненный  план на 2016 год </t>
  </si>
  <si>
    <t>Управлекние образования</t>
  </si>
  <si>
    <t>СКОВОРОДИНСКИЙ РАЙОН</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</si>
</sst>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р_._-;\-* #,##0_р_._-;_-* &quot;-&quot;_р_._-;_-@_-"/>
    <numFmt numFmtId="43" formatCode="_-* #,##0.00_р_._-;\-* #,##0.00_р_._-;_-* &quot;-&quot;??_р_._-;_-@_-"/>
    <numFmt numFmtId="164" formatCode="?"/>
    <numFmt numFmtId="165" formatCode="_-* #,##0.0_р_._-;\-* #,##0.0_р_._-;_-* &quot;-&quot;?_р_._-;_-@_-"/>
  </numFmts>
  <fonts count="107" x14ac:knownFonts="1">
    <font>
      <sz val="11"/>
      <color theme="1"/>
      <name val="Calibri"/>
      <family val="2"/>
      <scheme val="minor"/>
    </font>
    <font>
      <sz val="12"/>
      <name val="Arial Narrow"/>
      <family val="2"/>
      <charset val="204"/>
    </font>
    <font>
      <b/>
      <sz val="12"/>
      <name val="Arial Narrow"/>
      <family val="2"/>
      <charset val="204"/>
    </font>
    <font>
      <sz val="12"/>
      <color indexed="8"/>
      <name val="Arial Narrow"/>
      <family val="2"/>
      <charset val="204"/>
    </font>
    <font>
      <sz val="11"/>
      <name val="Calibri"/>
      <family val="2"/>
      <scheme val="minor"/>
    </font>
    <font>
      <sz val="8"/>
      <name val="Arial Cyr"/>
      <charset val="204"/>
    </font>
    <font>
      <sz val="12"/>
      <color theme="1"/>
      <name val="Arial Narrow"/>
      <family val="2"/>
      <charset val="204"/>
    </font>
    <font>
      <sz val="11"/>
      <name val="Arial"/>
      <family val="2"/>
      <charset val="204"/>
    </font>
    <font>
      <sz val="12"/>
      <name val="Arial"/>
      <family val="2"/>
      <charset val="204"/>
    </font>
    <font>
      <sz val="10"/>
      <name val="Arial"/>
      <family val="2"/>
      <charset val="204"/>
    </font>
    <font>
      <b/>
      <sz val="11"/>
      <name val="Arial"/>
      <family val="2"/>
      <charset val="204"/>
    </font>
    <font>
      <sz val="11"/>
      <color indexed="8"/>
      <name val="Arial"/>
      <family val="2"/>
      <charset val="204"/>
    </font>
    <font>
      <b/>
      <sz val="10"/>
      <name val="Arial"/>
      <family val="2"/>
      <charset val="204"/>
    </font>
    <font>
      <b/>
      <sz val="8"/>
      <color indexed="81"/>
      <name val="Tahoma"/>
      <family val="2"/>
      <charset val="204"/>
    </font>
    <font>
      <sz val="11"/>
      <name val="Calibri"/>
      <family val="2"/>
      <charset val="204"/>
    </font>
    <font>
      <sz val="10"/>
      <color indexed="8"/>
      <name val="Arial"/>
      <family val="2"/>
      <charset val="204"/>
    </font>
    <font>
      <b/>
      <sz val="10"/>
      <color indexed="8"/>
      <name val="Arial"/>
      <family val="2"/>
      <charset val="204"/>
    </font>
    <font>
      <sz val="12"/>
      <name val="Times New Roman"/>
      <family val="1"/>
      <charset val="204"/>
    </font>
    <font>
      <b/>
      <sz val="12"/>
      <name val="Times New Roman"/>
      <family val="1"/>
      <charset val="204"/>
    </font>
    <font>
      <sz val="10"/>
      <name val="Times New Roman"/>
      <family val="1"/>
      <charset val="204"/>
    </font>
    <font>
      <u/>
      <sz val="12"/>
      <name val="Times New Roman"/>
      <family val="1"/>
      <charset val="204"/>
    </font>
    <font>
      <b/>
      <sz val="14"/>
      <name val="Times New Roman"/>
      <family val="1"/>
      <charset val="204"/>
    </font>
    <font>
      <sz val="14"/>
      <name val="Arial Narrow"/>
      <family val="2"/>
      <charset val="204"/>
    </font>
    <font>
      <sz val="11"/>
      <name val="Calibri"/>
      <family val="2"/>
    </font>
    <font>
      <sz val="11"/>
      <color indexed="8"/>
      <name val="Arial Narrow"/>
      <family val="2"/>
      <charset val="204"/>
    </font>
    <font>
      <sz val="11"/>
      <name val="Arial Narrow"/>
      <family val="2"/>
      <charset val="204"/>
    </font>
    <font>
      <sz val="10"/>
      <name val="Arial Narrow"/>
      <family val="2"/>
      <charset val="204"/>
    </font>
    <font>
      <b/>
      <sz val="12"/>
      <color indexed="8"/>
      <name val="Arial Narrow"/>
      <family val="2"/>
      <charset val="204"/>
    </font>
    <font>
      <b/>
      <sz val="11"/>
      <color indexed="8"/>
      <name val="Calibri"/>
      <family val="2"/>
    </font>
    <font>
      <sz val="12"/>
      <color indexed="9"/>
      <name val="Arial Narrow"/>
      <family val="2"/>
      <charset val="204"/>
    </font>
    <font>
      <sz val="12"/>
      <color rgb="FFFF0000"/>
      <name val="Arial Narrow"/>
      <family val="2"/>
      <charset val="204"/>
    </font>
    <font>
      <sz val="10"/>
      <name val="Times New Roman"/>
      <family val="1"/>
      <charset val="204"/>
    </font>
    <font>
      <sz val="8.5"/>
      <name val="MS Sans Serif"/>
    </font>
    <font>
      <b/>
      <sz val="11"/>
      <name val="Times New Roman"/>
      <family val="1"/>
      <charset val="204"/>
    </font>
    <font>
      <b/>
      <sz val="9"/>
      <name val="MS Sans Serif"/>
    </font>
    <font>
      <sz val="8"/>
      <name val="Arial Narrow"/>
      <family val="2"/>
      <charset val="204"/>
    </font>
    <font>
      <b/>
      <sz val="8"/>
      <name val="MS Sans Serif"/>
    </font>
    <font>
      <b/>
      <sz val="8"/>
      <name val="Arial Narrow"/>
      <family val="2"/>
      <charset val="204"/>
    </font>
    <font>
      <b/>
      <sz val="14"/>
      <name val="Times New Roman CYR"/>
    </font>
    <font>
      <sz val="14"/>
      <name val="Times New Roman"/>
      <family val="1"/>
      <charset val="204"/>
    </font>
    <font>
      <b/>
      <sz val="12"/>
      <color indexed="8"/>
      <name val="Times New Roman"/>
      <family val="1"/>
      <charset val="204"/>
    </font>
    <font>
      <sz val="8"/>
      <name val="Arial Cyr"/>
    </font>
    <font>
      <sz val="12"/>
      <color indexed="8"/>
      <name val="Times New Roman"/>
      <family val="1"/>
      <charset val="204"/>
    </font>
    <font>
      <i/>
      <sz val="12"/>
      <color indexed="8"/>
      <name val="Times New Roman"/>
      <family val="1"/>
      <charset val="204"/>
    </font>
    <font>
      <sz val="12"/>
      <color indexed="36"/>
      <name val="Arial Narrow"/>
      <family val="2"/>
      <charset val="204"/>
    </font>
    <font>
      <i/>
      <sz val="10"/>
      <color indexed="36"/>
      <name val="Arial Narrow"/>
      <family val="2"/>
      <charset val="204"/>
    </font>
    <font>
      <i/>
      <sz val="12"/>
      <color indexed="36"/>
      <name val="Arial Narrow"/>
      <family val="2"/>
      <charset val="204"/>
    </font>
    <font>
      <sz val="11"/>
      <color indexed="36"/>
      <name val="Arial Narrow"/>
      <family val="2"/>
      <charset val="204"/>
    </font>
    <font>
      <sz val="12"/>
      <color indexed="46"/>
      <name val="Arial Narrow"/>
      <family val="2"/>
      <charset val="204"/>
    </font>
    <font>
      <b/>
      <sz val="12"/>
      <color indexed="36"/>
      <name val="Arial Narrow"/>
      <family val="2"/>
      <charset val="204"/>
    </font>
    <font>
      <i/>
      <sz val="12"/>
      <color rgb="FFFF0000"/>
      <name val="Times New Roman"/>
      <family val="1"/>
      <charset val="204"/>
    </font>
    <font>
      <sz val="12"/>
      <color theme="1"/>
      <name val="Times New Roman"/>
      <family val="1"/>
      <charset val="204"/>
    </font>
    <font>
      <sz val="11"/>
      <color indexed="8"/>
      <name val="Times New Roman"/>
      <family val="1"/>
      <charset val="204"/>
    </font>
    <font>
      <sz val="12"/>
      <color indexed="8"/>
      <name val="Times New Roman"/>
      <family val="1"/>
      <charset val="204"/>
    </font>
    <font>
      <b/>
      <sz val="12"/>
      <color theme="1"/>
      <name val="Calibri"/>
      <family val="2"/>
      <charset val="204"/>
      <scheme val="minor"/>
    </font>
    <font>
      <b/>
      <sz val="14"/>
      <color indexed="8"/>
      <name val="Times New Roman"/>
      <family val="1"/>
      <charset val="204"/>
    </font>
    <font>
      <sz val="8"/>
      <color indexed="8"/>
      <name val="Times New Roman"/>
      <family val="1"/>
      <charset val="204"/>
    </font>
    <font>
      <b/>
      <sz val="11"/>
      <color theme="1"/>
      <name val="Calibri"/>
      <family val="2"/>
      <charset val="204"/>
      <scheme val="minor"/>
    </font>
    <font>
      <sz val="12"/>
      <color theme="1"/>
      <name val="Calibri"/>
      <family val="2"/>
      <scheme val="minor"/>
    </font>
    <font>
      <b/>
      <sz val="14"/>
      <name val="Arial Narrow"/>
      <family val="2"/>
      <charset val="204"/>
    </font>
    <font>
      <sz val="11"/>
      <color rgb="FF00B050"/>
      <name val="Calibri"/>
      <family val="2"/>
      <scheme val="minor"/>
    </font>
    <font>
      <sz val="16"/>
      <name val="Times New Roman"/>
      <family val="1"/>
      <charset val="204"/>
    </font>
    <font>
      <b/>
      <sz val="14"/>
      <color theme="1"/>
      <name val="Calibri"/>
      <family val="2"/>
      <charset val="204"/>
      <scheme val="minor"/>
    </font>
    <font>
      <sz val="12"/>
      <color theme="1"/>
      <name val="Calibri"/>
      <family val="2"/>
      <charset val="204"/>
      <scheme val="minor"/>
    </font>
    <font>
      <b/>
      <sz val="14"/>
      <name val="Calibri"/>
      <family val="2"/>
      <charset val="204"/>
      <scheme val="minor"/>
    </font>
    <font>
      <sz val="12"/>
      <color rgb="FFC00000"/>
      <name val="Times New Roman"/>
      <family val="1"/>
      <charset val="204"/>
    </font>
    <font>
      <sz val="11"/>
      <color rgb="FFC00000"/>
      <name val="Calibri"/>
      <family val="2"/>
      <scheme val="minor"/>
    </font>
    <font>
      <sz val="11"/>
      <color theme="1"/>
      <name val="Times New Roman"/>
      <family val="1"/>
      <charset val="204"/>
    </font>
    <font>
      <b/>
      <sz val="14"/>
      <color theme="1"/>
      <name val="Calibri"/>
      <family val="2"/>
      <scheme val="minor"/>
    </font>
    <font>
      <b/>
      <sz val="14"/>
      <color theme="1"/>
      <name val="Times New Roman"/>
      <family val="1"/>
      <charset val="204"/>
    </font>
    <font>
      <u/>
      <sz val="10"/>
      <color indexed="12"/>
      <name val="Arial"/>
      <family val="2"/>
      <charset val="204"/>
    </font>
    <font>
      <u/>
      <sz val="14"/>
      <name val="Times New Roman"/>
      <family val="1"/>
      <charset val="204"/>
    </font>
    <font>
      <sz val="14"/>
      <color theme="1"/>
      <name val="Calibri"/>
      <family val="2"/>
      <charset val="204"/>
      <scheme val="minor"/>
    </font>
    <font>
      <sz val="11"/>
      <name val="Times New Roman"/>
      <family val="1"/>
      <charset val="204"/>
    </font>
    <font>
      <b/>
      <sz val="11"/>
      <color theme="1"/>
      <name val="Calibri"/>
      <family val="2"/>
      <scheme val="minor"/>
    </font>
    <font>
      <b/>
      <sz val="14"/>
      <color rgb="FFFF0000"/>
      <name val="Calibri"/>
      <family val="2"/>
      <scheme val="minor"/>
    </font>
    <font>
      <sz val="14"/>
      <color theme="1"/>
      <name val="Calibri"/>
      <family val="2"/>
      <scheme val="minor"/>
    </font>
    <font>
      <sz val="16"/>
      <color theme="1"/>
      <name val="Calibri"/>
      <family val="2"/>
      <scheme val="minor"/>
    </font>
    <font>
      <b/>
      <sz val="16"/>
      <color rgb="FFFF0000"/>
      <name val="Times New Roman"/>
      <family val="1"/>
      <charset val="204"/>
    </font>
    <font>
      <sz val="16"/>
      <color theme="1"/>
      <name val="Times New Roman"/>
      <family val="1"/>
      <charset val="204"/>
    </font>
    <font>
      <sz val="16"/>
      <color indexed="8"/>
      <name val="Times New Roman"/>
      <family val="1"/>
      <charset val="204"/>
    </font>
    <font>
      <b/>
      <sz val="16"/>
      <color rgb="FFFF0000"/>
      <name val="Calibri"/>
      <family val="2"/>
      <scheme val="minor"/>
    </font>
    <font>
      <b/>
      <sz val="16"/>
      <color theme="1"/>
      <name val="Calibri"/>
      <family val="2"/>
      <scheme val="minor"/>
    </font>
    <font>
      <b/>
      <sz val="16"/>
      <color theme="1"/>
      <name val="Times New Roman"/>
      <family val="1"/>
      <charset val="204"/>
    </font>
    <font>
      <sz val="12"/>
      <name val="Calibri"/>
      <family val="2"/>
      <scheme val="minor"/>
    </font>
    <font>
      <sz val="12"/>
      <color rgb="FFFF0000"/>
      <name val="Calibri"/>
      <family val="2"/>
      <scheme val="minor"/>
    </font>
    <font>
      <b/>
      <sz val="12"/>
      <color rgb="FFFF0000"/>
      <name val="Times New Roman"/>
      <family val="1"/>
      <charset val="204"/>
    </font>
    <font>
      <sz val="12"/>
      <color rgb="FFFF0000"/>
      <name val="Times New Roman"/>
      <family val="1"/>
      <charset val="204"/>
    </font>
    <font>
      <b/>
      <sz val="12"/>
      <color theme="1"/>
      <name val="Times New Roman"/>
      <family val="1"/>
      <charset val="204"/>
    </font>
    <font>
      <sz val="14"/>
      <color indexed="8"/>
      <name val="Times New Roman"/>
      <family val="1"/>
      <charset val="204"/>
    </font>
    <font>
      <b/>
      <sz val="12"/>
      <color theme="1"/>
      <name val="Calibri"/>
      <family val="2"/>
      <scheme val="minor"/>
    </font>
    <font>
      <sz val="12"/>
      <color rgb="FFFF0000"/>
      <name val="Calibri"/>
      <family val="2"/>
      <charset val="204"/>
      <scheme val="minor"/>
    </font>
    <font>
      <sz val="11"/>
      <color rgb="FFFF0000"/>
      <name val="Calibri"/>
      <family val="2"/>
      <scheme val="minor"/>
    </font>
    <font>
      <sz val="12"/>
      <name val="Calibri"/>
      <family val="2"/>
      <charset val="204"/>
      <scheme val="minor"/>
    </font>
    <font>
      <b/>
      <sz val="14"/>
      <name val="Calibri"/>
      <family val="2"/>
      <scheme val="minor"/>
    </font>
    <font>
      <b/>
      <sz val="12"/>
      <name val="Calibri"/>
      <family val="2"/>
      <charset val="204"/>
      <scheme val="minor"/>
    </font>
    <font>
      <b/>
      <sz val="11"/>
      <name val="Calibri"/>
      <family val="2"/>
      <scheme val="minor"/>
    </font>
    <font>
      <sz val="14"/>
      <name val="Calibri"/>
      <family val="2"/>
      <charset val="204"/>
      <scheme val="minor"/>
    </font>
    <font>
      <b/>
      <sz val="14"/>
      <color theme="1"/>
      <name val="Arial Narrow"/>
      <family val="2"/>
      <charset val="204"/>
    </font>
    <font>
      <b/>
      <sz val="16"/>
      <name val="Times New Roman"/>
      <family val="1"/>
      <charset val="204"/>
    </font>
    <font>
      <sz val="16"/>
      <name val="Calibri"/>
      <family val="2"/>
      <scheme val="minor"/>
    </font>
    <font>
      <b/>
      <sz val="12"/>
      <color rgb="FFFF0000"/>
      <name val="Calibri"/>
      <family val="2"/>
      <charset val="204"/>
      <scheme val="minor"/>
    </font>
    <font>
      <sz val="16"/>
      <color rgb="FFFF0000"/>
      <name val="Calibri"/>
      <family val="2"/>
      <scheme val="minor"/>
    </font>
    <font>
      <b/>
      <sz val="16"/>
      <name val="Calibri"/>
      <family val="2"/>
      <scheme val="minor"/>
    </font>
    <font>
      <b/>
      <sz val="12"/>
      <name val="Calibri"/>
      <family val="2"/>
      <scheme val="minor"/>
    </font>
    <font>
      <b/>
      <sz val="14"/>
      <color rgb="FFFF0000"/>
      <name val="Times New Roman"/>
      <family val="1"/>
      <charset val="204"/>
    </font>
    <font>
      <sz val="14"/>
      <color rgb="FFFF0000"/>
      <name val="Calibri"/>
      <family val="2"/>
      <scheme val="minor"/>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top style="thin">
        <color indexed="64"/>
      </top>
      <bottom style="thin">
        <color indexed="64"/>
      </bottom>
      <diagonal/>
    </border>
    <border>
      <left/>
      <right style="hair">
        <color auto="1"/>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diagonalUp="1" diagonalDown="1">
      <left style="thin">
        <color indexed="8"/>
      </left>
      <right style="thin">
        <color indexed="8"/>
      </right>
      <top style="thin">
        <color indexed="8"/>
      </top>
      <bottom style="thin">
        <color indexed="8"/>
      </bottom>
      <diagonal/>
    </border>
    <border diagonalUp="1" diagonalDown="1">
      <left style="thin">
        <color indexed="8"/>
      </left>
      <right style="dotted">
        <color indexed="8"/>
      </right>
      <top style="thin">
        <color indexed="8"/>
      </top>
      <bottom style="thin">
        <color indexed="8"/>
      </bottom>
      <diagonal/>
    </border>
    <border diagonalUp="1" diagonalDown="1">
      <left style="dotted">
        <color indexed="8"/>
      </left>
      <right style="dotted">
        <color indexed="8"/>
      </right>
      <top style="thin">
        <color indexed="8"/>
      </top>
      <bottom style="thin">
        <color indexed="8"/>
      </bottom>
      <diagonal/>
    </border>
    <border>
      <left/>
      <right style="thin">
        <color indexed="64"/>
      </right>
      <top/>
      <bottom/>
      <diagonal/>
    </border>
    <border diagonalUp="1" diagonalDown="1">
      <left style="thin">
        <color indexed="8"/>
      </left>
      <right style="thin">
        <color indexed="8"/>
      </right>
      <top style="thin">
        <color indexed="8"/>
      </top>
      <bottom/>
      <diagonal/>
    </border>
    <border diagonalUp="1" diagonalDown="1">
      <left style="thin">
        <color indexed="8"/>
      </left>
      <right style="thin">
        <color indexed="8"/>
      </right>
      <top/>
      <bottom style="thin">
        <color indexed="8"/>
      </bottom>
      <diagonal/>
    </border>
    <border diagonalUp="1" diagonalDown="1">
      <left style="thin">
        <color indexed="8"/>
      </left>
      <right/>
      <top style="thin">
        <color indexed="8"/>
      </top>
      <bottom style="thin">
        <color indexed="8"/>
      </bottom>
      <diagonal/>
    </border>
    <border diagonalUp="1" diagonalDown="1">
      <left/>
      <right/>
      <top style="thin">
        <color indexed="8"/>
      </top>
      <bottom style="thin">
        <color indexed="8"/>
      </bottom>
      <diagonal/>
    </border>
    <border diagonalUp="1" diagonalDown="1">
      <left/>
      <right style="thin">
        <color indexed="8"/>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diagonalUp="1" diagonalDown="1">
      <left/>
      <right/>
      <top style="thin">
        <color indexed="8"/>
      </top>
      <bottom/>
      <diagonal/>
    </border>
    <border diagonalUp="1" diagonalDown="1">
      <left style="dotted">
        <color indexed="8"/>
      </left>
      <right style="dotted">
        <color indexed="8"/>
      </right>
      <top/>
      <bottom style="thin">
        <color indexed="8"/>
      </bottom>
      <diagonal/>
    </border>
    <border diagonalUp="1" diagonalDown="1">
      <left style="thin">
        <color indexed="64"/>
      </left>
      <right style="thin">
        <color indexed="64"/>
      </right>
      <top style="thin">
        <color indexed="64"/>
      </top>
      <bottom style="thin">
        <color indexed="64"/>
      </bottom>
      <diagonal/>
    </border>
    <border diagonalUp="1" diagonalDown="1">
      <left/>
      <right style="thin">
        <color indexed="8"/>
      </right>
      <top style="thin">
        <color indexed="8"/>
      </top>
      <bottom/>
      <diagonal/>
    </border>
    <border diagonalUp="1" diagonalDown="1">
      <left/>
      <right style="thin">
        <color indexed="8"/>
      </right>
      <top/>
      <bottom style="thin">
        <color indexed="8"/>
      </bottom>
      <diagonal/>
    </border>
    <border diagonalUp="1" diagonalDown="1">
      <left style="thin">
        <color indexed="8"/>
      </left>
      <right/>
      <top style="thin">
        <color indexed="8"/>
      </top>
      <bottom/>
      <diagonal/>
    </border>
    <border>
      <left style="thin">
        <color auto="1"/>
      </left>
      <right style="thin">
        <color indexed="64"/>
      </right>
      <top/>
      <bottom/>
      <diagonal/>
    </border>
    <border diagonalUp="1" diagonalDown="1">
      <left style="thin">
        <color indexed="64"/>
      </left>
      <right/>
      <top style="thin">
        <color indexed="64"/>
      </top>
      <bottom style="thin">
        <color indexed="64"/>
      </bottom>
      <diagonal/>
    </border>
    <border diagonalUp="1" diagonalDown="1">
      <left style="thin">
        <color indexed="8"/>
      </left>
      <right/>
      <top/>
      <bottom style="thin">
        <color indexed="8"/>
      </bottom>
      <diagonal/>
    </border>
    <border diagonalUp="1" diagonalDown="1">
      <left/>
      <right style="thin">
        <color indexed="64"/>
      </right>
      <top style="thin">
        <color indexed="64"/>
      </top>
      <bottom style="thin">
        <color indexed="64"/>
      </bottom>
      <diagonal/>
    </border>
    <border>
      <left style="thin">
        <color auto="1"/>
      </left>
      <right style="thin">
        <color indexed="8"/>
      </right>
      <top style="thin">
        <color indexed="64"/>
      </top>
      <bottom/>
      <diagonal/>
    </border>
    <border>
      <left style="thin">
        <color auto="1"/>
      </left>
      <right style="thin">
        <color indexed="8"/>
      </right>
      <top/>
      <bottom/>
      <diagonal/>
    </border>
    <border>
      <left style="thin">
        <color auto="1"/>
      </left>
      <right style="thin">
        <color indexed="8"/>
      </right>
      <top/>
      <bottom style="thin">
        <color indexed="64"/>
      </bottom>
      <diagonal/>
    </border>
    <border>
      <left style="thin">
        <color indexed="8"/>
      </left>
      <right style="thin">
        <color auto="1"/>
      </right>
      <top style="thin">
        <color indexed="64"/>
      </top>
      <bottom/>
      <diagonal/>
    </border>
    <border>
      <left style="thin">
        <color indexed="8"/>
      </left>
      <right style="thin">
        <color auto="1"/>
      </right>
      <top/>
      <bottom/>
      <diagonal/>
    </border>
    <border>
      <left style="thin">
        <color indexed="8"/>
      </left>
      <right style="thin">
        <color auto="1"/>
      </right>
      <top/>
      <bottom style="thin">
        <color indexed="8"/>
      </bottom>
      <diagonal/>
    </border>
    <border>
      <left style="thin">
        <color auto="1"/>
      </left>
      <right style="thin">
        <color indexed="64"/>
      </right>
      <top style="thin">
        <color indexed="64"/>
      </top>
      <bottom/>
      <diagonal/>
    </border>
    <border>
      <left style="thin">
        <color indexed="64"/>
      </left>
      <right style="thin">
        <color indexed="64"/>
      </right>
      <top/>
      <bottom style="thin">
        <color indexed="8"/>
      </bottom>
      <diagonal/>
    </border>
    <border>
      <left style="thin">
        <color auto="1"/>
      </left>
      <right style="thin">
        <color indexed="8"/>
      </right>
      <top style="thin">
        <color indexed="64"/>
      </top>
      <bottom/>
      <diagonal/>
    </border>
    <border>
      <left style="thin">
        <color indexed="8"/>
      </left>
      <right style="thin">
        <color auto="1"/>
      </right>
      <top style="thin">
        <color indexed="8"/>
      </top>
      <bottom/>
      <diagonal/>
    </border>
    <border>
      <left style="thin">
        <color auto="1"/>
      </left>
      <right/>
      <top style="thin">
        <color indexed="64"/>
      </top>
      <bottom/>
      <diagonal/>
    </border>
    <border>
      <left style="thin">
        <color auto="1"/>
      </left>
      <right/>
      <top/>
      <bottom/>
      <diagonal/>
    </border>
    <border>
      <left style="thin">
        <color indexed="64"/>
      </left>
      <right style="thin">
        <color indexed="64"/>
      </right>
      <top style="thin">
        <color indexed="8"/>
      </top>
      <bottom/>
      <diagonal/>
    </border>
    <border diagonalUp="1" diagonalDown="1">
      <left style="thin">
        <color indexed="64"/>
      </left>
      <right style="thin">
        <color indexed="64"/>
      </right>
      <top style="thin">
        <color indexed="64"/>
      </top>
      <bottom/>
      <diagonal/>
    </border>
    <border>
      <left/>
      <right style="thin">
        <color indexed="64"/>
      </right>
      <top style="thin">
        <color indexed="8"/>
      </top>
      <bottom/>
      <diagonal/>
    </border>
    <border>
      <left/>
      <right style="thin">
        <color indexed="64"/>
      </right>
      <top/>
      <bottom style="thin">
        <color indexed="8"/>
      </bottom>
      <diagonal/>
    </border>
    <border>
      <left style="thin">
        <color indexed="64"/>
      </left>
      <right style="thin">
        <color indexed="64"/>
      </right>
      <top/>
      <bottom/>
      <diagonal/>
    </border>
    <border>
      <left style="thin">
        <color indexed="8"/>
      </left>
      <right/>
      <top/>
      <bottom style="thin">
        <color indexed="8"/>
      </bottom>
      <diagonal/>
    </border>
    <border>
      <left style="thin">
        <color indexed="64"/>
      </left>
      <right/>
      <top style="thin">
        <color indexed="8"/>
      </top>
      <bottom/>
      <diagonal/>
    </border>
    <border>
      <left style="thin">
        <color indexed="64"/>
      </left>
      <right/>
      <top/>
      <bottom/>
      <diagonal/>
    </border>
    <border>
      <left style="thin">
        <color indexed="64"/>
      </left>
      <right/>
      <top/>
      <bottom style="thin">
        <color indexed="8"/>
      </bottom>
      <diagonal/>
    </border>
    <border diagonalUp="1" diagonalDown="1">
      <left style="thin">
        <color indexed="64"/>
      </left>
      <right style="thin">
        <color indexed="64"/>
      </right>
      <top/>
      <bottom style="thin">
        <color indexed="64"/>
      </bottom>
      <diagonal/>
    </border>
    <border>
      <left style="thin">
        <color indexed="64"/>
      </left>
      <right style="thin">
        <color indexed="8"/>
      </right>
      <top style="thin">
        <color indexed="64"/>
      </top>
      <bottom/>
      <diagonal/>
    </border>
    <border>
      <left style="thin">
        <color auto="1"/>
      </left>
      <right style="thin">
        <color indexed="8"/>
      </right>
      <top/>
      <bottom/>
      <diagonal/>
    </border>
    <border>
      <left style="thin">
        <color indexed="8"/>
      </left>
      <right style="thin">
        <color auto="1"/>
      </right>
      <top/>
      <bottom/>
      <diagonal/>
    </border>
    <border>
      <left style="thin">
        <color auto="1"/>
      </left>
      <right style="thin">
        <color indexed="64"/>
      </right>
      <top/>
      <bottom/>
      <diagonal/>
    </border>
    <border>
      <left style="thin">
        <color indexed="64"/>
      </left>
      <right/>
      <top/>
      <bottom/>
      <diagonal/>
    </border>
    <border>
      <left style="thin">
        <color auto="1"/>
      </left>
      <right style="thin">
        <color indexed="8"/>
      </right>
      <top/>
      <bottom/>
      <diagonal/>
    </border>
    <border>
      <left style="thin">
        <color indexed="8"/>
      </left>
      <right style="thin">
        <color auto="1"/>
      </right>
      <top/>
      <bottom/>
      <diagonal/>
    </border>
    <border>
      <left style="thin">
        <color auto="1"/>
      </left>
      <right style="thin">
        <color indexed="64"/>
      </right>
      <top/>
      <bottom/>
      <diagonal/>
    </border>
    <border>
      <left style="thin">
        <color indexed="64"/>
      </left>
      <right/>
      <top style="thin">
        <color indexed="64"/>
      </top>
      <bottom/>
      <diagonal/>
    </border>
    <border diagonalUp="1" diagonalDown="1">
      <left/>
      <right style="thin">
        <color indexed="8"/>
      </right>
      <top/>
      <bottom/>
      <diagonal/>
    </border>
    <border diagonalUp="1" diagonalDown="1">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s>
  <cellStyleXfs count="4">
    <xf numFmtId="0" fontId="0" fillId="0" borderId="0"/>
    <xf numFmtId="0" fontId="5" fillId="0" borderId="0"/>
    <xf numFmtId="0" fontId="9" fillId="0" borderId="0"/>
    <xf numFmtId="0" fontId="70" fillId="0" borderId="0" applyNumberFormat="0" applyFill="0" applyBorder="0" applyAlignment="0" applyProtection="0">
      <alignment vertical="top"/>
      <protection locked="0"/>
    </xf>
  </cellStyleXfs>
  <cellXfs count="1494">
    <xf numFmtId="0" fontId="0" fillId="0" borderId="0" xfId="0"/>
    <xf numFmtId="0" fontId="1" fillId="0" borderId="0" xfId="0" applyFont="1"/>
    <xf numFmtId="0" fontId="1" fillId="0" borderId="0" xfId="0" applyFont="1" applyAlignment="1">
      <alignment horizontal="right" vertical="center"/>
    </xf>
    <xf numFmtId="0" fontId="2" fillId="0" borderId="0" xfId="0" applyFont="1" applyAlignment="1">
      <alignment vertical="center"/>
    </xf>
    <xf numFmtId="0" fontId="4" fillId="0" borderId="0" xfId="0" applyFont="1"/>
    <xf numFmtId="0" fontId="1" fillId="0" borderId="2" xfId="0" applyFont="1" applyBorder="1" applyAlignment="1">
      <alignment vertical="top" wrapText="1"/>
    </xf>
    <xf numFmtId="0" fontId="3" fillId="0" borderId="0" xfId="0" applyFont="1"/>
    <xf numFmtId="49" fontId="1" fillId="0" borderId="0" xfId="0" applyNumberFormat="1" applyFont="1" applyAlignment="1">
      <alignment horizontal="center" vertical="center"/>
    </xf>
    <xf numFmtId="4" fontId="1" fillId="0" borderId="0" xfId="0" applyNumberFormat="1" applyFont="1" applyFill="1" applyAlignment="1">
      <alignment horizontal="right"/>
    </xf>
    <xf numFmtId="49" fontId="1" fillId="0" borderId="1" xfId="0" applyNumberFormat="1" applyFont="1" applyBorder="1" applyAlignment="1">
      <alignment horizontal="center" vertical="center" wrapText="1"/>
    </xf>
    <xf numFmtId="0" fontId="6" fillId="0" borderId="0" xfId="0" applyFont="1"/>
    <xf numFmtId="49" fontId="1" fillId="0" borderId="7" xfId="0" applyNumberFormat="1" applyFont="1" applyBorder="1" applyAlignment="1">
      <alignment horizontal="center" wrapText="1"/>
    </xf>
    <xf numFmtId="49" fontId="1" fillId="0" borderId="6" xfId="0" applyNumberFormat="1" applyFont="1" applyBorder="1" applyAlignment="1">
      <alignment horizontal="center" wrapText="1"/>
    </xf>
    <xf numFmtId="164" fontId="1" fillId="0" borderId="7" xfId="0" applyNumberFormat="1" applyFont="1" applyBorder="1" applyAlignment="1">
      <alignment horizontal="left" wrapText="1"/>
    </xf>
    <xf numFmtId="4" fontId="1" fillId="0" borderId="7" xfId="0" applyNumberFormat="1" applyFont="1" applyBorder="1" applyAlignment="1">
      <alignment horizontal="right" wrapText="1"/>
    </xf>
    <xf numFmtId="4" fontId="1" fillId="0" borderId="8" xfId="0" applyNumberFormat="1" applyFont="1" applyBorder="1" applyAlignment="1">
      <alignment horizontal="right" wrapText="1"/>
    </xf>
    <xf numFmtId="49" fontId="1" fillId="0" borderId="7" xfId="0" applyNumberFormat="1" applyFont="1" applyBorder="1" applyAlignment="1">
      <alignment horizontal="left" wrapText="1"/>
    </xf>
    <xf numFmtId="4" fontId="2" fillId="0" borderId="9" xfId="0" applyNumberFormat="1" applyFont="1" applyBorder="1" applyAlignment="1">
      <alignment horizontal="right" wrapText="1"/>
    </xf>
    <xf numFmtId="4" fontId="2" fillId="0" borderId="10" xfId="0" applyNumberFormat="1" applyFont="1" applyBorder="1" applyAlignment="1">
      <alignment horizontal="right" wrapText="1"/>
    </xf>
    <xf numFmtId="0" fontId="6" fillId="0" borderId="0" xfId="0" applyFont="1" applyAlignment="1">
      <alignment horizontal="right"/>
    </xf>
    <xf numFmtId="0" fontId="7" fillId="0" borderId="0" xfId="0" applyFont="1"/>
    <xf numFmtId="0" fontId="8" fillId="0" borderId="0" xfId="0" applyFont="1" applyAlignment="1"/>
    <xf numFmtId="0" fontId="7" fillId="0" borderId="0" xfId="0" applyFont="1" applyAlignment="1">
      <alignment wrapText="1"/>
    </xf>
    <xf numFmtId="0" fontId="9" fillId="0" borderId="0" xfId="0" applyFont="1" applyAlignment="1">
      <alignment horizontal="right"/>
    </xf>
    <xf numFmtId="0" fontId="7" fillId="0" borderId="4" xfId="0" applyFont="1" applyBorder="1" applyAlignment="1">
      <alignment wrapText="1"/>
    </xf>
    <xf numFmtId="0" fontId="7" fillId="0" borderId="5" xfId="0" applyFont="1" applyBorder="1" applyAlignment="1">
      <alignment wrapText="1"/>
    </xf>
    <xf numFmtId="0" fontId="7" fillId="0" borderId="8" xfId="0" applyFont="1" applyBorder="1" applyAlignment="1">
      <alignment horizontal="center"/>
    </xf>
    <xf numFmtId="0" fontId="10" fillId="0" borderId="8" xfId="0" applyFont="1" applyBorder="1" applyAlignment="1">
      <alignment wrapText="1"/>
    </xf>
    <xf numFmtId="3" fontId="10" fillId="0" borderId="8" xfId="0" applyNumberFormat="1" applyFont="1" applyBorder="1"/>
    <xf numFmtId="0" fontId="7" fillId="0" borderId="8" xfId="0" applyFont="1" applyBorder="1" applyAlignment="1">
      <alignment wrapText="1"/>
    </xf>
    <xf numFmtId="3" fontId="7" fillId="0" borderId="8" xfId="0" applyNumberFormat="1" applyFont="1" applyBorder="1"/>
    <xf numFmtId="41" fontId="7" fillId="0" borderId="8" xfId="0" applyNumberFormat="1" applyFont="1" applyBorder="1"/>
    <xf numFmtId="41" fontId="7" fillId="0" borderId="8" xfId="0" applyNumberFormat="1" applyFont="1" applyBorder="1" applyAlignment="1">
      <alignment horizontal="right"/>
    </xf>
    <xf numFmtId="0" fontId="0" fillId="0" borderId="0" xfId="0" applyFont="1"/>
    <xf numFmtId="41" fontId="10" fillId="0" borderId="8" xfId="0" applyNumberFormat="1" applyFont="1" applyBorder="1"/>
    <xf numFmtId="3" fontId="10" fillId="0" borderId="8" xfId="0" applyNumberFormat="1" applyFont="1" applyBorder="1" applyAlignment="1">
      <alignment horizontal="center"/>
    </xf>
    <xf numFmtId="0" fontId="7" fillId="0" borderId="8" xfId="0" applyFont="1" applyBorder="1"/>
    <xf numFmtId="3" fontId="7" fillId="0" borderId="8" xfId="0" applyNumberFormat="1" applyFont="1" applyBorder="1" applyAlignment="1">
      <alignment horizontal="center"/>
    </xf>
    <xf numFmtId="0" fontId="12" fillId="0" borderId="0" xfId="0" applyFont="1"/>
    <xf numFmtId="43" fontId="7" fillId="0" borderId="8" xfId="0" applyNumberFormat="1" applyFont="1" applyBorder="1"/>
    <xf numFmtId="49" fontId="8" fillId="0" borderId="0" xfId="0" applyNumberFormat="1" applyFont="1" applyAlignment="1">
      <alignment horizontal="center"/>
    </xf>
    <xf numFmtId="49" fontId="0" fillId="0" borderId="0" xfId="0" applyNumberFormat="1" applyAlignment="1">
      <alignment horizontal="center"/>
    </xf>
    <xf numFmtId="0" fontId="0" fillId="0" borderId="0" xfId="0" applyAlignment="1">
      <alignment wrapText="1"/>
    </xf>
    <xf numFmtId="0" fontId="0" fillId="0" borderId="0" xfId="0" applyFill="1"/>
    <xf numFmtId="0" fontId="0" fillId="0" borderId="8" xfId="0" applyBorder="1" applyAlignment="1">
      <alignment horizontal="center" wrapText="1"/>
    </xf>
    <xf numFmtId="0" fontId="0" fillId="0" borderId="8" xfId="0" applyFill="1" applyBorder="1" applyAlignment="1">
      <alignment horizontal="center" wrapText="1"/>
    </xf>
    <xf numFmtId="49" fontId="0" fillId="0" borderId="8" xfId="0" applyNumberFormat="1" applyBorder="1" applyAlignment="1">
      <alignment horizontal="center"/>
    </xf>
    <xf numFmtId="49" fontId="0" fillId="0" borderId="8" xfId="0" applyNumberFormat="1" applyBorder="1" applyAlignment="1"/>
    <xf numFmtId="0" fontId="0" fillId="0" borderId="8" xfId="0" applyBorder="1" applyAlignment="1">
      <alignment horizontal="left" wrapText="1"/>
    </xf>
    <xf numFmtId="165" fontId="12" fillId="0" borderId="8" xfId="0" applyNumberFormat="1" applyFont="1" applyBorder="1"/>
    <xf numFmtId="165" fontId="0" fillId="0" borderId="8" xfId="0" applyNumberFormat="1" applyBorder="1" applyAlignment="1">
      <alignment horizontal="center" wrapText="1"/>
    </xf>
    <xf numFmtId="165" fontId="0" fillId="0" borderId="8" xfId="0" applyNumberFormat="1" applyFill="1" applyBorder="1" applyAlignment="1">
      <alignment horizontal="center" wrapText="1"/>
    </xf>
    <xf numFmtId="165" fontId="12" fillId="0" borderId="8" xfId="0" applyNumberFormat="1" applyFont="1" applyFill="1" applyBorder="1"/>
    <xf numFmtId="49" fontId="9" fillId="0" borderId="8" xfId="0" applyNumberFormat="1" applyFont="1" applyBorder="1" applyAlignment="1"/>
    <xf numFmtId="0" fontId="9" fillId="0" borderId="8" xfId="0" applyFont="1" applyBorder="1" applyAlignment="1">
      <alignment horizontal="left" wrapText="1"/>
    </xf>
    <xf numFmtId="165" fontId="0" fillId="0" borderId="8" xfId="0" applyNumberFormat="1" applyBorder="1" applyAlignment="1">
      <alignment wrapText="1"/>
    </xf>
    <xf numFmtId="49" fontId="12" fillId="0" borderId="8" xfId="0" applyNumberFormat="1" applyFont="1" applyBorder="1" applyAlignment="1">
      <alignment horizontal="center"/>
    </xf>
    <xf numFmtId="0" fontId="12" fillId="0" borderId="8" xfId="0" applyFont="1" applyBorder="1" applyAlignment="1">
      <alignment wrapText="1"/>
    </xf>
    <xf numFmtId="0" fontId="0" fillId="0" borderId="8" xfId="0" applyBorder="1" applyAlignment="1">
      <alignment wrapText="1"/>
    </xf>
    <xf numFmtId="165" fontId="0" fillId="0" borderId="8" xfId="0" applyNumberFormat="1" applyBorder="1"/>
    <xf numFmtId="165" fontId="0" fillId="0" borderId="8" xfId="0" applyNumberFormat="1" applyFill="1" applyBorder="1"/>
    <xf numFmtId="49" fontId="9" fillId="0" borderId="8" xfId="0" applyNumberFormat="1" applyFont="1" applyBorder="1" applyAlignment="1">
      <alignment horizontal="center"/>
    </xf>
    <xf numFmtId="0" fontId="14" fillId="0" borderId="8" xfId="0" applyFont="1" applyBorder="1" applyAlignment="1">
      <alignment wrapText="1"/>
    </xf>
    <xf numFmtId="4" fontId="12" fillId="0" borderId="8" xfId="0" applyNumberFormat="1" applyFont="1" applyBorder="1"/>
    <xf numFmtId="4" fontId="0" fillId="0" borderId="8" xfId="0" applyNumberFormat="1" applyBorder="1"/>
    <xf numFmtId="4" fontId="0" fillId="0" borderId="8" xfId="0" applyNumberFormat="1" applyFill="1" applyBorder="1"/>
    <xf numFmtId="0" fontId="9" fillId="0" borderId="8" xfId="0" applyFont="1" applyBorder="1" applyAlignment="1">
      <alignment wrapText="1"/>
    </xf>
    <xf numFmtId="49" fontId="9" fillId="0" borderId="8" xfId="0" applyNumberFormat="1" applyFont="1" applyFill="1" applyBorder="1"/>
    <xf numFmtId="0" fontId="9" fillId="0" borderId="8" xfId="0" applyFont="1" applyFill="1" applyBorder="1" applyAlignment="1">
      <alignment wrapText="1"/>
    </xf>
    <xf numFmtId="49" fontId="12" fillId="0" borderId="8" xfId="0" applyNumberFormat="1" applyFont="1" applyFill="1" applyBorder="1"/>
    <xf numFmtId="0" fontId="12" fillId="0" borderId="8" xfId="0" applyFont="1" applyFill="1" applyBorder="1" applyAlignment="1">
      <alignment wrapText="1"/>
    </xf>
    <xf numFmtId="0" fontId="15" fillId="0" borderId="8" xfId="0" applyFont="1" applyFill="1" applyBorder="1" applyAlignment="1">
      <alignment wrapText="1"/>
    </xf>
    <xf numFmtId="49" fontId="9" fillId="0" borderId="8" xfId="0" applyNumberFormat="1" applyFont="1" applyBorder="1"/>
    <xf numFmtId="49" fontId="12" fillId="0" borderId="8" xfId="0" applyNumberFormat="1" applyFont="1" applyBorder="1"/>
    <xf numFmtId="0" fontId="15" fillId="0" borderId="8" xfId="0" applyFont="1" applyBorder="1" applyAlignment="1">
      <alignment wrapText="1"/>
    </xf>
    <xf numFmtId="0" fontId="16" fillId="0" borderId="8" xfId="0" applyFont="1" applyBorder="1" applyAlignment="1">
      <alignment wrapText="1"/>
    </xf>
    <xf numFmtId="165" fontId="9" fillId="0" borderId="8" xfId="0" applyNumberFormat="1" applyFont="1" applyBorder="1"/>
    <xf numFmtId="165" fontId="9" fillId="0" borderId="18" xfId="0" applyNumberFormat="1" applyFont="1" applyFill="1" applyBorder="1"/>
    <xf numFmtId="165" fontId="9" fillId="0" borderId="8" xfId="0" applyNumberFormat="1" applyFont="1" applyFill="1" applyBorder="1"/>
    <xf numFmtId="0" fontId="17" fillId="0" borderId="0" xfId="0" applyFont="1"/>
    <xf numFmtId="0" fontId="17" fillId="0" borderId="0" xfId="0" applyFont="1" applyAlignment="1">
      <alignment wrapText="1"/>
    </xf>
    <xf numFmtId="0" fontId="17" fillId="0" borderId="0" xfId="0" applyFont="1" applyAlignment="1">
      <alignment horizontal="right"/>
    </xf>
    <xf numFmtId="0" fontId="17" fillId="0" borderId="8" xfId="0" applyFont="1" applyBorder="1" applyAlignment="1">
      <alignment horizontal="center" vertical="center" wrapText="1"/>
    </xf>
    <xf numFmtId="0" fontId="17" fillId="0" borderId="0" xfId="0" applyFont="1" applyAlignment="1">
      <alignment horizontal="center" vertical="center" wrapText="1"/>
    </xf>
    <xf numFmtId="0" fontId="17" fillId="0" borderId="8" xfId="0" applyFont="1" applyBorder="1" applyAlignment="1">
      <alignment horizontal="center" wrapText="1"/>
    </xf>
    <xf numFmtId="0" fontId="17" fillId="0" borderId="8" xfId="0" applyFont="1" applyBorder="1" applyAlignment="1">
      <alignment horizontal="justify" vertical="center" wrapText="1"/>
    </xf>
    <xf numFmtId="0" fontId="17" fillId="0" borderId="0" xfId="0" applyFont="1" applyAlignment="1">
      <alignment horizontal="justify" vertical="center" wrapText="1"/>
    </xf>
    <xf numFmtId="43" fontId="17" fillId="0" borderId="8" xfId="0" applyNumberFormat="1" applyFont="1" applyBorder="1" applyAlignment="1">
      <alignment horizontal="center" wrapText="1"/>
    </xf>
    <xf numFmtId="43" fontId="17" fillId="0" borderId="8" xfId="0" applyNumberFormat="1" applyFont="1" applyBorder="1" applyAlignment="1">
      <alignment horizontal="center"/>
    </xf>
    <xf numFmtId="0" fontId="1" fillId="0" borderId="8" xfId="0" applyFont="1" applyBorder="1" applyAlignment="1">
      <alignment horizontal="center" wrapText="1"/>
    </xf>
    <xf numFmtId="0" fontId="1" fillId="0" borderId="8" xfId="0" applyFont="1" applyBorder="1" applyAlignment="1">
      <alignment horizontal="center"/>
    </xf>
    <xf numFmtId="0" fontId="1" fillId="0" borderId="8" xfId="0" applyFont="1" applyBorder="1" applyAlignment="1">
      <alignment wrapText="1"/>
    </xf>
    <xf numFmtId="4" fontId="1" fillId="0" borderId="8" xfId="0" applyNumberFormat="1" applyFont="1" applyBorder="1" applyAlignment="1">
      <alignment horizontal="center"/>
    </xf>
    <xf numFmtId="49" fontId="1" fillId="0" borderId="8" xfId="0" applyNumberFormat="1" applyFont="1" applyBorder="1" applyAlignment="1">
      <alignment wrapText="1"/>
    </xf>
    <xf numFmtId="4" fontId="1" fillId="0" borderId="8" xfId="0" applyNumberFormat="1" applyFont="1" applyBorder="1" applyAlignment="1">
      <alignment horizontal="center" wrapText="1"/>
    </xf>
    <xf numFmtId="0" fontId="1" fillId="0" borderId="0" xfId="0" applyFont="1" applyAlignment="1">
      <alignment wrapText="1"/>
    </xf>
    <xf numFmtId="0" fontId="1" fillId="0" borderId="8" xfId="0" applyFont="1" applyBorder="1" applyAlignment="1">
      <alignment horizontal="justify" wrapText="1"/>
    </xf>
    <xf numFmtId="2" fontId="1" fillId="0" borderId="8" xfId="0" applyNumberFormat="1" applyFont="1" applyBorder="1" applyAlignment="1">
      <alignment horizontal="center" wrapText="1"/>
    </xf>
    <xf numFmtId="2" fontId="1" fillId="0" borderId="8" xfId="0" applyNumberFormat="1" applyFont="1" applyBorder="1" applyAlignment="1">
      <alignment horizontal="center"/>
    </xf>
    <xf numFmtId="0" fontId="1" fillId="0" borderId="8" xfId="0" applyFont="1" applyBorder="1"/>
    <xf numFmtId="0" fontId="1" fillId="0" borderId="8" xfId="0" applyFont="1" applyBorder="1" applyAlignment="1">
      <alignment horizontal="right"/>
    </xf>
    <xf numFmtId="3" fontId="7" fillId="0" borderId="8" xfId="0" applyNumberFormat="1" applyFont="1" applyBorder="1" applyAlignment="1">
      <alignment horizontal="right"/>
    </xf>
    <xf numFmtId="41" fontId="9" fillId="0" borderId="8" xfId="0" applyNumberFormat="1" applyFont="1" applyBorder="1"/>
    <xf numFmtId="3" fontId="9" fillId="0" borderId="8" xfId="0" applyNumberFormat="1" applyFont="1" applyBorder="1"/>
    <xf numFmtId="0" fontId="1" fillId="0" borderId="8" xfId="0" applyFont="1" applyBorder="1" applyAlignment="1">
      <alignment horizontal="center" wrapText="1"/>
    </xf>
    <xf numFmtId="0" fontId="1" fillId="0" borderId="0" xfId="0" applyFont="1" applyFill="1"/>
    <xf numFmtId="0" fontId="1" fillId="0" borderId="0" xfId="0" applyFont="1" applyFill="1" applyAlignment="1">
      <alignment wrapText="1"/>
    </xf>
    <xf numFmtId="0" fontId="1" fillId="0" borderId="0" xfId="0" applyFont="1" applyFill="1" applyAlignment="1">
      <alignment horizontal="center" wrapText="1"/>
    </xf>
    <xf numFmtId="0" fontId="23" fillId="0" borderId="0" xfId="0" applyFont="1" applyFill="1"/>
    <xf numFmtId="3" fontId="1" fillId="0" borderId="0" xfId="0" applyNumberFormat="1" applyFont="1" applyFill="1"/>
    <xf numFmtId="0" fontId="1" fillId="0" borderId="0" xfId="0" applyFont="1" applyFill="1" applyAlignment="1">
      <alignment horizontal="justify"/>
    </xf>
    <xf numFmtId="0" fontId="1" fillId="0" borderId="0" xfId="0" applyFont="1" applyFill="1" applyAlignment="1">
      <alignment horizontal="right"/>
    </xf>
    <xf numFmtId="0" fontId="1" fillId="0" borderId="8" xfId="0" applyFont="1" applyFill="1" applyBorder="1" applyAlignment="1">
      <alignment wrapText="1"/>
    </xf>
    <xf numFmtId="0" fontId="1" fillId="0" borderId="8" xfId="0" applyFont="1" applyFill="1" applyBorder="1"/>
    <xf numFmtId="4" fontId="1" fillId="0" borderId="8" xfId="0" applyNumberFormat="1" applyFont="1" applyFill="1" applyBorder="1"/>
    <xf numFmtId="0" fontId="2" fillId="0" borderId="8" xfId="0" applyFont="1" applyFill="1" applyBorder="1" applyAlignment="1">
      <alignment wrapText="1"/>
    </xf>
    <xf numFmtId="4" fontId="2" fillId="0" borderId="8" xfId="0" applyNumberFormat="1" applyFont="1" applyFill="1" applyBorder="1"/>
    <xf numFmtId="0" fontId="1" fillId="0" borderId="8" xfId="0" applyFont="1" applyFill="1" applyBorder="1" applyAlignment="1">
      <alignment horizontal="center"/>
    </xf>
    <xf numFmtId="4" fontId="1" fillId="0" borderId="0" xfId="0" applyNumberFormat="1" applyFont="1" applyFill="1"/>
    <xf numFmtId="0" fontId="9" fillId="0" borderId="0" xfId="0" applyFont="1"/>
    <xf numFmtId="0" fontId="1" fillId="0" borderId="0" xfId="0" applyFont="1" applyAlignment="1"/>
    <xf numFmtId="0" fontId="1" fillId="0" borderId="13" xfId="0" applyFont="1" applyBorder="1" applyAlignment="1"/>
    <xf numFmtId="0" fontId="3" fillId="0" borderId="8" xfId="0" applyFont="1" applyBorder="1" applyAlignment="1">
      <alignment horizontal="center"/>
    </xf>
    <xf numFmtId="0" fontId="1" fillId="0" borderId="19" xfId="0" applyFont="1" applyBorder="1" applyAlignment="1">
      <alignment horizontal="left"/>
    </xf>
    <xf numFmtId="0" fontId="1" fillId="0" borderId="19" xfId="0" applyFont="1" applyBorder="1" applyAlignment="1">
      <alignment horizontal="left" wrapText="1"/>
    </xf>
    <xf numFmtId="4" fontId="1" fillId="0" borderId="8" xfId="0" applyNumberFormat="1" applyFont="1" applyFill="1" applyBorder="1" applyAlignment="1">
      <alignment horizontal="right"/>
    </xf>
    <xf numFmtId="0" fontId="3" fillId="0" borderId="8" xfId="0" applyFont="1" applyBorder="1"/>
    <xf numFmtId="0" fontId="3" fillId="0" borderId="8" xfId="0" applyFont="1" applyBorder="1" applyAlignment="1">
      <alignment wrapText="1"/>
    </xf>
    <xf numFmtId="4" fontId="3" fillId="0" borderId="8" xfId="0" applyNumberFormat="1" applyFont="1" applyBorder="1"/>
    <xf numFmtId="4" fontId="24" fillId="0" borderId="8" xfId="0" applyNumberFormat="1" applyFont="1" applyBorder="1"/>
    <xf numFmtId="49" fontId="3" fillId="0" borderId="8" xfId="1" applyNumberFormat="1" applyFont="1" applyBorder="1" applyAlignment="1"/>
    <xf numFmtId="49" fontId="1" fillId="0" borderId="8" xfId="1" applyNumberFormat="1" applyFont="1" applyBorder="1" applyAlignment="1">
      <alignment horizontal="center"/>
    </xf>
    <xf numFmtId="0" fontId="1" fillId="0" borderId="8" xfId="1" applyFont="1" applyBorder="1" applyAlignment="1">
      <alignment wrapText="1"/>
    </xf>
    <xf numFmtId="0" fontId="25" fillId="0" borderId="0" xfId="0" applyFont="1" applyFill="1" applyBorder="1" applyAlignment="1">
      <alignment horizontal="right" wrapText="1"/>
    </xf>
    <xf numFmtId="4" fontId="25" fillId="0" borderId="0" xfId="0" applyNumberFormat="1" applyFont="1"/>
    <xf numFmtId="0" fontId="25" fillId="0" borderId="0" xfId="0" applyFont="1" applyAlignment="1">
      <alignment horizontal="right"/>
    </xf>
    <xf numFmtId="0" fontId="23" fillId="0" borderId="0" xfId="0" applyFont="1"/>
    <xf numFmtId="4" fontId="9" fillId="0" borderId="0" xfId="0" applyNumberFormat="1" applyFont="1"/>
    <xf numFmtId="0" fontId="1" fillId="0" borderId="0" xfId="0" applyFont="1" applyAlignment="1">
      <alignment horizontal="right" wrapText="1"/>
    </xf>
    <xf numFmtId="0" fontId="26" fillId="0" borderId="0" xfId="0" applyFont="1" applyFill="1"/>
    <xf numFmtId="0" fontId="24" fillId="0" borderId="8" xfId="0" applyFont="1" applyBorder="1" applyAlignment="1">
      <alignment horizontal="center"/>
    </xf>
    <xf numFmtId="49" fontId="2" fillId="0" borderId="8" xfId="0" applyNumberFormat="1" applyFont="1" applyFill="1" applyBorder="1"/>
    <xf numFmtId="49" fontId="1" fillId="0" borderId="8" xfId="0" applyNumberFormat="1" applyFont="1" applyFill="1" applyBorder="1"/>
    <xf numFmtId="2" fontId="3" fillId="0" borderId="8" xfId="0" applyNumberFormat="1" applyFont="1" applyBorder="1"/>
    <xf numFmtId="0" fontId="3" fillId="0" borderId="8" xfId="0" applyFont="1" applyFill="1" applyBorder="1" applyAlignment="1">
      <alignment wrapText="1"/>
    </xf>
    <xf numFmtId="4" fontId="2" fillId="0" borderId="8" xfId="0" applyNumberFormat="1" applyFont="1" applyFill="1" applyBorder="1" applyAlignment="1">
      <alignment horizontal="right"/>
    </xf>
    <xf numFmtId="0" fontId="0" fillId="0" borderId="8" xfId="0" applyBorder="1"/>
    <xf numFmtId="49" fontId="1" fillId="0" borderId="8" xfId="0" applyNumberFormat="1" applyFont="1" applyBorder="1"/>
    <xf numFmtId="49" fontId="2" fillId="0" borderId="8" xfId="0" applyNumberFormat="1" applyFont="1" applyBorder="1"/>
    <xf numFmtId="0" fontId="2" fillId="0" borderId="8" xfId="0" applyFont="1" applyBorder="1" applyAlignment="1">
      <alignment wrapText="1"/>
    </xf>
    <xf numFmtId="0" fontId="27" fillId="0" borderId="8" xfId="0" applyFont="1" applyBorder="1" applyAlignment="1">
      <alignment wrapText="1"/>
    </xf>
    <xf numFmtId="0" fontId="28" fillId="0" borderId="0" xfId="0" applyFont="1"/>
    <xf numFmtId="0" fontId="26" fillId="0" borderId="0" xfId="0" applyFont="1"/>
    <xf numFmtId="0" fontId="26" fillId="0" borderId="0" xfId="0" applyFont="1" applyAlignment="1">
      <alignment wrapText="1"/>
    </xf>
    <xf numFmtId="4" fontId="1" fillId="0" borderId="8" xfId="0" applyNumberFormat="1" applyFont="1" applyBorder="1"/>
    <xf numFmtId="0" fontId="3" fillId="0" borderId="8" xfId="0" applyFont="1" applyBorder="1" applyAlignment="1">
      <alignment horizontal="right"/>
    </xf>
    <xf numFmtId="0" fontId="29" fillId="0" borderId="0" xfId="0" applyFont="1"/>
    <xf numFmtId="0" fontId="29" fillId="0" borderId="0" xfId="0" applyFont="1" applyAlignment="1">
      <alignment horizontal="right"/>
    </xf>
    <xf numFmtId="0" fontId="3" fillId="0" borderId="0" xfId="0" applyFont="1" applyAlignment="1">
      <alignment horizontal="right"/>
    </xf>
    <xf numFmtId="0" fontId="3" fillId="0" borderId="8" xfId="0" applyFont="1" applyBorder="1" applyAlignment="1">
      <alignment horizontal="center" wrapText="1"/>
    </xf>
    <xf numFmtId="0" fontId="6" fillId="0" borderId="0" xfId="0" applyFont="1" applyAlignment="1">
      <alignment horizontal="right"/>
    </xf>
    <xf numFmtId="0" fontId="2" fillId="0" borderId="8" xfId="0" applyFont="1" applyBorder="1" applyAlignment="1">
      <alignment horizontal="center" vertical="center" wrapText="1"/>
    </xf>
    <xf numFmtId="0" fontId="1" fillId="0" borderId="8" xfId="0" applyFont="1" applyBorder="1" applyAlignment="1">
      <alignment vertical="center" wrapText="1"/>
    </xf>
    <xf numFmtId="0" fontId="1" fillId="0" borderId="8" xfId="0" applyFont="1" applyBorder="1" applyAlignment="1">
      <alignment horizontal="justify" vertical="center" wrapText="1"/>
    </xf>
    <xf numFmtId="0" fontId="2" fillId="0" borderId="8" xfId="0" applyFont="1" applyBorder="1" applyAlignment="1">
      <alignment horizontal="justify" vertical="center" wrapText="1"/>
    </xf>
    <xf numFmtId="0" fontId="32" fillId="0" borderId="0" xfId="0" applyFont="1" applyBorder="1" applyAlignment="1" applyProtection="1"/>
    <xf numFmtId="0" fontId="33" fillId="0" borderId="0" xfId="0" applyFont="1" applyBorder="1" applyAlignment="1" applyProtection="1"/>
    <xf numFmtId="0" fontId="32" fillId="0" borderId="0" xfId="0" applyFont="1" applyBorder="1" applyAlignment="1" applyProtection="1">
      <alignment horizontal="left" vertical="top"/>
    </xf>
    <xf numFmtId="0" fontId="32" fillId="0" borderId="0" xfId="0" applyFont="1" applyBorder="1" applyAlignment="1" applyProtection="1">
      <alignment vertical="top" wrapText="1"/>
    </xf>
    <xf numFmtId="49" fontId="34" fillId="0" borderId="8" xfId="0" applyNumberFormat="1" applyFont="1" applyBorder="1" applyAlignment="1" applyProtection="1">
      <alignment horizontal="center" vertical="center" wrapText="1"/>
    </xf>
    <xf numFmtId="49" fontId="35" fillId="0" borderId="21" xfId="0" applyNumberFormat="1" applyFont="1" applyBorder="1" applyAlignment="1" applyProtection="1">
      <alignment horizontal="center" wrapText="1"/>
    </xf>
    <xf numFmtId="4" fontId="35" fillId="0" borderId="21" xfId="0" applyNumberFormat="1" applyFont="1" applyBorder="1" applyAlignment="1" applyProtection="1">
      <alignment horizontal="right" wrapText="1"/>
    </xf>
    <xf numFmtId="49" fontId="36" fillId="0" borderId="22" xfId="0" applyNumberFormat="1" applyFont="1" applyBorder="1" applyAlignment="1" applyProtection="1">
      <alignment horizontal="center" wrapText="1"/>
    </xf>
    <xf numFmtId="49" fontId="37" fillId="0" borderId="23" xfId="0" applyNumberFormat="1" applyFont="1" applyBorder="1" applyAlignment="1" applyProtection="1">
      <alignment horizontal="center" wrapText="1"/>
    </xf>
    <xf numFmtId="49" fontId="37" fillId="0" borderId="23" xfId="0" applyNumberFormat="1" applyFont="1" applyBorder="1" applyAlignment="1" applyProtection="1">
      <alignment horizontal="left" wrapText="1"/>
    </xf>
    <xf numFmtId="0" fontId="31" fillId="0" borderId="0" xfId="0" applyFont="1" applyBorder="1" applyAlignment="1" applyProtection="1"/>
    <xf numFmtId="0" fontId="39" fillId="0" borderId="0" xfId="0" applyFont="1" applyBorder="1" applyAlignment="1" applyProtection="1">
      <alignment horizontal="center" vertical="center"/>
    </xf>
    <xf numFmtId="0" fontId="41" fillId="0" borderId="21" xfId="0" applyFont="1" applyBorder="1" applyAlignment="1" applyProtection="1">
      <alignment vertical="center"/>
    </xf>
    <xf numFmtId="0" fontId="41" fillId="0" borderId="8" xfId="0" applyFont="1" applyBorder="1" applyAlignment="1" applyProtection="1">
      <alignment vertical="center"/>
    </xf>
    <xf numFmtId="49" fontId="40" fillId="0" borderId="21" xfId="0" applyNumberFormat="1" applyFont="1" applyBorder="1" applyAlignment="1" applyProtection="1">
      <alignment horizontal="justify" vertical="center" wrapText="1"/>
    </xf>
    <xf numFmtId="4" fontId="40" fillId="0" borderId="21" xfId="0" applyNumberFormat="1" applyFont="1" applyBorder="1" applyAlignment="1" applyProtection="1">
      <alignment horizontal="right"/>
    </xf>
    <xf numFmtId="49" fontId="42" fillId="0" borderId="21" xfId="0" applyNumberFormat="1" applyFont="1" applyBorder="1" applyAlignment="1" applyProtection="1">
      <alignment horizontal="justify" vertical="center" wrapText="1"/>
    </xf>
    <xf numFmtId="49" fontId="42" fillId="0" borderId="21" xfId="0" applyNumberFormat="1" applyFont="1" applyBorder="1" applyAlignment="1" applyProtection="1">
      <alignment horizontal="center" vertical="center" wrapText="1"/>
    </xf>
    <xf numFmtId="4" fontId="42" fillId="0" borderId="21" xfId="0" applyNumberFormat="1" applyFont="1" applyBorder="1" applyAlignment="1" applyProtection="1">
      <alignment horizontal="right"/>
    </xf>
    <xf numFmtId="164" fontId="43" fillId="0" borderId="21" xfId="0" applyNumberFormat="1" applyFont="1" applyBorder="1" applyAlignment="1" applyProtection="1">
      <alignment horizontal="justify" vertical="center" wrapText="1"/>
    </xf>
    <xf numFmtId="49" fontId="43" fillId="0" borderId="21" xfId="0" applyNumberFormat="1" applyFont="1" applyBorder="1" applyAlignment="1" applyProtection="1">
      <alignment horizontal="center" vertical="center" wrapText="1"/>
    </xf>
    <xf numFmtId="49" fontId="43" fillId="0" borderId="21" xfId="0" applyNumberFormat="1" applyFont="1" applyBorder="1" applyAlignment="1" applyProtection="1">
      <alignment horizontal="justify" vertical="center" wrapText="1"/>
    </xf>
    <xf numFmtId="164" fontId="42" fillId="0" borderId="21" xfId="0" applyNumberFormat="1" applyFont="1" applyBorder="1" applyAlignment="1" applyProtection="1">
      <alignment horizontal="justify" vertical="center" wrapText="1"/>
    </xf>
    <xf numFmtId="164" fontId="1" fillId="0" borderId="21" xfId="0" applyNumberFormat="1" applyFont="1" applyBorder="1" applyAlignment="1" applyProtection="1">
      <alignment horizontal="left" wrapText="1"/>
    </xf>
    <xf numFmtId="49" fontId="1" fillId="0" borderId="21" xfId="0" applyNumberFormat="1" applyFont="1" applyBorder="1" applyAlignment="1" applyProtection="1">
      <alignment horizontal="left" wrapText="1"/>
    </xf>
    <xf numFmtId="164" fontId="38" fillId="0" borderId="0" xfId="0" applyNumberFormat="1" applyFont="1" applyBorder="1" applyAlignment="1" applyProtection="1">
      <alignment horizontal="center" vertical="center" wrapText="1"/>
    </xf>
    <xf numFmtId="49" fontId="40" fillId="0" borderId="21" xfId="0" applyNumberFormat="1" applyFont="1" applyBorder="1" applyAlignment="1" applyProtection="1">
      <alignment horizontal="center" vertical="center" wrapText="1"/>
    </xf>
    <xf numFmtId="4" fontId="0" fillId="0" borderId="0" xfId="0" applyNumberFormat="1"/>
    <xf numFmtId="4" fontId="30" fillId="0" borderId="8" xfId="0" applyNumberFormat="1" applyFont="1" applyBorder="1" applyAlignment="1">
      <alignment horizontal="center" wrapText="1"/>
    </xf>
    <xf numFmtId="49" fontId="40" fillId="0" borderId="21" xfId="0" applyNumberFormat="1" applyFont="1" applyBorder="1" applyAlignment="1" applyProtection="1">
      <alignment horizontal="center" vertical="center" wrapText="1"/>
    </xf>
    <xf numFmtId="0" fontId="1" fillId="0" borderId="0" xfId="0" applyFont="1" applyAlignment="1">
      <alignment horizontal="right"/>
    </xf>
    <xf numFmtId="0" fontId="1" fillId="0" borderId="8" xfId="0" applyFont="1" applyFill="1" applyBorder="1" applyAlignment="1">
      <alignment horizontal="center"/>
    </xf>
    <xf numFmtId="49" fontId="1" fillId="0" borderId="0" xfId="0" applyNumberFormat="1" applyFont="1"/>
    <xf numFmtId="0" fontId="3" fillId="0" borderId="8" xfId="0" applyFont="1" applyBorder="1" applyAlignment="1">
      <alignment vertical="center"/>
    </xf>
    <xf numFmtId="49" fontId="44" fillId="0" borderId="8" xfId="0" applyNumberFormat="1" applyFont="1" applyFill="1" applyBorder="1"/>
    <xf numFmtId="0" fontId="44" fillId="0" borderId="8" xfId="0" applyFont="1" applyFill="1" applyBorder="1" applyAlignment="1">
      <alignment wrapText="1"/>
    </xf>
    <xf numFmtId="49" fontId="45" fillId="0" borderId="8" xfId="0" applyNumberFormat="1" applyFont="1" applyFill="1" applyBorder="1"/>
    <xf numFmtId="0" fontId="3" fillId="0" borderId="2" xfId="0" applyFont="1" applyBorder="1" applyAlignment="1">
      <alignment vertical="center"/>
    </xf>
    <xf numFmtId="49" fontId="44" fillId="0" borderId="8" xfId="0" applyNumberFormat="1" applyFont="1" applyBorder="1"/>
    <xf numFmtId="4" fontId="44" fillId="0" borderId="8" xfId="0" applyNumberFormat="1" applyFont="1" applyFill="1" applyBorder="1"/>
    <xf numFmtId="0" fontId="3" fillId="0" borderId="19" xfId="0" applyFont="1" applyBorder="1" applyAlignment="1">
      <alignment vertical="center"/>
    </xf>
    <xf numFmtId="0" fontId="3" fillId="0" borderId="8" xfId="0" applyFont="1" applyBorder="1" applyAlignment="1">
      <alignment horizontal="center" vertical="center"/>
    </xf>
    <xf numFmtId="4" fontId="44" fillId="0" borderId="8" xfId="0" applyNumberFormat="1" applyFont="1" applyFill="1" applyBorder="1" applyAlignment="1">
      <alignment horizontal="right"/>
    </xf>
    <xf numFmtId="0" fontId="44" fillId="0" borderId="8" xfId="0" applyFont="1" applyBorder="1" applyAlignment="1">
      <alignment wrapText="1"/>
    </xf>
    <xf numFmtId="4" fontId="44" fillId="0" borderId="8" xfId="0" applyNumberFormat="1" applyFont="1" applyBorder="1"/>
    <xf numFmtId="0" fontId="44" fillId="0" borderId="5" xfId="0" applyFont="1" applyFill="1" applyBorder="1" applyAlignment="1">
      <alignment wrapText="1"/>
    </xf>
    <xf numFmtId="49" fontId="44" fillId="0" borderId="8" xfId="0" applyNumberFormat="1" applyFont="1" applyBorder="1" applyAlignment="1"/>
    <xf numFmtId="2" fontId="44" fillId="0" borderId="5" xfId="0" applyNumberFormat="1" applyFont="1" applyBorder="1" applyAlignment="1">
      <alignment wrapText="1"/>
    </xf>
    <xf numFmtId="49" fontId="44" fillId="0" borderId="8" xfId="0" applyNumberFormat="1" applyFont="1" applyBorder="1" applyAlignment="1">
      <alignment horizontal="left" vertical="center"/>
    </xf>
    <xf numFmtId="49" fontId="44" fillId="0" borderId="8" xfId="0" applyNumberFormat="1" applyFont="1" applyBorder="1" applyAlignment="1">
      <alignment horizontal="left" vertical="center" wrapText="1"/>
    </xf>
    <xf numFmtId="0" fontId="44" fillId="0" borderId="8" xfId="0" applyFont="1" applyBorder="1" applyAlignment="1">
      <alignment vertical="top" wrapText="1"/>
    </xf>
    <xf numFmtId="49" fontId="44" fillId="0" borderId="3" xfId="0" applyNumberFormat="1" applyFont="1" applyBorder="1" applyAlignment="1"/>
    <xf numFmtId="49" fontId="44" fillId="0" borderId="4" xfId="0" applyNumberFormat="1" applyFont="1" applyBorder="1" applyAlignment="1"/>
    <xf numFmtId="49" fontId="44" fillId="0" borderId="5" xfId="0" applyNumberFormat="1" applyFont="1" applyBorder="1" applyAlignment="1"/>
    <xf numFmtId="0" fontId="46" fillId="0" borderId="8" xfId="0" applyFont="1" applyBorder="1" applyAlignment="1">
      <alignment vertical="top" wrapText="1"/>
    </xf>
    <xf numFmtId="0" fontId="44" fillId="0" borderId="2" xfId="0" applyFont="1" applyBorder="1" applyAlignment="1">
      <alignment vertical="top" wrapText="1"/>
    </xf>
    <xf numFmtId="0" fontId="3" fillId="0" borderId="2" xfId="0" applyFont="1" applyBorder="1"/>
    <xf numFmtId="4" fontId="2" fillId="0" borderId="2" xfId="0" applyNumberFormat="1" applyFont="1" applyFill="1" applyBorder="1"/>
    <xf numFmtId="0" fontId="3" fillId="0" borderId="2" xfId="0" applyFont="1" applyBorder="1" applyAlignment="1">
      <alignment horizontal="center"/>
    </xf>
    <xf numFmtId="49" fontId="44" fillId="0" borderId="8" xfId="0" applyNumberFormat="1" applyFont="1" applyFill="1" applyBorder="1" applyAlignment="1">
      <alignment horizontal="right"/>
    </xf>
    <xf numFmtId="0" fontId="44" fillId="0" borderId="8" xfId="0" applyFont="1" applyFill="1" applyBorder="1"/>
    <xf numFmtId="0" fontId="3" fillId="0" borderId="8" xfId="0" applyFont="1" applyBorder="1" applyAlignment="1"/>
    <xf numFmtId="0" fontId="1" fillId="0" borderId="8" xfId="0" applyFont="1" applyBorder="1" applyAlignment="1">
      <alignment horizontal="center" vertical="center"/>
    </xf>
    <xf numFmtId="49" fontId="47" fillId="0" borderId="8" xfId="0" applyNumberFormat="1" applyFont="1" applyFill="1" applyBorder="1"/>
    <xf numFmtId="0" fontId="1" fillId="0" borderId="2" xfId="0" applyFont="1" applyBorder="1"/>
    <xf numFmtId="0" fontId="1" fillId="0" borderId="8" xfId="0" applyFont="1" applyBorder="1" applyAlignment="1">
      <alignment vertical="center"/>
    </xf>
    <xf numFmtId="0" fontId="47" fillId="0" borderId="8" xfId="0" applyFont="1" applyFill="1" applyBorder="1"/>
    <xf numFmtId="0" fontId="47" fillId="0" borderId="8" xfId="0" applyFont="1" applyFill="1" applyBorder="1" applyAlignment="1">
      <alignment wrapText="1"/>
    </xf>
    <xf numFmtId="0" fontId="1" fillId="0" borderId="19" xfId="0" applyFont="1" applyBorder="1" applyAlignment="1">
      <alignment horizontal="center" vertical="center"/>
    </xf>
    <xf numFmtId="4" fontId="1" fillId="0" borderId="19" xfId="0" applyNumberFormat="1" applyFont="1" applyFill="1" applyBorder="1"/>
    <xf numFmtId="49" fontId="25" fillId="0" borderId="8" xfId="0" applyNumberFormat="1" applyFont="1" applyFill="1" applyBorder="1"/>
    <xf numFmtId="0" fontId="1" fillId="0" borderId="18" xfId="0" applyFont="1" applyBorder="1" applyAlignment="1">
      <alignment horizontal="center" vertical="center"/>
    </xf>
    <xf numFmtId="49" fontId="47" fillId="0" borderId="14" xfId="0" applyNumberFormat="1" applyFont="1" applyFill="1" applyBorder="1"/>
    <xf numFmtId="49" fontId="47" fillId="0" borderId="20" xfId="0" applyNumberFormat="1" applyFont="1" applyFill="1" applyBorder="1"/>
    <xf numFmtId="0" fontId="47" fillId="0" borderId="24" xfId="0" applyFont="1" applyFill="1" applyBorder="1" applyAlignment="1">
      <alignment horizontal="left" wrapText="1"/>
    </xf>
    <xf numFmtId="4" fontId="1" fillId="0" borderId="2" xfId="0" applyNumberFormat="1" applyFont="1" applyFill="1" applyBorder="1"/>
    <xf numFmtId="4" fontId="1" fillId="0" borderId="2" xfId="0" applyNumberFormat="1" applyFont="1" applyBorder="1"/>
    <xf numFmtId="0" fontId="3" fillId="0" borderId="8" xfId="0" applyFont="1" applyFill="1" applyBorder="1" applyAlignment="1">
      <alignment horizontal="center" vertical="center"/>
    </xf>
    <xf numFmtId="49" fontId="48" fillId="0" borderId="8" xfId="0" applyNumberFormat="1" applyFont="1" applyFill="1" applyBorder="1"/>
    <xf numFmtId="0" fontId="48" fillId="0" borderId="8" xfId="0" applyFont="1" applyFill="1" applyBorder="1"/>
    <xf numFmtId="0" fontId="48" fillId="0" borderId="8" xfId="0" applyFont="1" applyFill="1" applyBorder="1" applyAlignment="1">
      <alignment wrapText="1"/>
    </xf>
    <xf numFmtId="4" fontId="48" fillId="0" borderId="8" xfId="0" applyNumberFormat="1" applyFont="1" applyFill="1" applyBorder="1"/>
    <xf numFmtId="4" fontId="3" fillId="0" borderId="8" xfId="0" applyNumberFormat="1" applyFont="1" applyFill="1" applyBorder="1"/>
    <xf numFmtId="0" fontId="3" fillId="0" borderId="0" xfId="0" applyFont="1" applyFill="1"/>
    <xf numFmtId="0" fontId="3" fillId="0" borderId="8" xfId="0" applyFont="1" applyFill="1" applyBorder="1"/>
    <xf numFmtId="0" fontId="44" fillId="0" borderId="8" xfId="0" applyFont="1" applyFill="1" applyBorder="1" applyAlignment="1">
      <alignment horizontal="left"/>
    </xf>
    <xf numFmtId="0" fontId="1" fillId="0" borderId="5" xfId="0" applyFont="1" applyBorder="1"/>
    <xf numFmtId="0" fontId="3" fillId="0" borderId="8" xfId="0" applyFont="1" applyBorder="1" applyAlignment="1">
      <alignment horizontal="center" vertical="center" wrapText="1"/>
    </xf>
    <xf numFmtId="0" fontId="49" fillId="0" borderId="8" xfId="0" applyFont="1" applyFill="1" applyBorder="1" applyAlignment="1">
      <alignment wrapText="1"/>
    </xf>
    <xf numFmtId="49" fontId="44" fillId="0" borderId="8" xfId="0" applyNumberFormat="1" applyFont="1" applyFill="1" applyBorder="1" applyAlignment="1">
      <alignment horizontal="left"/>
    </xf>
    <xf numFmtId="49" fontId="44" fillId="0" borderId="5" xfId="0" applyNumberFormat="1" applyFont="1" applyBorder="1" applyAlignment="1">
      <alignment horizontal="center"/>
    </xf>
    <xf numFmtId="49" fontId="44" fillId="0" borderId="8" xfId="0" applyNumberFormat="1" applyFont="1" applyBorder="1" applyAlignment="1">
      <alignment horizontal="center"/>
    </xf>
    <xf numFmtId="49" fontId="44" fillId="0" borderId="8" xfId="0" applyNumberFormat="1" applyFont="1" applyFill="1" applyBorder="1" applyAlignment="1">
      <alignment horizontal="center"/>
    </xf>
    <xf numFmtId="49" fontId="1" fillId="0" borderId="5" xfId="0" applyNumberFormat="1" applyFont="1" applyBorder="1" applyAlignment="1">
      <alignment horizontal="center"/>
    </xf>
    <xf numFmtId="49" fontId="1" fillId="0" borderId="8" xfId="0" applyNumberFormat="1" applyFont="1" applyBorder="1" applyAlignment="1">
      <alignment horizontal="center"/>
    </xf>
    <xf numFmtId="49" fontId="1" fillId="0" borderId="8" xfId="0" applyNumberFormat="1" applyFont="1" applyFill="1" applyBorder="1" applyAlignment="1">
      <alignment horizontal="center"/>
    </xf>
    <xf numFmtId="0" fontId="3" fillId="0" borderId="19" xfId="0" applyFont="1" applyBorder="1" applyAlignment="1">
      <alignment horizontal="center"/>
    </xf>
    <xf numFmtId="49" fontId="1" fillId="0" borderId="5" xfId="0" applyNumberFormat="1" applyFont="1" applyFill="1" applyBorder="1" applyAlignment="1">
      <alignment horizontal="center"/>
    </xf>
    <xf numFmtId="0" fontId="1" fillId="0" borderId="2" xfId="0" applyFont="1" applyBorder="1" applyAlignment="1">
      <alignment horizontal="center" vertical="center"/>
    </xf>
    <xf numFmtId="4" fontId="1" fillId="0" borderId="0" xfId="0" applyNumberFormat="1" applyFont="1"/>
    <xf numFmtId="0" fontId="44" fillId="0" borderId="2" xfId="0" applyFont="1" applyFill="1" applyBorder="1" applyAlignment="1">
      <alignment wrapText="1"/>
    </xf>
    <xf numFmtId="0" fontId="3" fillId="2" borderId="8" xfId="0" applyFont="1" applyFill="1" applyBorder="1" applyAlignment="1">
      <alignment horizontal="center"/>
    </xf>
    <xf numFmtId="49" fontId="44" fillId="2" borderId="8" xfId="0" applyNumberFormat="1" applyFont="1" applyFill="1" applyBorder="1"/>
    <xf numFmtId="0" fontId="44" fillId="2" borderId="8" xfId="0" applyFont="1" applyFill="1" applyBorder="1" applyAlignment="1">
      <alignment wrapText="1"/>
    </xf>
    <xf numFmtId="4" fontId="1" fillId="2" borderId="8" xfId="0" applyNumberFormat="1" applyFont="1" applyFill="1" applyBorder="1"/>
    <xf numFmtId="4" fontId="3" fillId="2" borderId="8" xfId="0" applyNumberFormat="1" applyFont="1" applyFill="1" applyBorder="1"/>
    <xf numFmtId="4" fontId="2" fillId="0" borderId="0" xfId="0" applyNumberFormat="1" applyFont="1" applyFill="1" applyAlignment="1">
      <alignment horizontal="right"/>
    </xf>
    <xf numFmtId="49" fontId="1" fillId="0" borderId="0" xfId="0" applyNumberFormat="1" applyFont="1" applyAlignment="1">
      <alignment horizontal="right"/>
    </xf>
    <xf numFmtId="4" fontId="2" fillId="0" borderId="0" xfId="0" applyNumberFormat="1" applyFont="1" applyFill="1"/>
    <xf numFmtId="49" fontId="50" fillId="0" borderId="21" xfId="0" applyNumberFormat="1" applyFont="1" applyBorder="1" applyAlignment="1" applyProtection="1">
      <alignment horizontal="justify" vertical="center" wrapText="1"/>
    </xf>
    <xf numFmtId="49" fontId="30" fillId="0" borderId="8" xfId="0" applyNumberFormat="1" applyFont="1" applyFill="1" applyBorder="1"/>
    <xf numFmtId="49" fontId="30" fillId="0" borderId="8" xfId="0" applyNumberFormat="1" applyFont="1" applyFill="1" applyBorder="1" applyAlignment="1">
      <alignment horizontal="right"/>
    </xf>
    <xf numFmtId="0" fontId="1" fillId="0" borderId="0" xfId="0" applyFont="1" applyAlignment="1">
      <alignment horizontal="center" vertical="center" wrapText="1"/>
    </xf>
    <xf numFmtId="0" fontId="1" fillId="0" borderId="8" xfId="0" applyFont="1" applyBorder="1" applyAlignment="1">
      <alignment horizontal="center"/>
    </xf>
    <xf numFmtId="0" fontId="2" fillId="0" borderId="8" xfId="0" applyFont="1" applyBorder="1" applyAlignment="1">
      <alignment vertical="center" wrapText="1"/>
    </xf>
    <xf numFmtId="49" fontId="2" fillId="0" borderId="8" xfId="0" applyNumberFormat="1" applyFont="1" applyBorder="1" applyAlignment="1">
      <alignment horizontal="center" vertical="center" wrapText="1"/>
    </xf>
    <xf numFmtId="0" fontId="1" fillId="0" borderId="8" xfId="0" applyFont="1" applyBorder="1" applyAlignment="1">
      <alignment vertical="top" wrapText="1"/>
    </xf>
    <xf numFmtId="49" fontId="2" fillId="0" borderId="8" xfId="0" applyNumberFormat="1" applyFont="1" applyBorder="1" applyAlignment="1">
      <alignment horizontal="center" vertical="center"/>
    </xf>
    <xf numFmtId="0" fontId="1" fillId="0" borderId="8" xfId="0" applyFont="1" applyBorder="1" applyAlignment="1">
      <alignment horizontal="left"/>
    </xf>
    <xf numFmtId="0" fontId="2" fillId="0" borderId="8" xfId="0" applyFont="1" applyBorder="1" applyAlignment="1">
      <alignment horizontal="left"/>
    </xf>
    <xf numFmtId="0" fontId="1" fillId="0" borderId="8" xfId="0" applyFont="1" applyBorder="1" applyAlignment="1">
      <alignment horizontal="left" vertical="center" wrapText="1"/>
    </xf>
    <xf numFmtId="0" fontId="6" fillId="0" borderId="8" xfId="0" applyFont="1" applyBorder="1" applyAlignment="1">
      <alignment wrapText="1"/>
    </xf>
    <xf numFmtId="0" fontId="6" fillId="0" borderId="0" xfId="0" applyFont="1" applyAlignment="1">
      <alignment wrapText="1"/>
    </xf>
    <xf numFmtId="0" fontId="51" fillId="0" borderId="8" xfId="0" applyFont="1" applyBorder="1" applyAlignment="1">
      <alignment wrapText="1"/>
    </xf>
    <xf numFmtId="0" fontId="6" fillId="0" borderId="0" xfId="0" applyFont="1" applyAlignment="1">
      <alignment horizontal="justify" vertical="center" wrapText="1"/>
    </xf>
    <xf numFmtId="49" fontId="1" fillId="0" borderId="8" xfId="0" applyNumberFormat="1" applyFont="1" applyBorder="1" applyAlignment="1">
      <alignment horizontal="center"/>
    </xf>
    <xf numFmtId="49" fontId="1" fillId="0" borderId="0" xfId="0" applyNumberFormat="1" applyFont="1" applyFill="1" applyBorder="1" applyAlignment="1" applyProtection="1">
      <alignment horizontal="left" wrapText="1"/>
    </xf>
    <xf numFmtId="49" fontId="1" fillId="0" borderId="8" xfId="0" applyNumberFormat="1" applyFont="1" applyBorder="1" applyAlignment="1">
      <alignment horizontal="center"/>
    </xf>
    <xf numFmtId="49" fontId="42" fillId="0" borderId="25" xfId="0" applyNumberFormat="1" applyFont="1" applyBorder="1" applyAlignment="1" applyProtection="1">
      <alignment horizontal="justify" vertical="center" wrapText="1"/>
    </xf>
    <xf numFmtId="4" fontId="52" fillId="0" borderId="21" xfId="0" applyNumberFormat="1" applyFont="1" applyBorder="1" applyAlignment="1" applyProtection="1">
      <alignment horizontal="right"/>
    </xf>
    <xf numFmtId="49" fontId="53" fillId="0" borderId="21" xfId="0" applyNumberFormat="1" applyFont="1" applyBorder="1" applyAlignment="1" applyProtection="1">
      <alignment horizontal="justify" vertical="center" wrapText="1"/>
    </xf>
    <xf numFmtId="164" fontId="53" fillId="0" borderId="21" xfId="0" applyNumberFormat="1" applyFont="1" applyBorder="1" applyAlignment="1" applyProtection="1">
      <alignment horizontal="justify" vertical="center" wrapText="1"/>
    </xf>
    <xf numFmtId="49" fontId="47" fillId="0" borderId="19" xfId="0" applyNumberFormat="1" applyFont="1" applyFill="1" applyBorder="1"/>
    <xf numFmtId="49" fontId="44" fillId="0" borderId="19" xfId="0" applyNumberFormat="1" applyFont="1" applyFill="1" applyBorder="1"/>
    <xf numFmtId="49" fontId="42" fillId="0" borderId="26" xfId="0" applyNumberFormat="1" applyFont="1" applyBorder="1" applyAlignment="1" applyProtection="1">
      <alignment horizontal="justify" vertical="center" wrapText="1"/>
    </xf>
    <xf numFmtId="4" fontId="1" fillId="0" borderId="19" xfId="0" applyNumberFormat="1" applyFont="1" applyBorder="1"/>
    <xf numFmtId="49" fontId="2" fillId="0" borderId="8" xfId="0" applyNumberFormat="1" applyFont="1" applyFill="1" applyBorder="1" applyAlignment="1">
      <alignment horizontal="center"/>
    </xf>
    <xf numFmtId="49" fontId="44" fillId="0" borderId="19" xfId="0" applyNumberFormat="1" applyFont="1" applyFill="1" applyBorder="1" applyAlignment="1">
      <alignment horizontal="right"/>
    </xf>
    <xf numFmtId="49" fontId="43" fillId="0" borderId="26" xfId="0" applyNumberFormat="1" applyFont="1" applyBorder="1" applyAlignment="1" applyProtection="1">
      <alignment horizontal="justify" vertical="center" wrapText="1"/>
    </xf>
    <xf numFmtId="49" fontId="1" fillId="0" borderId="8" xfId="0" applyNumberFormat="1" applyFont="1" applyBorder="1" applyAlignment="1">
      <alignment horizontal="center" wrapText="1"/>
    </xf>
    <xf numFmtId="49" fontId="1" fillId="0" borderId="8" xfId="0" applyNumberFormat="1" applyFont="1" applyBorder="1" applyAlignment="1">
      <alignment horizontal="left" wrapText="1"/>
    </xf>
    <xf numFmtId="164" fontId="42" fillId="0" borderId="26" xfId="0" applyNumberFormat="1" applyFont="1" applyBorder="1" applyAlignment="1" applyProtection="1">
      <alignment horizontal="justify" vertical="center" wrapText="1"/>
    </xf>
    <xf numFmtId="49" fontId="35" fillId="0" borderId="27" xfId="0" applyNumberFormat="1" applyFont="1" applyBorder="1" applyAlignment="1" applyProtection="1">
      <alignment horizontal="center" wrapText="1"/>
    </xf>
    <xf numFmtId="49" fontId="35" fillId="0" borderId="28" xfId="0" applyNumberFormat="1" applyFont="1" applyBorder="1" applyAlignment="1" applyProtection="1">
      <alignment horizontal="center" wrapText="1"/>
    </xf>
    <xf numFmtId="49" fontId="40" fillId="0" borderId="27" xfId="0" applyNumberFormat="1" applyFont="1" applyBorder="1" applyAlignment="1" applyProtection="1">
      <alignment horizontal="justify" vertical="center" wrapText="1"/>
    </xf>
    <xf numFmtId="49" fontId="40" fillId="0" borderId="29" xfId="0" applyNumberFormat="1" applyFont="1" applyBorder="1" applyAlignment="1" applyProtection="1">
      <alignment horizontal="justify" vertical="center" wrapText="1"/>
    </xf>
    <xf numFmtId="4" fontId="42" fillId="0" borderId="26" xfId="0" applyNumberFormat="1" applyFont="1" applyBorder="1" applyAlignment="1" applyProtection="1">
      <alignment horizontal="right"/>
    </xf>
    <xf numFmtId="4" fontId="42" fillId="3" borderId="21" xfId="0" applyNumberFormat="1" applyFont="1" applyFill="1" applyBorder="1" applyAlignment="1" applyProtection="1">
      <alignment horizontal="right"/>
    </xf>
    <xf numFmtId="4" fontId="40" fillId="3" borderId="21" xfId="0" applyNumberFormat="1" applyFont="1" applyFill="1" applyBorder="1" applyAlignment="1" applyProtection="1">
      <alignment horizontal="right"/>
    </xf>
    <xf numFmtId="0" fontId="41" fillId="0" borderId="25" xfId="0" applyFont="1" applyBorder="1" applyAlignment="1" applyProtection="1">
      <alignment vertical="center"/>
    </xf>
    <xf numFmtId="4" fontId="42" fillId="3" borderId="26" xfId="0" applyNumberFormat="1" applyFont="1" applyFill="1" applyBorder="1" applyAlignment="1" applyProtection="1">
      <alignment horizontal="right"/>
    </xf>
    <xf numFmtId="4" fontId="57" fillId="0" borderId="8" xfId="0" applyNumberFormat="1" applyFont="1" applyBorder="1"/>
    <xf numFmtId="0" fontId="51" fillId="0" borderId="30" xfId="0" applyFont="1" applyBorder="1" applyAlignment="1">
      <alignment horizontal="justify" vertical="center" wrapText="1"/>
    </xf>
    <xf numFmtId="0" fontId="1" fillId="0" borderId="0" xfId="0" applyFont="1" applyAlignment="1">
      <alignment horizontal="right"/>
    </xf>
    <xf numFmtId="0" fontId="1" fillId="0" borderId="8" xfId="0" applyFont="1" applyFill="1" applyBorder="1" applyAlignment="1">
      <alignment horizontal="center"/>
    </xf>
    <xf numFmtId="0" fontId="3" fillId="0" borderId="2" xfId="0" applyFont="1" applyBorder="1" applyAlignment="1">
      <alignment horizontal="center"/>
    </xf>
    <xf numFmtId="0" fontId="3" fillId="0" borderId="19" xfId="0" applyFont="1" applyBorder="1" applyAlignment="1">
      <alignment horizontal="center"/>
    </xf>
    <xf numFmtId="49" fontId="1" fillId="0" borderId="8" xfId="0" applyNumberFormat="1" applyFont="1" applyBorder="1" applyAlignment="1">
      <alignment horizontal="center"/>
    </xf>
    <xf numFmtId="0" fontId="1" fillId="0" borderId="8" xfId="0" applyFont="1" applyBorder="1" applyAlignment="1">
      <alignment horizontal="center"/>
    </xf>
    <xf numFmtId="49" fontId="1" fillId="0" borderId="5" xfId="0" applyNumberFormat="1" applyFont="1" applyBorder="1" applyAlignment="1">
      <alignment horizontal="center"/>
    </xf>
    <xf numFmtId="4" fontId="35" fillId="0" borderId="31" xfId="0" applyNumberFormat="1" applyFont="1" applyBorder="1" applyAlignment="1" applyProtection="1">
      <alignment horizontal="right" wrapText="1"/>
    </xf>
    <xf numFmtId="4" fontId="37" fillId="0" borderId="32" xfId="0" applyNumberFormat="1" applyFont="1" applyBorder="1" applyAlignment="1" applyProtection="1">
      <alignment horizontal="right" wrapText="1"/>
    </xf>
    <xf numFmtId="4" fontId="35" fillId="0" borderId="8" xfId="0" applyNumberFormat="1" applyFont="1" applyBorder="1" applyAlignment="1" applyProtection="1">
      <alignment horizontal="right" wrapText="1"/>
    </xf>
    <xf numFmtId="4" fontId="56" fillId="0" borderId="25" xfId="0" applyNumberFormat="1" applyFont="1" applyBorder="1" applyAlignment="1" applyProtection="1">
      <alignment horizontal="right"/>
    </xf>
    <xf numFmtId="4" fontId="56" fillId="0" borderId="8" xfId="0" applyNumberFormat="1" applyFont="1" applyBorder="1" applyAlignment="1" applyProtection="1">
      <alignment horizontal="right"/>
    </xf>
    <xf numFmtId="0" fontId="39" fillId="0" borderId="0" xfId="0" applyFont="1" applyFill="1" applyAlignment="1">
      <alignment wrapText="1"/>
    </xf>
    <xf numFmtId="0" fontId="39" fillId="0" borderId="0" xfId="0" applyFont="1" applyFill="1"/>
    <xf numFmtId="0" fontId="39" fillId="0" borderId="2" xfId="0" applyFont="1" applyFill="1" applyBorder="1" applyAlignment="1">
      <alignment wrapText="1"/>
    </xf>
    <xf numFmtId="0" fontId="39" fillId="0" borderId="8" xfId="0" applyFont="1" applyFill="1" applyBorder="1" applyAlignment="1">
      <alignment wrapText="1"/>
    </xf>
    <xf numFmtId="4" fontId="39" fillId="0" borderId="8" xfId="0" applyNumberFormat="1" applyFont="1" applyFill="1" applyBorder="1"/>
    <xf numFmtId="0" fontId="39" fillId="0" borderId="8" xfId="0" applyFont="1" applyFill="1" applyBorder="1"/>
    <xf numFmtId="0" fontId="0" fillId="0" borderId="0" xfId="0" applyBorder="1"/>
    <xf numFmtId="0" fontId="21" fillId="0" borderId="5" xfId="0" applyFont="1" applyFill="1" applyBorder="1" applyAlignment="1">
      <alignment wrapText="1"/>
    </xf>
    <xf numFmtId="0" fontId="21" fillId="0" borderId="8" xfId="0" applyFont="1" applyFill="1" applyBorder="1" applyAlignment="1">
      <alignment horizontal="center" wrapText="1"/>
    </xf>
    <xf numFmtId="0" fontId="21" fillId="0" borderId="8" xfId="0" applyFont="1" applyFill="1" applyBorder="1"/>
    <xf numFmtId="4" fontId="21" fillId="0" borderId="8" xfId="0" applyNumberFormat="1" applyFont="1" applyFill="1" applyBorder="1" applyAlignment="1">
      <alignment wrapText="1"/>
    </xf>
    <xf numFmtId="3" fontId="21" fillId="0" borderId="8" xfId="0" applyNumberFormat="1" applyFont="1" applyFill="1" applyBorder="1" applyAlignment="1">
      <alignment horizontal="center" wrapText="1"/>
    </xf>
    <xf numFmtId="3" fontId="21" fillId="0" borderId="8" xfId="0" applyNumberFormat="1" applyFont="1" applyFill="1" applyBorder="1" applyAlignment="1">
      <alignment wrapText="1"/>
    </xf>
    <xf numFmtId="0" fontId="59" fillId="0" borderId="8" xfId="0" applyFont="1" applyFill="1" applyBorder="1" applyAlignment="1">
      <alignment wrapText="1"/>
    </xf>
    <xf numFmtId="0" fontId="39" fillId="0" borderId="2" xfId="0" applyFont="1" applyFill="1" applyBorder="1"/>
    <xf numFmtId="0" fontId="59" fillId="0" borderId="8" xfId="0" applyFont="1" applyFill="1" applyBorder="1" applyAlignment="1">
      <alignment horizontal="center" wrapText="1"/>
    </xf>
    <xf numFmtId="49" fontId="18" fillId="0" borderId="8" xfId="0" applyNumberFormat="1" applyFont="1" applyFill="1" applyBorder="1" applyAlignment="1">
      <alignment wrapText="1"/>
    </xf>
    <xf numFmtId="0" fontId="62" fillId="0" borderId="8" xfId="0" applyFont="1" applyBorder="1" applyAlignment="1">
      <alignment horizontal="center"/>
    </xf>
    <xf numFmtId="49" fontId="17" fillId="0" borderId="21" xfId="0" applyNumberFormat="1" applyFont="1" applyBorder="1" applyAlignment="1" applyProtection="1">
      <alignment horizontal="justify" vertical="center" wrapText="1"/>
    </xf>
    <xf numFmtId="0" fontId="21" fillId="0" borderId="3" xfId="0" applyFont="1" applyFill="1" applyBorder="1"/>
    <xf numFmtId="4" fontId="59" fillId="0" borderId="5" xfId="0" applyNumberFormat="1" applyFont="1" applyFill="1" applyBorder="1" applyAlignment="1">
      <alignment wrapText="1"/>
    </xf>
    <xf numFmtId="49" fontId="58" fillId="0" borderId="8" xfId="0" applyNumberFormat="1" applyFont="1" applyBorder="1" applyAlignment="1">
      <alignment horizontal="center"/>
    </xf>
    <xf numFmtId="3" fontId="39" fillId="0" borderId="0" xfId="0" applyNumberFormat="1" applyFont="1" applyFill="1"/>
    <xf numFmtId="0" fontId="39" fillId="0" borderId="0" xfId="0" applyFont="1" applyFill="1" applyAlignment="1">
      <alignment horizontal="justify"/>
    </xf>
    <xf numFmtId="0" fontId="75" fillId="0" borderId="8" xfId="0" applyFont="1" applyBorder="1"/>
    <xf numFmtId="4" fontId="39" fillId="0" borderId="0" xfId="0" applyNumberFormat="1" applyFont="1" applyFill="1"/>
    <xf numFmtId="0" fontId="59" fillId="0" borderId="3" xfId="0" applyFont="1" applyFill="1" applyBorder="1" applyAlignment="1">
      <alignment horizontal="center" wrapText="1"/>
    </xf>
    <xf numFmtId="49" fontId="42" fillId="0" borderId="3" xfId="0" applyNumberFormat="1" applyFont="1" applyBorder="1" applyAlignment="1" applyProtection="1">
      <alignment horizontal="center" wrapText="1"/>
    </xf>
    <xf numFmtId="0" fontId="0" fillId="0" borderId="3" xfId="0" applyBorder="1" applyAlignment="1">
      <alignment horizontal="center"/>
    </xf>
    <xf numFmtId="0" fontId="0" fillId="0" borderId="5" xfId="0" applyFont="1" applyBorder="1"/>
    <xf numFmtId="0" fontId="58" fillId="0" borderId="8" xfId="0" applyFont="1" applyBorder="1" applyAlignment="1">
      <alignment horizontal="center"/>
    </xf>
    <xf numFmtId="4" fontId="58" fillId="4" borderId="8" xfId="0" applyNumberFormat="1" applyFont="1" applyFill="1" applyBorder="1"/>
    <xf numFmtId="0" fontId="0" fillId="4" borderId="8" xfId="0" applyFill="1" applyBorder="1" applyAlignment="1">
      <alignment vertical="top"/>
    </xf>
    <xf numFmtId="49" fontId="42" fillId="4" borderId="33" xfId="0" applyNumberFormat="1" applyFont="1" applyFill="1" applyBorder="1" applyAlignment="1" applyProtection="1">
      <alignment horizontal="center" wrapText="1"/>
    </xf>
    <xf numFmtId="4" fontId="42" fillId="4" borderId="29" xfId="0" applyNumberFormat="1" applyFont="1" applyFill="1" applyBorder="1" applyAlignment="1" applyProtection="1">
      <alignment horizontal="right"/>
    </xf>
    <xf numFmtId="0" fontId="0" fillId="4" borderId="8" xfId="0" applyFill="1" applyBorder="1"/>
    <xf numFmtId="0" fontId="0" fillId="4" borderId="0" xfId="0" applyFill="1"/>
    <xf numFmtId="0" fontId="0" fillId="4" borderId="0" xfId="0" applyFill="1" applyBorder="1"/>
    <xf numFmtId="0" fontId="0" fillId="4" borderId="8" xfId="0" applyFont="1" applyFill="1" applyBorder="1"/>
    <xf numFmtId="4" fontId="42" fillId="4" borderId="34" xfId="0" applyNumberFormat="1" applyFont="1" applyFill="1" applyBorder="1" applyAlignment="1" applyProtection="1">
      <alignment horizontal="right"/>
    </xf>
    <xf numFmtId="0" fontId="73" fillId="4" borderId="8" xfId="0" applyFont="1" applyFill="1" applyBorder="1" applyAlignment="1">
      <alignment vertical="top"/>
    </xf>
    <xf numFmtId="49" fontId="17" fillId="4" borderId="33" xfId="0" applyNumberFormat="1" applyFont="1" applyFill="1" applyBorder="1" applyAlignment="1" applyProtection="1">
      <alignment horizontal="center" wrapText="1"/>
    </xf>
    <xf numFmtId="4" fontId="17" fillId="4" borderId="34" xfId="0" applyNumberFormat="1" applyFont="1" applyFill="1" applyBorder="1" applyAlignment="1" applyProtection="1">
      <alignment horizontal="right"/>
    </xf>
    <xf numFmtId="0" fontId="66" fillId="4" borderId="8" xfId="0" applyFont="1" applyFill="1" applyBorder="1"/>
    <xf numFmtId="0" fontId="58" fillId="4" borderId="2" xfId="0" applyFont="1" applyFill="1" applyBorder="1" applyAlignment="1">
      <alignment wrapText="1"/>
    </xf>
    <xf numFmtId="0" fontId="66" fillId="4" borderId="0" xfId="0" applyFont="1" applyFill="1"/>
    <xf numFmtId="0" fontId="66" fillId="4" borderId="0" xfId="0" applyFont="1" applyFill="1" applyBorder="1"/>
    <xf numFmtId="0" fontId="73" fillId="4" borderId="47" xfId="0" applyFont="1" applyFill="1" applyBorder="1" applyAlignment="1">
      <alignment vertical="top"/>
    </xf>
    <xf numFmtId="0" fontId="66" fillId="4" borderId="47" xfId="0" applyFont="1" applyFill="1" applyBorder="1"/>
    <xf numFmtId="4" fontId="58" fillId="4" borderId="47" xfId="0" applyNumberFormat="1" applyFont="1" applyFill="1" applyBorder="1"/>
    <xf numFmtId="0" fontId="58" fillId="4" borderId="47" xfId="0" applyFont="1" applyFill="1" applyBorder="1" applyAlignment="1">
      <alignment wrapText="1"/>
    </xf>
    <xf numFmtId="4" fontId="17" fillId="4" borderId="40" xfId="0" applyNumberFormat="1" applyFont="1" applyFill="1" applyBorder="1" applyAlignment="1" applyProtection="1">
      <alignment horizontal="right"/>
    </xf>
    <xf numFmtId="49" fontId="51" fillId="4" borderId="37" xfId="0" applyNumberFormat="1" applyFont="1" applyFill="1" applyBorder="1" applyAlignment="1">
      <alignment vertical="top"/>
    </xf>
    <xf numFmtId="49" fontId="42" fillId="4" borderId="37" xfId="0" applyNumberFormat="1" applyFont="1" applyFill="1" applyBorder="1" applyAlignment="1" applyProtection="1">
      <alignment vertical="top" wrapText="1"/>
    </xf>
    <xf numFmtId="49" fontId="51" fillId="4" borderId="19" xfId="0" applyNumberFormat="1" applyFont="1" applyFill="1" applyBorder="1" applyAlignment="1">
      <alignment vertical="top"/>
    </xf>
    <xf numFmtId="49" fontId="42" fillId="4" borderId="48" xfId="0" applyNumberFormat="1" applyFont="1" applyFill="1" applyBorder="1" applyAlignment="1" applyProtection="1">
      <alignment vertical="top" wrapText="1"/>
    </xf>
    <xf numFmtId="0" fontId="0" fillId="4" borderId="19" xfId="0" applyFill="1" applyBorder="1" applyAlignment="1">
      <alignment vertical="top"/>
    </xf>
    <xf numFmtId="49" fontId="51" fillId="4" borderId="8" xfId="0" applyNumberFormat="1" applyFont="1" applyFill="1" applyBorder="1" applyAlignment="1">
      <alignment horizontal="center"/>
    </xf>
    <xf numFmtId="0" fontId="0" fillId="4" borderId="8" xfId="0" applyFill="1" applyBorder="1" applyAlignment="1">
      <alignment horizontal="center"/>
    </xf>
    <xf numFmtId="49" fontId="42" fillId="4" borderId="8" xfId="0" applyNumberFormat="1" applyFont="1" applyFill="1" applyBorder="1" applyAlignment="1" applyProtection="1">
      <alignment horizontal="center" wrapText="1"/>
    </xf>
    <xf numFmtId="49" fontId="17" fillId="4" borderId="37" xfId="0" applyNumberFormat="1" applyFont="1" applyFill="1" applyBorder="1" applyAlignment="1">
      <alignment vertical="top"/>
    </xf>
    <xf numFmtId="49" fontId="17" fillId="4" borderId="37" xfId="0" applyNumberFormat="1" applyFont="1" applyFill="1" applyBorder="1" applyAlignment="1" applyProtection="1">
      <alignment vertical="top" wrapText="1"/>
    </xf>
    <xf numFmtId="49" fontId="17" fillId="4" borderId="19" xfId="0" applyNumberFormat="1" applyFont="1" applyFill="1" applyBorder="1" applyAlignment="1">
      <alignment vertical="top"/>
    </xf>
    <xf numFmtId="49" fontId="17" fillId="4" borderId="48" xfId="0" applyNumberFormat="1" applyFont="1" applyFill="1" applyBorder="1" applyAlignment="1" applyProtection="1">
      <alignment vertical="top" wrapText="1"/>
    </xf>
    <xf numFmtId="0" fontId="73" fillId="4" borderId="37" xfId="0" applyFont="1" applyFill="1" applyBorder="1" applyAlignment="1">
      <alignment vertical="top"/>
    </xf>
    <xf numFmtId="49" fontId="17" fillId="4" borderId="8" xfId="0" applyNumberFormat="1" applyFont="1" applyFill="1" applyBorder="1" applyAlignment="1">
      <alignment horizontal="center"/>
    </xf>
    <xf numFmtId="0" fontId="73" fillId="4" borderId="8" xfId="0" applyFont="1" applyFill="1" applyBorder="1" applyAlignment="1">
      <alignment horizontal="center"/>
    </xf>
    <xf numFmtId="49" fontId="17" fillId="4" borderId="8" xfId="0" applyNumberFormat="1" applyFont="1" applyFill="1" applyBorder="1" applyAlignment="1" applyProtection="1">
      <alignment horizontal="center" wrapText="1"/>
    </xf>
    <xf numFmtId="49" fontId="17" fillId="4" borderId="19" xfId="0" applyNumberFormat="1" applyFont="1" applyFill="1" applyBorder="1" applyAlignment="1" applyProtection="1">
      <alignment vertical="top" wrapText="1"/>
    </xf>
    <xf numFmtId="0" fontId="73" fillId="4" borderId="19" xfId="0" applyFont="1" applyFill="1" applyBorder="1" applyAlignment="1">
      <alignment vertical="top"/>
    </xf>
    <xf numFmtId="0" fontId="76" fillId="0" borderId="8" xfId="0" applyFont="1" applyBorder="1"/>
    <xf numFmtId="0" fontId="77" fillId="0" borderId="8" xfId="0" applyFont="1" applyBorder="1"/>
    <xf numFmtId="0" fontId="78" fillId="0" borderId="8" xfId="0" applyFont="1" applyFill="1" applyBorder="1" applyAlignment="1">
      <alignment wrapText="1"/>
    </xf>
    <xf numFmtId="49" fontId="79" fillId="0" borderId="8" xfId="0" applyNumberFormat="1" applyFont="1" applyBorder="1" applyAlignment="1">
      <alignment horizontal="center"/>
    </xf>
    <xf numFmtId="49" fontId="80" fillId="0" borderId="3" xfId="0" applyNumberFormat="1" applyFont="1" applyBorder="1" applyAlignment="1" applyProtection="1">
      <alignment horizontal="center" wrapText="1"/>
    </xf>
    <xf numFmtId="49" fontId="80" fillId="0" borderId="8" xfId="0" applyNumberFormat="1" applyFont="1" applyBorder="1" applyAlignment="1" applyProtection="1">
      <alignment horizontal="center" wrapText="1"/>
    </xf>
    <xf numFmtId="4" fontId="78" fillId="0" borderId="5" xfId="0" applyNumberFormat="1" applyFont="1" applyBorder="1" applyAlignment="1" applyProtection="1">
      <alignment horizontal="right"/>
    </xf>
    <xf numFmtId="4" fontId="78" fillId="0" borderId="5" xfId="0" applyNumberFormat="1" applyFont="1" applyBorder="1"/>
    <xf numFmtId="0" fontId="81" fillId="0" borderId="8" xfId="0" applyFont="1" applyBorder="1"/>
    <xf numFmtId="4" fontId="78" fillId="0" borderId="8" xfId="0" applyNumberFormat="1" applyFont="1" applyBorder="1"/>
    <xf numFmtId="0" fontId="82" fillId="0" borderId="8" xfId="0" applyFont="1" applyBorder="1"/>
    <xf numFmtId="0" fontId="83" fillId="0" borderId="8" xfId="0" applyFont="1" applyBorder="1"/>
    <xf numFmtId="0" fontId="83" fillId="0" borderId="3" xfId="0" applyFont="1" applyBorder="1" applyAlignment="1">
      <alignment horizontal="center"/>
    </xf>
    <xf numFmtId="0" fontId="83" fillId="0" borderId="8" xfId="0" applyFont="1" applyBorder="1" applyAlignment="1">
      <alignment horizontal="center"/>
    </xf>
    <xf numFmtId="49" fontId="42" fillId="0" borderId="0" xfId="0" applyNumberFormat="1" applyFont="1" applyBorder="1" applyAlignment="1" applyProtection="1">
      <alignment horizontal="justify" vertical="center" wrapText="1"/>
    </xf>
    <xf numFmtId="49" fontId="17" fillId="0" borderId="8" xfId="0" applyNumberFormat="1" applyFont="1" applyBorder="1" applyAlignment="1" applyProtection="1">
      <alignment horizontal="center" wrapText="1"/>
    </xf>
    <xf numFmtId="0" fontId="17" fillId="0" borderId="8" xfId="0" applyFont="1" applyFill="1" applyBorder="1" applyAlignment="1">
      <alignment wrapText="1"/>
    </xf>
    <xf numFmtId="49" fontId="58" fillId="0" borderId="0" xfId="0" applyNumberFormat="1" applyFont="1" applyBorder="1" applyAlignment="1">
      <alignment horizontal="center"/>
    </xf>
    <xf numFmtId="49" fontId="42" fillId="0" borderId="0" xfId="0" applyNumberFormat="1" applyFont="1" applyBorder="1" applyAlignment="1" applyProtection="1">
      <alignment horizontal="center" wrapText="1"/>
    </xf>
    <xf numFmtId="4" fontId="17" fillId="0" borderId="0" xfId="0" applyNumberFormat="1" applyFont="1" applyBorder="1" applyAlignment="1" applyProtection="1">
      <alignment horizontal="right"/>
    </xf>
    <xf numFmtId="0" fontId="0" fillId="0" borderId="0" xfId="0" applyBorder="1" applyAlignment="1">
      <alignment horizontal="center"/>
    </xf>
    <xf numFmtId="4" fontId="18" fillId="4" borderId="34" xfId="0" applyNumberFormat="1" applyFont="1" applyFill="1" applyBorder="1" applyAlignment="1" applyProtection="1">
      <alignment horizontal="right"/>
    </xf>
    <xf numFmtId="4" fontId="18" fillId="4" borderId="40" xfId="0" applyNumberFormat="1" applyFont="1" applyFill="1" applyBorder="1" applyAlignment="1" applyProtection="1">
      <alignment horizontal="right"/>
    </xf>
    <xf numFmtId="49" fontId="17" fillId="4" borderId="21" xfId="0" applyNumberFormat="1" applyFont="1" applyFill="1" applyBorder="1" applyAlignment="1" applyProtection="1">
      <alignment horizontal="justify" vertical="center" wrapText="1"/>
    </xf>
    <xf numFmtId="4" fontId="85" fillId="4" borderId="8" xfId="0" applyNumberFormat="1" applyFont="1" applyFill="1" applyBorder="1"/>
    <xf numFmtId="0" fontId="68" fillId="4" borderId="8" xfId="0" applyFont="1" applyFill="1" applyBorder="1" applyAlignment="1">
      <alignment horizontal="center"/>
    </xf>
    <xf numFmtId="49" fontId="55" fillId="4" borderId="8" xfId="0" applyNumberFormat="1" applyFont="1" applyFill="1" applyBorder="1" applyAlignment="1" applyProtection="1">
      <alignment horizontal="justify" vertical="center" wrapText="1"/>
    </xf>
    <xf numFmtId="49" fontId="69" fillId="4" borderId="8" xfId="0" applyNumberFormat="1" applyFont="1" applyFill="1" applyBorder="1" applyAlignment="1">
      <alignment horizontal="center"/>
    </xf>
    <xf numFmtId="0" fontId="68" fillId="4" borderId="8" xfId="0" applyFont="1" applyFill="1" applyBorder="1"/>
    <xf numFmtId="0" fontId="62" fillId="4" borderId="3" xfId="0" applyFont="1" applyFill="1" applyBorder="1" applyAlignment="1">
      <alignment horizontal="center"/>
    </xf>
    <xf numFmtId="0" fontId="63" fillId="4" borderId="8" xfId="0" applyFont="1" applyFill="1" applyBorder="1" applyAlignment="1">
      <alignment horizontal="center"/>
    </xf>
    <xf numFmtId="4" fontId="55" fillId="4" borderId="5" xfId="0" applyNumberFormat="1" applyFont="1" applyFill="1" applyBorder="1" applyAlignment="1" applyProtection="1">
      <alignment horizontal="right"/>
    </xf>
    <xf numFmtId="3" fontId="21" fillId="4" borderId="8" xfId="0" applyNumberFormat="1" applyFont="1" applyFill="1" applyBorder="1" applyAlignment="1">
      <alignment wrapText="1"/>
    </xf>
    <xf numFmtId="0" fontId="68" fillId="4" borderId="0" xfId="0" applyFont="1" applyFill="1"/>
    <xf numFmtId="0" fontId="68" fillId="4" borderId="0" xfId="0" applyFont="1" applyFill="1" applyBorder="1"/>
    <xf numFmtId="0" fontId="68" fillId="4" borderId="8" xfId="0" applyFont="1" applyFill="1" applyBorder="1" applyAlignment="1">
      <alignment wrapText="1"/>
    </xf>
    <xf numFmtId="4" fontId="69" fillId="4" borderId="5" xfId="0" applyNumberFormat="1" applyFont="1" applyFill="1" applyBorder="1"/>
    <xf numFmtId="49" fontId="59" fillId="4" borderId="8" xfId="0" applyNumberFormat="1" applyFont="1" applyFill="1" applyBorder="1" applyAlignment="1">
      <alignment horizontal="left" wrapText="1"/>
    </xf>
    <xf numFmtId="4" fontId="69" fillId="4" borderId="29" xfId="0" applyNumberFormat="1" applyFont="1" applyFill="1" applyBorder="1" applyAlignment="1" applyProtection="1">
      <alignment horizontal="right"/>
    </xf>
    <xf numFmtId="0" fontId="83" fillId="0" borderId="0" xfId="0" applyFont="1" applyBorder="1"/>
    <xf numFmtId="4" fontId="18" fillId="0" borderId="8" xfId="0" applyNumberFormat="1" applyFont="1" applyBorder="1"/>
    <xf numFmtId="0" fontId="18" fillId="0" borderId="0" xfId="0" applyFont="1" applyFill="1" applyBorder="1" applyAlignment="1">
      <alignment wrapText="1"/>
    </xf>
    <xf numFmtId="4" fontId="18" fillId="0" borderId="5" xfId="0" applyNumberFormat="1" applyFont="1" applyBorder="1"/>
    <xf numFmtId="4" fontId="17" fillId="0" borderId="8" xfId="0" applyNumberFormat="1" applyFont="1" applyBorder="1"/>
    <xf numFmtId="0" fontId="90" fillId="0" borderId="8" xfId="0" applyFont="1" applyBorder="1" applyAlignment="1">
      <alignment horizontal="center"/>
    </xf>
    <xf numFmtId="4" fontId="84" fillId="4" borderId="8" xfId="0" applyNumberFormat="1" applyFont="1" applyFill="1" applyBorder="1"/>
    <xf numFmtId="0" fontId="62" fillId="4" borderId="8" xfId="0" applyFont="1" applyFill="1" applyBorder="1" applyAlignment="1">
      <alignment horizontal="center"/>
    </xf>
    <xf numFmtId="0" fontId="62" fillId="4" borderId="8" xfId="0" applyFont="1" applyFill="1" applyBorder="1" applyAlignment="1">
      <alignment wrapText="1"/>
    </xf>
    <xf numFmtId="0" fontId="62" fillId="4" borderId="8" xfId="0" applyFont="1" applyFill="1" applyBorder="1"/>
    <xf numFmtId="4" fontId="64" fillId="4" borderId="5" xfId="0" applyNumberFormat="1" applyFont="1" applyFill="1" applyBorder="1"/>
    <xf numFmtId="0" fontId="63" fillId="4" borderId="8" xfId="0" applyFont="1" applyFill="1" applyBorder="1" applyAlignment="1">
      <alignment wrapText="1"/>
    </xf>
    <xf numFmtId="49" fontId="58" fillId="4" borderId="8" xfId="0" applyNumberFormat="1" applyFont="1" applyFill="1" applyBorder="1" applyAlignment="1">
      <alignment horizontal="center"/>
    </xf>
    <xf numFmtId="49" fontId="42" fillId="4" borderId="27" xfId="0" applyNumberFormat="1" applyFont="1" applyFill="1" applyBorder="1" applyAlignment="1" applyProtection="1">
      <alignment horizontal="center" wrapText="1"/>
    </xf>
    <xf numFmtId="4" fontId="18" fillId="4" borderId="29" xfId="0" applyNumberFormat="1" applyFont="1" applyFill="1" applyBorder="1" applyAlignment="1" applyProtection="1">
      <alignment horizontal="right"/>
    </xf>
    <xf numFmtId="3" fontId="17" fillId="4" borderId="57" xfId="0" applyNumberFormat="1" applyFont="1" applyFill="1" applyBorder="1" applyAlignment="1">
      <alignment wrapText="1"/>
    </xf>
    <xf numFmtId="49" fontId="42" fillId="4" borderId="33" xfId="0" applyNumberFormat="1" applyFont="1" applyFill="1" applyBorder="1" applyAlignment="1" applyProtection="1">
      <alignment horizontal="justify" vertical="center" wrapText="1"/>
    </xf>
    <xf numFmtId="0" fontId="58" fillId="4" borderId="8" xfId="0" applyFont="1" applyFill="1" applyBorder="1" applyAlignment="1">
      <alignment horizontal="left" vertical="center" wrapText="1"/>
    </xf>
    <xf numFmtId="4" fontId="17" fillId="4" borderId="29" xfId="0" applyNumberFormat="1" applyFont="1" applyFill="1" applyBorder="1" applyAlignment="1" applyProtection="1">
      <alignment horizontal="right"/>
    </xf>
    <xf numFmtId="4" fontId="42" fillId="4" borderId="0" xfId="0" applyNumberFormat="1" applyFont="1" applyFill="1" applyBorder="1" applyAlignment="1" applyProtection="1">
      <alignment horizontal="right"/>
    </xf>
    <xf numFmtId="49" fontId="42" fillId="4" borderId="21" xfId="0" applyNumberFormat="1" applyFont="1" applyFill="1" applyBorder="1" applyAlignment="1" applyProtection="1">
      <alignment horizontal="justify" vertical="center" wrapText="1"/>
    </xf>
    <xf numFmtId="0" fontId="60" fillId="4" borderId="8" xfId="0" applyFont="1" applyFill="1" applyBorder="1" applyAlignment="1">
      <alignment horizontal="center"/>
    </xf>
    <xf numFmtId="0" fontId="60" fillId="4" borderId="8" xfId="0" applyFont="1" applyFill="1" applyBorder="1"/>
    <xf numFmtId="0" fontId="60" fillId="4" borderId="0" xfId="0" applyFont="1" applyFill="1"/>
    <xf numFmtId="0" fontId="92" fillId="4" borderId="8" xfId="0" applyFont="1" applyFill="1" applyBorder="1"/>
    <xf numFmtId="4" fontId="87" fillId="4" borderId="29" xfId="0" applyNumberFormat="1" applyFont="1" applyFill="1" applyBorder="1" applyAlignment="1" applyProtection="1">
      <alignment horizontal="right"/>
    </xf>
    <xf numFmtId="4" fontId="0" fillId="4" borderId="8" xfId="0" applyNumberFormat="1" applyFill="1" applyBorder="1"/>
    <xf numFmtId="49" fontId="42" fillId="4" borderId="8" xfId="0" applyNumberFormat="1" applyFont="1" applyFill="1" applyBorder="1" applyAlignment="1" applyProtection="1">
      <alignment horizontal="justify" vertical="center" wrapText="1"/>
    </xf>
    <xf numFmtId="0" fontId="64" fillId="4" borderId="8" xfId="0" applyFont="1" applyFill="1" applyBorder="1" applyAlignment="1">
      <alignment horizontal="center"/>
    </xf>
    <xf numFmtId="0" fontId="64" fillId="4" borderId="8" xfId="0" applyFont="1" applyFill="1" applyBorder="1" applyAlignment="1">
      <alignment wrapText="1"/>
    </xf>
    <xf numFmtId="49" fontId="64" fillId="4" borderId="8" xfId="0" applyNumberFormat="1" applyFont="1" applyFill="1" applyBorder="1" applyAlignment="1">
      <alignment horizontal="center"/>
    </xf>
    <xf numFmtId="0" fontId="64" fillId="4" borderId="8" xfId="0" applyFont="1" applyFill="1" applyBorder="1"/>
    <xf numFmtId="0" fontId="64" fillId="4" borderId="3" xfId="0" applyFont="1" applyFill="1" applyBorder="1" applyAlignment="1">
      <alignment horizontal="center"/>
    </xf>
    <xf numFmtId="0" fontId="93" fillId="4" borderId="8" xfId="0" applyFont="1" applyFill="1" applyBorder="1" applyAlignment="1">
      <alignment horizontal="center"/>
    </xf>
    <xf numFmtId="4" fontId="21" fillId="4" borderId="5" xfId="0" applyNumberFormat="1" applyFont="1" applyFill="1" applyBorder="1"/>
    <xf numFmtId="0" fontId="4" fillId="4" borderId="0" xfId="0" applyFont="1" applyFill="1"/>
    <xf numFmtId="0" fontId="4" fillId="4" borderId="8" xfId="0" applyFont="1" applyFill="1" applyBorder="1" applyAlignment="1">
      <alignment horizontal="center"/>
    </xf>
    <xf numFmtId="0" fontId="4" fillId="4" borderId="8" xfId="0" applyFont="1" applyFill="1" applyBorder="1"/>
    <xf numFmtId="49" fontId="17" fillId="4" borderId="27" xfId="0" applyNumberFormat="1" applyFont="1" applyFill="1" applyBorder="1" applyAlignment="1" applyProtection="1">
      <alignment horizontal="center" wrapText="1"/>
    </xf>
    <xf numFmtId="164" fontId="42" fillId="4" borderId="21" xfId="0" applyNumberFormat="1" applyFont="1" applyFill="1" applyBorder="1" applyAlignment="1" applyProtection="1">
      <alignment horizontal="justify" vertical="center" wrapText="1"/>
    </xf>
    <xf numFmtId="0" fontId="0" fillId="4" borderId="47" xfId="0" applyFill="1" applyBorder="1"/>
    <xf numFmtId="49" fontId="42" fillId="4" borderId="36" xfId="0" applyNumberFormat="1" applyFont="1" applyFill="1" applyBorder="1" applyAlignment="1" applyProtection="1">
      <alignment horizontal="center" wrapText="1"/>
    </xf>
    <xf numFmtId="0" fontId="62" fillId="4" borderId="51" xfId="0" applyFont="1" applyFill="1" applyBorder="1" applyAlignment="1">
      <alignment horizontal="center"/>
    </xf>
    <xf numFmtId="0" fontId="0" fillId="4" borderId="2" xfId="0" applyFill="1" applyBorder="1"/>
    <xf numFmtId="164" fontId="51" fillId="4" borderId="21" xfId="0" applyNumberFormat="1" applyFont="1" applyFill="1" applyBorder="1" applyAlignment="1" applyProtection="1">
      <alignment horizontal="justify" vertical="center" wrapText="1"/>
    </xf>
    <xf numFmtId="49" fontId="42" fillId="4" borderId="0" xfId="0" applyNumberFormat="1" applyFont="1" applyFill="1" applyBorder="1" applyAlignment="1" applyProtection="1">
      <alignment horizontal="center" wrapText="1"/>
    </xf>
    <xf numFmtId="4" fontId="42" fillId="4" borderId="8" xfId="0" applyNumberFormat="1" applyFont="1" applyFill="1" applyBorder="1" applyAlignment="1" applyProtection="1">
      <alignment horizontal="right"/>
    </xf>
    <xf numFmtId="4" fontId="58" fillId="4" borderId="5" xfId="0" applyNumberFormat="1" applyFont="1" applyFill="1" applyBorder="1"/>
    <xf numFmtId="4" fontId="63" fillId="4" borderId="8" xfId="0" applyNumberFormat="1" applyFont="1" applyFill="1" applyBorder="1"/>
    <xf numFmtId="0" fontId="0" fillId="4" borderId="47" xfId="0" applyFill="1" applyBorder="1" applyAlignment="1">
      <alignment vertical="top"/>
    </xf>
    <xf numFmtId="0" fontId="0" fillId="4" borderId="19" xfId="0" applyFill="1" applyBorder="1"/>
    <xf numFmtId="49" fontId="42" fillId="4" borderId="39" xfId="0" applyNumberFormat="1" applyFont="1" applyFill="1" applyBorder="1" applyAlignment="1" applyProtection="1">
      <alignment horizontal="center" wrapText="1"/>
    </xf>
    <xf numFmtId="4" fontId="58" fillId="4" borderId="0" xfId="0" applyNumberFormat="1" applyFont="1" applyFill="1" applyBorder="1"/>
    <xf numFmtId="0" fontId="58" fillId="4" borderId="57" xfId="0" applyFont="1" applyFill="1" applyBorder="1" applyAlignment="1">
      <alignment horizontal="left" vertical="center"/>
    </xf>
    <xf numFmtId="0" fontId="62" fillId="4" borderId="49" xfId="0" applyFont="1" applyFill="1" applyBorder="1" applyAlignment="1"/>
    <xf numFmtId="0" fontId="62" fillId="4" borderId="43" xfId="0" applyFont="1" applyFill="1" applyBorder="1" applyAlignment="1"/>
    <xf numFmtId="0" fontId="72" fillId="4" borderId="8" xfId="0" applyFont="1" applyFill="1" applyBorder="1"/>
    <xf numFmtId="4" fontId="93" fillId="4" borderId="0" xfId="0" applyNumberFormat="1" applyFont="1" applyFill="1" applyBorder="1"/>
    <xf numFmtId="49" fontId="17" fillId="4" borderId="16" xfId="0" applyNumberFormat="1" applyFont="1" applyFill="1" applyBorder="1" applyAlignment="1" applyProtection="1">
      <alignment vertical="top" wrapText="1"/>
    </xf>
    <xf numFmtId="0" fontId="1" fillId="0" borderId="8" xfId="0" applyFont="1" applyFill="1" applyBorder="1" applyAlignment="1">
      <alignment horizontal="center" wrapText="1"/>
    </xf>
    <xf numFmtId="0" fontId="54" fillId="4" borderId="19" xfId="0" applyFont="1" applyFill="1" applyBorder="1" applyAlignment="1">
      <alignment horizontal="center"/>
    </xf>
    <xf numFmtId="0" fontId="39" fillId="0" borderId="0" xfId="0" applyFont="1" applyFill="1" applyAlignment="1">
      <alignment horizontal="center"/>
    </xf>
    <xf numFmtId="0" fontId="39" fillId="0" borderId="0" xfId="0" applyFont="1" applyFill="1" applyAlignment="1">
      <alignment horizontal="left"/>
    </xf>
    <xf numFmtId="0" fontId="39" fillId="0" borderId="8" xfId="0" applyFont="1" applyFill="1" applyBorder="1" applyAlignment="1">
      <alignment horizontal="center" wrapText="1"/>
    </xf>
    <xf numFmtId="0" fontId="39" fillId="0" borderId="0" xfId="0" applyFont="1" applyFill="1" applyAlignment="1">
      <alignment horizontal="center" wrapText="1"/>
    </xf>
    <xf numFmtId="0" fontId="39" fillId="0" borderId="0" xfId="0" applyFont="1" applyFill="1" applyAlignment="1">
      <alignment horizontal="right"/>
    </xf>
    <xf numFmtId="3" fontId="39" fillId="0" borderId="2" xfId="0" applyNumberFormat="1" applyFont="1" applyFill="1" applyBorder="1" applyAlignment="1">
      <alignment horizontal="center" wrapText="1"/>
    </xf>
    <xf numFmtId="0" fontId="39" fillId="0" borderId="2" xfId="0" applyFont="1" applyFill="1" applyBorder="1" applyAlignment="1">
      <alignment horizontal="center" wrapText="1"/>
    </xf>
    <xf numFmtId="0" fontId="58" fillId="4" borderId="2" xfId="0" applyFont="1" applyFill="1" applyBorder="1" applyAlignment="1">
      <alignment horizontal="left" vertical="center" wrapText="1"/>
    </xf>
    <xf numFmtId="0" fontId="58" fillId="4" borderId="19" xfId="0" applyFont="1" applyFill="1" applyBorder="1" applyAlignment="1">
      <alignment horizontal="left" vertical="center" wrapText="1"/>
    </xf>
    <xf numFmtId="0" fontId="63" fillId="4" borderId="37" xfId="0" applyFont="1" applyFill="1" applyBorder="1" applyAlignment="1">
      <alignment horizontal="left" vertical="center" wrapText="1"/>
    </xf>
    <xf numFmtId="0" fontId="63" fillId="4" borderId="19" xfId="0" applyFont="1" applyFill="1" applyBorder="1" applyAlignment="1">
      <alignment horizontal="left" vertical="center" wrapText="1"/>
    </xf>
    <xf numFmtId="49" fontId="51" fillId="4" borderId="47" xfId="0" applyNumberFormat="1" applyFont="1" applyFill="1" applyBorder="1" applyAlignment="1">
      <alignment horizontal="center"/>
    </xf>
    <xf numFmtId="49" fontId="51" fillId="4" borderId="19" xfId="0" applyNumberFormat="1" applyFont="1" applyFill="1" applyBorder="1" applyAlignment="1">
      <alignment horizontal="center"/>
    </xf>
    <xf numFmtId="49" fontId="51" fillId="4" borderId="2" xfId="0" applyNumberFormat="1" applyFont="1" applyFill="1" applyBorder="1" applyAlignment="1">
      <alignment horizontal="center"/>
    </xf>
    <xf numFmtId="0" fontId="0" fillId="4" borderId="19" xfId="0" applyFill="1" applyBorder="1" applyAlignment="1">
      <alignment horizontal="center" wrapText="1"/>
    </xf>
    <xf numFmtId="0" fontId="92" fillId="4" borderId="0" xfId="0" applyFont="1" applyFill="1"/>
    <xf numFmtId="0" fontId="4" fillId="4" borderId="0" xfId="0" applyFont="1" applyFill="1" applyBorder="1"/>
    <xf numFmtId="0" fontId="4" fillId="4" borderId="19" xfId="0" applyFont="1" applyFill="1" applyBorder="1" applyAlignment="1">
      <alignment vertical="top"/>
    </xf>
    <xf numFmtId="0" fontId="4" fillId="4" borderId="8" xfId="0" applyFont="1" applyFill="1" applyBorder="1" applyAlignment="1">
      <alignment vertical="top"/>
    </xf>
    <xf numFmtId="49" fontId="42" fillId="4" borderId="25" xfId="0" applyNumberFormat="1" applyFont="1" applyFill="1" applyBorder="1" applyAlignment="1" applyProtection="1">
      <alignment horizontal="justify" vertical="center" wrapText="1"/>
    </xf>
    <xf numFmtId="3" fontId="21" fillId="4" borderId="2" xfId="0" applyNumberFormat="1" applyFont="1" applyFill="1" applyBorder="1" applyAlignment="1">
      <alignment wrapText="1"/>
    </xf>
    <xf numFmtId="49" fontId="42" fillId="4" borderId="0" xfId="0" applyNumberFormat="1" applyFont="1" applyFill="1" applyBorder="1" applyAlignment="1" applyProtection="1">
      <alignment horizontal="justify" vertical="center" wrapText="1"/>
    </xf>
    <xf numFmtId="0" fontId="0" fillId="4" borderId="47" xfId="0" applyFill="1" applyBorder="1" applyAlignment="1">
      <alignment vertical="center"/>
    </xf>
    <xf numFmtId="0" fontId="0" fillId="4" borderId="19" xfId="0" applyFill="1" applyBorder="1" applyAlignment="1">
      <alignment horizontal="center"/>
    </xf>
    <xf numFmtId="0" fontId="0" fillId="4" borderId="0" xfId="0" applyFill="1" applyAlignment="1">
      <alignment vertical="center"/>
    </xf>
    <xf numFmtId="4" fontId="51" fillId="4" borderId="35" xfId="0" applyNumberFormat="1" applyFont="1" applyFill="1" applyBorder="1" applyAlignment="1" applyProtection="1">
      <alignment horizontal="right"/>
    </xf>
    <xf numFmtId="4" fontId="58" fillId="4" borderId="19" xfId="0" applyNumberFormat="1" applyFont="1" applyFill="1" applyBorder="1"/>
    <xf numFmtId="49" fontId="42" fillId="4" borderId="28" xfId="0" applyNumberFormat="1" applyFont="1" applyFill="1" applyBorder="1" applyAlignment="1" applyProtection="1">
      <alignment horizontal="justify" vertical="center" wrapText="1"/>
    </xf>
    <xf numFmtId="49" fontId="42" fillId="4" borderId="38" xfId="0" applyNumberFormat="1" applyFont="1" applyFill="1" applyBorder="1" applyAlignment="1" applyProtection="1">
      <alignment horizontal="center" wrapText="1"/>
    </xf>
    <xf numFmtId="0" fontId="58" fillId="4" borderId="57" xfId="0" applyFont="1" applyFill="1" applyBorder="1" applyAlignment="1">
      <alignment vertical="center" wrapText="1"/>
    </xf>
    <xf numFmtId="0" fontId="0" fillId="4" borderId="2" xfId="0" applyFill="1" applyBorder="1" applyAlignment="1">
      <alignment horizontal="center"/>
    </xf>
    <xf numFmtId="49" fontId="42" fillId="4" borderId="3" xfId="0" applyNumberFormat="1" applyFont="1" applyFill="1" applyBorder="1" applyAlignment="1" applyProtection="1">
      <alignment horizontal="center" wrapText="1"/>
    </xf>
    <xf numFmtId="0" fontId="0" fillId="4" borderId="0" xfId="0" applyFont="1" applyFill="1"/>
    <xf numFmtId="4" fontId="63" fillId="4" borderId="5" xfId="0" applyNumberFormat="1" applyFont="1" applyFill="1" applyBorder="1"/>
    <xf numFmtId="49" fontId="42" fillId="4" borderId="26" xfId="0" applyNumberFormat="1" applyFont="1" applyFill="1" applyBorder="1" applyAlignment="1" applyProtection="1">
      <alignment horizontal="justify" vertical="center" wrapText="1"/>
    </xf>
    <xf numFmtId="4" fontId="42" fillId="4" borderId="5" xfId="0" applyNumberFormat="1" applyFont="1" applyFill="1" applyBorder="1" applyAlignment="1" applyProtection="1">
      <alignment horizontal="right"/>
    </xf>
    <xf numFmtId="4" fontId="88" fillId="4" borderId="5" xfId="0" applyNumberFormat="1" applyFont="1" applyFill="1" applyBorder="1" applyAlignment="1" applyProtection="1">
      <alignment horizontal="right"/>
    </xf>
    <xf numFmtId="0" fontId="58" fillId="4" borderId="19" xfId="0" applyFont="1" applyFill="1" applyBorder="1" applyAlignment="1">
      <alignment horizontal="center" vertical="center" wrapText="1"/>
    </xf>
    <xf numFmtId="0" fontId="62" fillId="4" borderId="3" xfId="0" applyFont="1" applyFill="1" applyBorder="1" applyAlignment="1">
      <alignment wrapText="1"/>
    </xf>
    <xf numFmtId="49" fontId="54" fillId="4" borderId="8" xfId="0" applyNumberFormat="1" applyFont="1" applyFill="1" applyBorder="1" applyAlignment="1">
      <alignment horizontal="center"/>
    </xf>
    <xf numFmtId="0" fontId="62" fillId="4" borderId="0" xfId="0" applyFont="1" applyFill="1"/>
    <xf numFmtId="0" fontId="59" fillId="4" borderId="3" xfId="0" applyFont="1" applyFill="1" applyBorder="1" applyAlignment="1">
      <alignment horizontal="center" wrapText="1"/>
    </xf>
    <xf numFmtId="0" fontId="1" fillId="4" borderId="8" xfId="0" applyFont="1" applyFill="1" applyBorder="1" applyAlignment="1">
      <alignment horizontal="center" wrapText="1"/>
    </xf>
    <xf numFmtId="4" fontId="64" fillId="4" borderId="5" xfId="0" applyNumberFormat="1" applyFont="1" applyFill="1" applyBorder="1" applyAlignment="1"/>
    <xf numFmtId="0" fontId="59" fillId="4" borderId="8" xfId="0" applyFont="1" applyFill="1" applyBorder="1" applyAlignment="1">
      <alignment horizontal="center" wrapText="1"/>
    </xf>
    <xf numFmtId="49" fontId="63" fillId="4" borderId="8" xfId="0" applyNumberFormat="1" applyFont="1" applyFill="1" applyBorder="1" applyAlignment="1">
      <alignment horizontal="center"/>
    </xf>
    <xf numFmtId="49" fontId="42" fillId="4" borderId="21" xfId="0" applyNumberFormat="1" applyFont="1" applyFill="1" applyBorder="1" applyAlignment="1" applyProtection="1">
      <alignment horizontal="center" wrapText="1"/>
    </xf>
    <xf numFmtId="0" fontId="62" fillId="4" borderId="3" xfId="0" applyFont="1" applyFill="1" applyBorder="1"/>
    <xf numFmtId="4" fontId="62" fillId="4" borderId="5" xfId="0" applyNumberFormat="1" applyFont="1" applyFill="1" applyBorder="1"/>
    <xf numFmtId="49" fontId="17" fillId="4" borderId="26" xfId="0" applyNumberFormat="1" applyFont="1" applyFill="1" applyBorder="1" applyAlignment="1" applyProtection="1">
      <alignment horizontal="justify" vertical="center" wrapText="1"/>
    </xf>
    <xf numFmtId="49" fontId="84" fillId="4" borderId="8" xfId="0" applyNumberFormat="1" applyFont="1" applyFill="1" applyBorder="1" applyAlignment="1">
      <alignment horizontal="center"/>
    </xf>
    <xf numFmtId="0" fontId="4" fillId="4" borderId="3" xfId="0" applyFont="1" applyFill="1" applyBorder="1"/>
    <xf numFmtId="49" fontId="17" fillId="4" borderId="39" xfId="0" applyNumberFormat="1" applyFont="1" applyFill="1" applyBorder="1" applyAlignment="1" applyProtection="1">
      <alignment horizontal="center" wrapText="1"/>
    </xf>
    <xf numFmtId="4" fontId="17" fillId="4" borderId="35" xfId="0" applyNumberFormat="1" applyFont="1" applyFill="1" applyBorder="1" applyAlignment="1" applyProtection="1">
      <alignment horizontal="right"/>
    </xf>
    <xf numFmtId="4" fontId="93" fillId="4" borderId="5" xfId="0" applyNumberFormat="1" applyFont="1" applyFill="1" applyBorder="1"/>
    <xf numFmtId="0" fontId="0" fillId="4" borderId="3" xfId="0" applyFill="1" applyBorder="1"/>
    <xf numFmtId="0" fontId="58" fillId="4" borderId="8" xfId="0" applyFont="1" applyFill="1" applyBorder="1" applyAlignment="1">
      <alignment vertical="center" wrapText="1"/>
    </xf>
    <xf numFmtId="49" fontId="62" fillId="4" borderId="8" xfId="0" applyNumberFormat="1" applyFont="1" applyFill="1" applyBorder="1" applyAlignment="1">
      <alignment horizontal="center"/>
    </xf>
    <xf numFmtId="0" fontId="63" fillId="4" borderId="0" xfId="0" applyFont="1" applyFill="1" applyBorder="1" applyAlignment="1">
      <alignment wrapText="1"/>
    </xf>
    <xf numFmtId="4" fontId="17" fillId="4" borderId="8" xfId="0" applyNumberFormat="1" applyFont="1" applyFill="1" applyBorder="1" applyAlignment="1" applyProtection="1">
      <alignment horizontal="right"/>
    </xf>
    <xf numFmtId="0" fontId="0" fillId="4" borderId="19" xfId="0" applyFill="1" applyBorder="1" applyAlignment="1">
      <alignment horizontal="left" vertical="center" wrapText="1"/>
    </xf>
    <xf numFmtId="0" fontId="67" fillId="4" borderId="8" xfId="0" applyFont="1" applyFill="1" applyBorder="1" applyAlignment="1">
      <alignment horizontal="center"/>
    </xf>
    <xf numFmtId="0" fontId="67" fillId="4" borderId="8" xfId="0" applyFont="1" applyFill="1" applyBorder="1"/>
    <xf numFmtId="0" fontId="0" fillId="4" borderId="8" xfId="0" applyFill="1" applyBorder="1" applyAlignment="1">
      <alignment wrapText="1"/>
    </xf>
    <xf numFmtId="49" fontId="42" fillId="4" borderId="54" xfId="0" applyNumberFormat="1" applyFont="1" applyFill="1" applyBorder="1" applyAlignment="1" applyProtection="1">
      <alignment horizontal="center" wrapText="1"/>
    </xf>
    <xf numFmtId="49" fontId="42" fillId="4" borderId="27" xfId="0" applyNumberFormat="1" applyFont="1" applyFill="1" applyBorder="1" applyAlignment="1" applyProtection="1">
      <alignment horizontal="justify" vertical="center" wrapText="1"/>
    </xf>
    <xf numFmtId="0" fontId="59" fillId="4" borderId="2" xfId="0" applyFont="1" applyFill="1" applyBorder="1" applyAlignment="1">
      <alignment horizontal="left" wrapText="1"/>
    </xf>
    <xf numFmtId="0" fontId="75" fillId="4" borderId="8" xfId="0" applyFont="1" applyFill="1" applyBorder="1" applyAlignment="1">
      <alignment horizontal="center"/>
    </xf>
    <xf numFmtId="0" fontId="94" fillId="4" borderId="8" xfId="0" applyFont="1" applyFill="1" applyBorder="1"/>
    <xf numFmtId="4" fontId="93" fillId="4" borderId="8" xfId="0" applyNumberFormat="1" applyFont="1" applyFill="1" applyBorder="1"/>
    <xf numFmtId="0" fontId="75" fillId="4" borderId="8" xfId="0" applyFont="1" applyFill="1" applyBorder="1"/>
    <xf numFmtId="0" fontId="68" fillId="4" borderId="19" xfId="0" applyFont="1" applyFill="1" applyBorder="1" applyAlignment="1">
      <alignment horizontal="left" vertical="center"/>
    </xf>
    <xf numFmtId="0" fontId="0" fillId="4" borderId="8" xfId="0" applyFont="1" applyFill="1" applyBorder="1" applyAlignment="1">
      <alignment horizontal="center"/>
    </xf>
    <xf numFmtId="49" fontId="51" fillId="4" borderId="25" xfId="0" applyNumberFormat="1" applyFont="1" applyFill="1" applyBorder="1" applyAlignment="1" applyProtection="1">
      <alignment horizontal="justify" vertical="center" wrapText="1"/>
    </xf>
    <xf numFmtId="0" fontId="0" fillId="4" borderId="2" xfId="0" applyFont="1" applyFill="1" applyBorder="1"/>
    <xf numFmtId="49" fontId="51" fillId="4" borderId="36" xfId="0" applyNumberFormat="1" applyFont="1" applyFill="1" applyBorder="1" applyAlignment="1" applyProtection="1">
      <alignment horizontal="center" wrapText="1"/>
    </xf>
    <xf numFmtId="49" fontId="51" fillId="4" borderId="33" xfId="0" applyNumberFormat="1" applyFont="1" applyFill="1" applyBorder="1" applyAlignment="1" applyProtection="1">
      <alignment horizontal="center" wrapText="1"/>
    </xf>
    <xf numFmtId="4" fontId="51" fillId="4" borderId="34" xfId="0" applyNumberFormat="1" applyFont="1" applyFill="1" applyBorder="1" applyAlignment="1" applyProtection="1">
      <alignment horizontal="right"/>
    </xf>
    <xf numFmtId="0" fontId="0" fillId="4" borderId="0" xfId="0" applyFont="1" applyFill="1" applyBorder="1"/>
    <xf numFmtId="0" fontId="58" fillId="4" borderId="57" xfId="0" applyFont="1" applyFill="1" applyBorder="1" applyAlignment="1">
      <alignment horizontal="left" vertical="center" wrapText="1"/>
    </xf>
    <xf numFmtId="0" fontId="0" fillId="4" borderId="5" xfId="0" applyFill="1" applyBorder="1"/>
    <xf numFmtId="0" fontId="0" fillId="4" borderId="57" xfId="0" applyFill="1" applyBorder="1" applyAlignment="1">
      <alignment horizontal="left" wrapText="1"/>
    </xf>
    <xf numFmtId="4" fontId="17" fillId="4" borderId="0" xfId="0" applyNumberFormat="1" applyFont="1" applyFill="1" applyBorder="1" applyAlignment="1" applyProtection="1">
      <alignment horizontal="right"/>
    </xf>
    <xf numFmtId="0" fontId="54" fillId="4" borderId="2" xfId="0" applyFont="1" applyFill="1" applyBorder="1" applyAlignment="1">
      <alignment horizontal="center"/>
    </xf>
    <xf numFmtId="0" fontId="17" fillId="4" borderId="2" xfId="0" applyFont="1" applyFill="1" applyBorder="1" applyAlignment="1">
      <alignment wrapText="1"/>
    </xf>
    <xf numFmtId="49" fontId="17" fillId="4" borderId="2" xfId="0" applyNumberFormat="1" applyFont="1" applyFill="1" applyBorder="1" applyAlignment="1">
      <alignment horizontal="center"/>
    </xf>
    <xf numFmtId="0" fontId="73" fillId="4" borderId="2" xfId="0" applyFont="1" applyFill="1" applyBorder="1"/>
    <xf numFmtId="49" fontId="17" fillId="4" borderId="36" xfId="0" applyNumberFormat="1" applyFont="1" applyFill="1" applyBorder="1" applyAlignment="1" applyProtection="1">
      <alignment horizontal="center" wrapText="1"/>
    </xf>
    <xf numFmtId="0" fontId="66" fillId="4" borderId="2" xfId="0" applyFont="1" applyFill="1" applyBorder="1"/>
    <xf numFmtId="4" fontId="54" fillId="4" borderId="2" xfId="0" applyNumberFormat="1" applyFont="1" applyFill="1" applyBorder="1"/>
    <xf numFmtId="49" fontId="17" fillId="4" borderId="36" xfId="0" applyNumberFormat="1" applyFont="1" applyFill="1" applyBorder="1" applyAlignment="1" applyProtection="1">
      <alignment horizontal="justify" vertical="center" wrapText="1"/>
    </xf>
    <xf numFmtId="0" fontId="73" fillId="4" borderId="5" xfId="0" applyFont="1" applyFill="1" applyBorder="1"/>
    <xf numFmtId="0" fontId="73" fillId="4" borderId="8" xfId="0" applyFont="1" applyFill="1" applyBorder="1"/>
    <xf numFmtId="0" fontId="73" fillId="4" borderId="3" xfId="0" applyFont="1" applyFill="1" applyBorder="1"/>
    <xf numFmtId="49" fontId="17" fillId="4" borderId="38" xfId="0" applyNumberFormat="1" applyFont="1" applyFill="1" applyBorder="1" applyAlignment="1" applyProtection="1">
      <alignment horizontal="center" wrapText="1"/>
    </xf>
    <xf numFmtId="0" fontId="84" fillId="4" borderId="8" xfId="0" applyFont="1" applyFill="1" applyBorder="1" applyAlignment="1">
      <alignment wrapText="1"/>
    </xf>
    <xf numFmtId="0" fontId="54" fillId="4" borderId="8" xfId="0" applyFont="1" applyFill="1" applyBorder="1" applyAlignment="1">
      <alignment horizontal="center"/>
    </xf>
    <xf numFmtId="0" fontId="73" fillId="4" borderId="0" xfId="0" applyFont="1" applyFill="1"/>
    <xf numFmtId="4" fontId="54" fillId="4" borderId="8" xfId="0" applyNumberFormat="1" applyFont="1" applyFill="1" applyBorder="1"/>
    <xf numFmtId="49" fontId="65" fillId="4" borderId="21" xfId="0" applyNumberFormat="1" applyFont="1" applyFill="1" applyBorder="1" applyAlignment="1" applyProtection="1">
      <alignment horizontal="center" wrapText="1"/>
    </xf>
    <xf numFmtId="49" fontId="65" fillId="4" borderId="21" xfId="0" applyNumberFormat="1" applyFont="1" applyFill="1" applyBorder="1" applyAlignment="1" applyProtection="1">
      <alignment horizontal="center" vertical="center" wrapText="1"/>
    </xf>
    <xf numFmtId="4" fontId="58" fillId="4" borderId="2" xfId="0" applyNumberFormat="1" applyFont="1" applyFill="1" applyBorder="1"/>
    <xf numFmtId="49" fontId="17" fillId="4" borderId="29" xfId="0" applyNumberFormat="1" applyFont="1" applyFill="1" applyBorder="1" applyAlignment="1" applyProtection="1">
      <alignment horizontal="justify" vertical="center" wrapText="1"/>
    </xf>
    <xf numFmtId="0" fontId="73" fillId="4" borderId="15" xfId="0" applyFont="1" applyFill="1" applyBorder="1"/>
    <xf numFmtId="0" fontId="73" fillId="4" borderId="14" xfId="0" applyFont="1" applyFill="1" applyBorder="1"/>
    <xf numFmtId="49" fontId="1" fillId="4" borderId="8" xfId="0" applyNumberFormat="1" applyFont="1" applyFill="1" applyBorder="1" applyAlignment="1">
      <alignment horizontal="left" wrapText="1"/>
    </xf>
    <xf numFmtId="49" fontId="17" fillId="4" borderId="25" xfId="0" applyNumberFormat="1" applyFont="1" applyFill="1" applyBorder="1" applyAlignment="1" applyProtection="1">
      <alignment horizontal="justify" vertical="center" wrapText="1"/>
    </xf>
    <xf numFmtId="49" fontId="21" fillId="4" borderId="2" xfId="0" applyNumberFormat="1" applyFont="1" applyFill="1" applyBorder="1" applyAlignment="1" applyProtection="1">
      <alignment vertical="center" wrapText="1"/>
    </xf>
    <xf numFmtId="49" fontId="17" fillId="4" borderId="8" xfId="0" applyNumberFormat="1" applyFont="1" applyFill="1" applyBorder="1" applyAlignment="1" applyProtection="1">
      <alignment vertical="center" wrapText="1"/>
    </xf>
    <xf numFmtId="49" fontId="17" fillId="4" borderId="19" xfId="0" applyNumberFormat="1" applyFont="1" applyFill="1" applyBorder="1" applyAlignment="1">
      <alignment horizontal="center"/>
    </xf>
    <xf numFmtId="49" fontId="17" fillId="4" borderId="16" xfId="0" applyNumberFormat="1" applyFont="1" applyFill="1" applyBorder="1" applyAlignment="1" applyProtection="1">
      <alignment horizontal="center" wrapText="1"/>
    </xf>
    <xf numFmtId="49" fontId="17" fillId="4" borderId="3" xfId="0" applyNumberFormat="1" applyFont="1" applyFill="1" applyBorder="1" applyAlignment="1" applyProtection="1">
      <alignment horizontal="center" wrapText="1"/>
    </xf>
    <xf numFmtId="4" fontId="18" fillId="4" borderId="5" xfId="0" applyNumberFormat="1" applyFont="1" applyFill="1" applyBorder="1" applyAlignment="1" applyProtection="1">
      <alignment horizontal="right"/>
    </xf>
    <xf numFmtId="4" fontId="54" fillId="4" borderId="5" xfId="0" applyNumberFormat="1" applyFont="1" applyFill="1" applyBorder="1"/>
    <xf numFmtId="0" fontId="21" fillId="4" borderId="8" xfId="0" applyFont="1" applyFill="1" applyBorder="1"/>
    <xf numFmtId="49" fontId="18" fillId="4" borderId="8" xfId="0" applyNumberFormat="1" applyFont="1" applyFill="1" applyBorder="1" applyAlignment="1">
      <alignment horizontal="center"/>
    </xf>
    <xf numFmtId="0" fontId="33" fillId="4" borderId="8" xfId="0" applyFont="1" applyFill="1" applyBorder="1"/>
    <xf numFmtId="49" fontId="18" fillId="4" borderId="38" xfId="0" applyNumberFormat="1" applyFont="1" applyFill="1" applyBorder="1" applyAlignment="1" applyProtection="1">
      <alignment horizontal="center" wrapText="1"/>
    </xf>
    <xf numFmtId="0" fontId="74" fillId="4" borderId="8" xfId="0" applyFont="1" applyFill="1" applyBorder="1"/>
    <xf numFmtId="0" fontId="58" fillId="4" borderId="8" xfId="0" applyFont="1" applyFill="1" applyBorder="1"/>
    <xf numFmtId="0" fontId="39" fillId="4" borderId="8" xfId="0" applyFont="1" applyFill="1" applyBorder="1" applyAlignment="1">
      <alignment wrapText="1"/>
    </xf>
    <xf numFmtId="0" fontId="17" fillId="4" borderId="8" xfId="0" applyFont="1" applyFill="1" applyBorder="1" applyAlignment="1">
      <alignment wrapText="1"/>
    </xf>
    <xf numFmtId="4" fontId="18" fillId="4" borderId="8" xfId="0" applyNumberFormat="1" applyFont="1" applyFill="1" applyBorder="1" applyAlignment="1" applyProtection="1">
      <alignment horizontal="right"/>
    </xf>
    <xf numFmtId="49" fontId="89" fillId="4" borderId="8" xfId="0" applyNumberFormat="1" applyFont="1" applyFill="1" applyBorder="1" applyAlignment="1" applyProtection="1">
      <alignment horizontal="justify" vertical="center" wrapText="1"/>
    </xf>
    <xf numFmtId="0" fontId="95" fillId="4" borderId="19" xfId="0" applyFont="1" applyFill="1" applyBorder="1" applyAlignment="1">
      <alignment horizontal="center"/>
    </xf>
    <xf numFmtId="0" fontId="96" fillId="4" borderId="8" xfId="0" applyFont="1" applyFill="1" applyBorder="1"/>
    <xf numFmtId="0" fontId="39" fillId="0" borderId="0" xfId="0" applyFont="1" applyFill="1" applyAlignment="1">
      <alignment horizontal="center"/>
    </xf>
    <xf numFmtId="3" fontId="39" fillId="0" borderId="2" xfId="0" applyNumberFormat="1" applyFont="1" applyFill="1" applyBorder="1" applyAlignment="1">
      <alignment horizontal="center" wrapText="1"/>
    </xf>
    <xf numFmtId="0" fontId="39" fillId="0" borderId="2" xfId="0" applyFont="1" applyFill="1" applyBorder="1" applyAlignment="1">
      <alignment horizontal="center" wrapText="1"/>
    </xf>
    <xf numFmtId="0" fontId="58" fillId="4" borderId="2" xfId="0" applyFont="1" applyFill="1" applyBorder="1" applyAlignment="1">
      <alignment horizontal="left" vertical="center" wrapText="1"/>
    </xf>
    <xf numFmtId="0" fontId="58" fillId="4" borderId="19" xfId="0" applyFont="1" applyFill="1" applyBorder="1" applyAlignment="1">
      <alignment horizontal="left" vertical="center" wrapText="1"/>
    </xf>
    <xf numFmtId="0" fontId="39" fillId="0" borderId="0" xfId="0" applyFont="1" applyFill="1" applyAlignment="1">
      <alignment horizontal="left"/>
    </xf>
    <xf numFmtId="0" fontId="39" fillId="0" borderId="8" xfId="0" applyFont="1" applyFill="1" applyBorder="1" applyAlignment="1">
      <alignment horizontal="center" wrapText="1"/>
    </xf>
    <xf numFmtId="0" fontId="39" fillId="0" borderId="0" xfId="0" applyFont="1" applyFill="1" applyAlignment="1">
      <alignment horizontal="center" wrapText="1"/>
    </xf>
    <xf numFmtId="0" fontId="58" fillId="4" borderId="19" xfId="0" applyFont="1" applyFill="1" applyBorder="1" applyAlignment="1">
      <alignment horizontal="center" vertical="center" wrapText="1"/>
    </xf>
    <xf numFmtId="0" fontId="0" fillId="4" borderId="19" xfId="0" applyFill="1" applyBorder="1" applyAlignment="1">
      <alignment horizontal="center" wrapText="1"/>
    </xf>
    <xf numFmtId="0" fontId="63" fillId="4" borderId="37" xfId="0" applyFont="1" applyFill="1" applyBorder="1" applyAlignment="1">
      <alignment horizontal="left" vertical="center" wrapText="1"/>
    </xf>
    <xf numFmtId="0" fontId="63" fillId="4" borderId="19" xfId="0" applyFont="1" applyFill="1" applyBorder="1" applyAlignment="1">
      <alignment horizontal="left" vertical="center" wrapText="1"/>
    </xf>
    <xf numFmtId="0" fontId="0" fillId="4" borderId="19" xfId="0" applyFill="1" applyBorder="1" applyAlignment="1">
      <alignment horizontal="left" vertical="center" wrapText="1"/>
    </xf>
    <xf numFmtId="0" fontId="0" fillId="4" borderId="19" xfId="0" applyFill="1" applyBorder="1" applyAlignment="1">
      <alignment horizontal="center"/>
    </xf>
    <xf numFmtId="0" fontId="68" fillId="4" borderId="19" xfId="0" applyFont="1" applyFill="1" applyBorder="1" applyAlignment="1">
      <alignment horizontal="left" vertical="center"/>
    </xf>
    <xf numFmtId="49" fontId="51" fillId="4" borderId="2" xfId="0" applyNumberFormat="1" applyFont="1" applyFill="1" applyBorder="1" applyAlignment="1">
      <alignment horizontal="center"/>
    </xf>
    <xf numFmtId="49" fontId="51" fillId="4" borderId="19" xfId="0" applyNumberFormat="1" applyFont="1" applyFill="1" applyBorder="1" applyAlignment="1">
      <alignment horizontal="center"/>
    </xf>
    <xf numFmtId="49" fontId="51" fillId="4" borderId="47" xfId="0" applyNumberFormat="1" applyFont="1" applyFill="1" applyBorder="1" applyAlignment="1">
      <alignment horizontal="center"/>
    </xf>
    <xf numFmtId="0" fontId="54" fillId="4" borderId="19" xfId="0" applyFont="1" applyFill="1" applyBorder="1" applyAlignment="1">
      <alignment horizontal="center"/>
    </xf>
    <xf numFmtId="0" fontId="54" fillId="4" borderId="2" xfId="0" applyFont="1" applyFill="1" applyBorder="1" applyAlignment="1">
      <alignment horizontal="center"/>
    </xf>
    <xf numFmtId="49" fontId="17" fillId="4" borderId="19" xfId="0" applyNumberFormat="1" applyFont="1" applyFill="1" applyBorder="1" applyAlignment="1">
      <alignment horizontal="center"/>
    </xf>
    <xf numFmtId="49" fontId="17" fillId="4" borderId="2" xfId="0" applyNumberFormat="1" applyFont="1" applyFill="1" applyBorder="1" applyAlignment="1">
      <alignment horizontal="center"/>
    </xf>
    <xf numFmtId="0" fontId="39" fillId="0" borderId="0" xfId="0" applyFont="1" applyFill="1" applyAlignment="1">
      <alignment horizontal="right"/>
    </xf>
    <xf numFmtId="0" fontId="58" fillId="4" borderId="57" xfId="0" applyFont="1" applyFill="1" applyBorder="1" applyAlignment="1">
      <alignment horizontal="left" vertical="center"/>
    </xf>
    <xf numFmtId="4" fontId="87" fillId="4" borderId="34" xfId="0" applyNumberFormat="1" applyFont="1" applyFill="1" applyBorder="1" applyAlignment="1" applyProtection="1">
      <alignment horizontal="right"/>
    </xf>
    <xf numFmtId="0" fontId="92" fillId="4" borderId="16" xfId="0" applyFont="1" applyFill="1" applyBorder="1" applyAlignment="1">
      <alignment horizontal="center"/>
    </xf>
    <xf numFmtId="49" fontId="87" fillId="4" borderId="58" xfId="0" applyNumberFormat="1" applyFont="1" applyFill="1" applyBorder="1" applyAlignment="1" applyProtection="1">
      <alignment horizontal="left" vertical="center" wrapText="1"/>
    </xf>
    <xf numFmtId="49" fontId="87" fillId="4" borderId="8" xfId="0" applyNumberFormat="1" applyFont="1" applyFill="1" applyBorder="1" applyAlignment="1">
      <alignment horizontal="center"/>
    </xf>
    <xf numFmtId="0" fontId="92" fillId="4" borderId="8" xfId="0" applyFont="1" applyFill="1" applyBorder="1" applyAlignment="1">
      <alignment horizontal="center"/>
    </xf>
    <xf numFmtId="49" fontId="87" fillId="4" borderId="8" xfId="0" applyNumberFormat="1" applyFont="1" applyFill="1" applyBorder="1" applyAlignment="1" applyProtection="1">
      <alignment horizontal="center" wrapText="1"/>
    </xf>
    <xf numFmtId="49" fontId="87" fillId="4" borderId="33" xfId="0" applyNumberFormat="1" applyFont="1" applyFill="1" applyBorder="1" applyAlignment="1" applyProtection="1">
      <alignment horizontal="center" wrapText="1"/>
    </xf>
    <xf numFmtId="0" fontId="92" fillId="4" borderId="0" xfId="0" applyFont="1" applyFill="1" applyBorder="1"/>
    <xf numFmtId="0" fontId="0" fillId="4" borderId="8" xfId="0" applyFill="1" applyBorder="1" applyAlignment="1">
      <alignment vertical="center"/>
    </xf>
    <xf numFmtId="4" fontId="86" fillId="4" borderId="34" xfId="0" applyNumberFormat="1" applyFont="1" applyFill="1" applyBorder="1" applyAlignment="1" applyProtection="1">
      <alignment horizontal="right"/>
    </xf>
    <xf numFmtId="0" fontId="51" fillId="4" borderId="8" xfId="0" applyFont="1" applyFill="1" applyBorder="1" applyAlignment="1">
      <alignment wrapText="1"/>
    </xf>
    <xf numFmtId="4" fontId="84" fillId="4" borderId="5" xfId="0" applyNumberFormat="1" applyFont="1" applyFill="1" applyBorder="1"/>
    <xf numFmtId="49" fontId="42" fillId="4" borderId="62" xfId="0" applyNumberFormat="1" applyFont="1" applyFill="1" applyBorder="1" applyAlignment="1" applyProtection="1">
      <alignment horizontal="center" wrapText="1"/>
    </xf>
    <xf numFmtId="0" fontId="59" fillId="0" borderId="0" xfId="0" applyFont="1" applyFill="1" applyBorder="1" applyAlignment="1">
      <alignment horizontal="center" wrapText="1"/>
    </xf>
    <xf numFmtId="0" fontId="21" fillId="0" borderId="8" xfId="0" applyFont="1" applyFill="1" applyBorder="1" applyAlignment="1">
      <alignment wrapText="1"/>
    </xf>
    <xf numFmtId="4" fontId="59" fillId="0" borderId="8" xfId="0" applyNumberFormat="1" applyFont="1" applyFill="1" applyBorder="1" applyAlignment="1">
      <alignment wrapText="1"/>
    </xf>
    <xf numFmtId="3" fontId="39" fillId="4" borderId="0" xfId="0" applyNumberFormat="1" applyFont="1" applyFill="1"/>
    <xf numFmtId="0" fontId="39" fillId="4" borderId="0" xfId="0" applyFont="1" applyFill="1" applyAlignment="1">
      <alignment horizontal="left"/>
    </xf>
    <xf numFmtId="4" fontId="59" fillId="4" borderId="8" xfId="0" applyNumberFormat="1" applyFont="1" applyFill="1" applyBorder="1" applyAlignment="1">
      <alignment wrapText="1"/>
    </xf>
    <xf numFmtId="4" fontId="87" fillId="4" borderId="8" xfId="0" applyNumberFormat="1" applyFont="1" applyFill="1" applyBorder="1" applyAlignment="1" applyProtection="1">
      <alignment horizontal="right"/>
    </xf>
    <xf numFmtId="4" fontId="85" fillId="4" borderId="5" xfId="0" applyNumberFormat="1" applyFont="1" applyFill="1" applyBorder="1"/>
    <xf numFmtId="4" fontId="78" fillId="4" borderId="5" xfId="0" applyNumberFormat="1" applyFont="1" applyFill="1" applyBorder="1" applyAlignment="1" applyProtection="1">
      <alignment horizontal="right"/>
    </xf>
    <xf numFmtId="0" fontId="0" fillId="4" borderId="5" xfId="0" applyFont="1" applyFill="1" applyBorder="1"/>
    <xf numFmtId="4" fontId="86" fillId="4" borderId="29" xfId="0" applyNumberFormat="1" applyFont="1" applyFill="1" applyBorder="1" applyAlignment="1" applyProtection="1">
      <alignment horizontal="right"/>
    </xf>
    <xf numFmtId="4" fontId="87" fillId="4" borderId="40" xfId="0" applyNumberFormat="1" applyFont="1" applyFill="1" applyBorder="1" applyAlignment="1" applyProtection="1">
      <alignment horizontal="right"/>
    </xf>
    <xf numFmtId="4" fontId="86" fillId="4" borderId="40" xfId="0" applyNumberFormat="1" applyFont="1" applyFill="1" applyBorder="1" applyAlignment="1" applyProtection="1">
      <alignment horizontal="right"/>
    </xf>
    <xf numFmtId="4" fontId="78" fillId="4" borderId="5" xfId="0" applyNumberFormat="1" applyFont="1" applyFill="1" applyBorder="1"/>
    <xf numFmtId="4" fontId="18" fillId="4" borderId="5" xfId="0" applyNumberFormat="1" applyFont="1" applyFill="1" applyBorder="1"/>
    <xf numFmtId="4" fontId="17" fillId="4" borderId="8" xfId="0" applyNumberFormat="1" applyFont="1" applyFill="1" applyBorder="1"/>
    <xf numFmtId="4" fontId="18" fillId="4" borderId="8" xfId="0" applyNumberFormat="1" applyFont="1" applyFill="1" applyBorder="1"/>
    <xf numFmtId="4" fontId="78" fillId="4" borderId="8" xfId="0" applyNumberFormat="1" applyFont="1" applyFill="1" applyBorder="1"/>
    <xf numFmtId="4" fontId="39" fillId="4" borderId="0" xfId="0" applyNumberFormat="1" applyFont="1" applyFill="1"/>
    <xf numFmtId="0" fontId="39" fillId="0" borderId="0" xfId="0" applyFont="1" applyFill="1" applyAlignment="1">
      <alignment horizontal="center"/>
    </xf>
    <xf numFmtId="3" fontId="39" fillId="0" borderId="2" xfId="0" applyNumberFormat="1" applyFont="1" applyFill="1" applyBorder="1" applyAlignment="1">
      <alignment horizontal="center" wrapText="1"/>
    </xf>
    <xf numFmtId="0" fontId="39" fillId="0" borderId="2" xfId="0" applyFont="1" applyFill="1" applyBorder="1" applyAlignment="1">
      <alignment horizontal="center" wrapText="1"/>
    </xf>
    <xf numFmtId="0" fontId="58" fillId="4" borderId="2" xfId="0" applyFont="1" applyFill="1" applyBorder="1" applyAlignment="1">
      <alignment horizontal="left" vertical="center" wrapText="1"/>
    </xf>
    <xf numFmtId="0" fontId="58" fillId="4" borderId="57" xfId="0" applyFont="1" applyFill="1" applyBorder="1" applyAlignment="1">
      <alignment horizontal="left" vertical="center" wrapText="1"/>
    </xf>
    <xf numFmtId="0" fontId="58" fillId="4" borderId="19" xfId="0" applyFont="1" applyFill="1" applyBorder="1" applyAlignment="1">
      <alignment horizontal="left" vertical="center" wrapText="1"/>
    </xf>
    <xf numFmtId="0" fontId="58" fillId="4" borderId="19" xfId="0" applyFont="1" applyFill="1" applyBorder="1" applyAlignment="1">
      <alignment horizontal="center" vertical="center" wrapText="1"/>
    </xf>
    <xf numFmtId="0" fontId="63" fillId="4" borderId="37" xfId="0" applyFont="1" applyFill="1" applyBorder="1" applyAlignment="1">
      <alignment horizontal="left" vertical="center" wrapText="1"/>
    </xf>
    <xf numFmtId="0" fontId="63" fillId="4" borderId="19" xfId="0" applyFont="1" applyFill="1" applyBorder="1" applyAlignment="1">
      <alignment horizontal="left" vertical="center" wrapText="1"/>
    </xf>
    <xf numFmtId="0" fontId="68" fillId="4" borderId="19" xfId="0" applyFont="1" applyFill="1" applyBorder="1" applyAlignment="1">
      <alignment horizontal="left" vertical="center"/>
    </xf>
    <xf numFmtId="49" fontId="51" fillId="4" borderId="2" xfId="0" applyNumberFormat="1" applyFont="1" applyFill="1" applyBorder="1" applyAlignment="1">
      <alignment horizontal="center"/>
    </xf>
    <xf numFmtId="49" fontId="51" fillId="4" borderId="19" xfId="0" applyNumberFormat="1" applyFont="1" applyFill="1" applyBorder="1" applyAlignment="1">
      <alignment horizontal="center"/>
    </xf>
    <xf numFmtId="0" fontId="39" fillId="0" borderId="0" xfId="0" applyFont="1" applyFill="1" applyAlignment="1">
      <alignment horizontal="left"/>
    </xf>
    <xf numFmtId="0" fontId="39" fillId="0" borderId="8" xfId="0" applyFont="1" applyFill="1" applyBorder="1" applyAlignment="1">
      <alignment horizontal="center" wrapText="1"/>
    </xf>
    <xf numFmtId="0" fontId="39" fillId="0" borderId="0" xfId="0" applyFont="1" applyFill="1" applyAlignment="1">
      <alignment horizontal="center" wrapText="1"/>
    </xf>
    <xf numFmtId="0" fontId="0" fillId="4" borderId="19" xfId="0" applyFill="1" applyBorder="1" applyAlignment="1">
      <alignment horizontal="left" vertical="center" wrapText="1"/>
    </xf>
    <xf numFmtId="0" fontId="0" fillId="4" borderId="19" xfId="0" applyFill="1" applyBorder="1" applyAlignment="1">
      <alignment horizontal="center" wrapText="1"/>
    </xf>
    <xf numFmtId="0" fontId="0" fillId="4" borderId="19" xfId="0" applyFill="1" applyBorder="1" applyAlignment="1">
      <alignment horizontal="center"/>
    </xf>
    <xf numFmtId="49" fontId="51" fillId="4" borderId="47" xfId="0" applyNumberFormat="1" applyFont="1" applyFill="1" applyBorder="1" applyAlignment="1">
      <alignment horizontal="center"/>
    </xf>
    <xf numFmtId="0" fontId="54" fillId="4" borderId="19" xfId="0" applyFont="1" applyFill="1" applyBorder="1" applyAlignment="1">
      <alignment horizontal="center"/>
    </xf>
    <xf numFmtId="0" fontId="54" fillId="4" borderId="2" xfId="0" applyFont="1" applyFill="1" applyBorder="1" applyAlignment="1">
      <alignment horizontal="center"/>
    </xf>
    <xf numFmtId="49" fontId="17" fillId="4" borderId="19" xfId="0" applyNumberFormat="1" applyFont="1" applyFill="1" applyBorder="1" applyAlignment="1">
      <alignment horizontal="center"/>
    </xf>
    <xf numFmtId="49" fontId="17" fillId="4" borderId="2" xfId="0" applyNumberFormat="1" applyFont="1" applyFill="1" applyBorder="1" applyAlignment="1">
      <alignment horizontal="center"/>
    </xf>
    <xf numFmtId="0" fontId="39" fillId="0" borderId="0" xfId="0" applyFont="1" applyFill="1" applyAlignment="1">
      <alignment horizontal="right"/>
    </xf>
    <xf numFmtId="0" fontId="58" fillId="4" borderId="57" xfId="0" applyFont="1" applyFill="1" applyBorder="1" applyAlignment="1">
      <alignment horizontal="left" vertical="center"/>
    </xf>
    <xf numFmtId="4" fontId="65" fillId="4" borderId="29" xfId="0" applyNumberFormat="1" applyFont="1" applyFill="1" applyBorder="1" applyAlignment="1" applyProtection="1">
      <alignment horizontal="right"/>
    </xf>
    <xf numFmtId="0" fontId="4" fillId="4" borderId="16" xfId="0" applyFont="1" applyFill="1" applyBorder="1" applyAlignment="1">
      <alignment horizontal="center"/>
    </xf>
    <xf numFmtId="49" fontId="17" fillId="4" borderId="58" xfId="0" applyNumberFormat="1" applyFont="1" applyFill="1" applyBorder="1" applyAlignment="1" applyProtection="1">
      <alignment horizontal="left" vertical="center" wrapText="1"/>
    </xf>
    <xf numFmtId="4" fontId="86" fillId="4" borderId="5" xfId="0" applyNumberFormat="1" applyFont="1" applyFill="1" applyBorder="1" applyAlignment="1" applyProtection="1">
      <alignment horizontal="right"/>
    </xf>
    <xf numFmtId="4" fontId="86" fillId="4" borderId="8" xfId="0" applyNumberFormat="1" applyFont="1" applyFill="1" applyBorder="1"/>
    <xf numFmtId="0" fontId="0" fillId="3" borderId="8" xfId="0" applyFill="1" applyBorder="1"/>
    <xf numFmtId="0" fontId="0" fillId="3" borderId="0" xfId="0" applyFill="1"/>
    <xf numFmtId="0" fontId="39" fillId="0" borderId="0" xfId="0" applyFont="1" applyFill="1" applyAlignment="1">
      <alignment horizontal="center"/>
    </xf>
    <xf numFmtId="3" fontId="39" fillId="0" borderId="2" xfId="0" applyNumberFormat="1" applyFont="1" applyFill="1" applyBorder="1" applyAlignment="1">
      <alignment horizontal="center" wrapText="1"/>
    </xf>
    <xf numFmtId="0" fontId="39" fillId="0" borderId="2" xfId="0" applyFont="1" applyFill="1" applyBorder="1" applyAlignment="1">
      <alignment horizontal="center" wrapText="1"/>
    </xf>
    <xf numFmtId="0" fontId="58" fillId="4" borderId="2" xfId="0" applyFont="1" applyFill="1" applyBorder="1" applyAlignment="1">
      <alignment horizontal="left" vertical="center" wrapText="1"/>
    </xf>
    <xf numFmtId="0" fontId="58" fillId="4" borderId="57" xfId="0" applyFont="1" applyFill="1" applyBorder="1" applyAlignment="1">
      <alignment horizontal="left" vertical="center" wrapText="1"/>
    </xf>
    <xf numFmtId="0" fontId="58" fillId="4" borderId="19" xfId="0" applyFont="1" applyFill="1" applyBorder="1" applyAlignment="1">
      <alignment horizontal="left" vertical="center" wrapText="1"/>
    </xf>
    <xf numFmtId="0" fontId="58" fillId="4" borderId="19" xfId="0" applyFont="1" applyFill="1" applyBorder="1" applyAlignment="1">
      <alignment horizontal="center" vertical="center" wrapText="1"/>
    </xf>
    <xf numFmtId="0" fontId="63" fillId="4" borderId="37" xfId="0" applyFont="1" applyFill="1" applyBorder="1" applyAlignment="1">
      <alignment horizontal="left" vertical="center" wrapText="1"/>
    </xf>
    <xf numFmtId="0" fontId="63" fillId="4" borderId="19" xfId="0" applyFont="1" applyFill="1" applyBorder="1" applyAlignment="1">
      <alignment horizontal="left" vertical="center" wrapText="1"/>
    </xf>
    <xf numFmtId="0" fontId="68" fillId="4" borderId="19" xfId="0" applyFont="1" applyFill="1" applyBorder="1" applyAlignment="1">
      <alignment horizontal="left" vertical="center"/>
    </xf>
    <xf numFmtId="49" fontId="51" fillId="4" borderId="2" xfId="0" applyNumberFormat="1" applyFont="1" applyFill="1" applyBorder="1" applyAlignment="1">
      <alignment horizontal="center"/>
    </xf>
    <xf numFmtId="49" fontId="51" fillId="4" borderId="19" xfId="0" applyNumberFormat="1" applyFont="1" applyFill="1" applyBorder="1" applyAlignment="1">
      <alignment horizontal="center"/>
    </xf>
    <xf numFmtId="0" fontId="39" fillId="0" borderId="0" xfId="0" applyFont="1" applyFill="1" applyAlignment="1">
      <alignment horizontal="left"/>
    </xf>
    <xf numFmtId="0" fontId="39" fillId="0" borderId="8" xfId="0" applyFont="1" applyFill="1" applyBorder="1" applyAlignment="1">
      <alignment horizontal="center" wrapText="1"/>
    </xf>
    <xf numFmtId="0" fontId="39" fillId="0" borderId="0" xfId="0" applyFont="1" applyFill="1" applyAlignment="1">
      <alignment horizontal="center" wrapText="1"/>
    </xf>
    <xf numFmtId="0" fontId="0" fillId="4" borderId="19" xfId="0" applyFill="1" applyBorder="1" applyAlignment="1">
      <alignment horizontal="left" vertical="center" wrapText="1"/>
    </xf>
    <xf numFmtId="0" fontId="0" fillId="4" borderId="19" xfId="0" applyFill="1" applyBorder="1" applyAlignment="1">
      <alignment horizontal="center" wrapText="1"/>
    </xf>
    <xf numFmtId="0" fontId="0" fillId="4" borderId="19" xfId="0" applyFill="1" applyBorder="1" applyAlignment="1">
      <alignment horizontal="center"/>
    </xf>
    <xf numFmtId="49" fontId="51" fillId="4" borderId="47" xfId="0" applyNumberFormat="1" applyFont="1" applyFill="1" applyBorder="1" applyAlignment="1">
      <alignment horizontal="center"/>
    </xf>
    <xf numFmtId="0" fontId="54" fillId="4" borderId="19" xfId="0" applyFont="1" applyFill="1" applyBorder="1" applyAlignment="1">
      <alignment horizontal="center"/>
    </xf>
    <xf numFmtId="0" fontId="54" fillId="4" borderId="2" xfId="0" applyFont="1" applyFill="1" applyBorder="1" applyAlignment="1">
      <alignment horizontal="center"/>
    </xf>
    <xf numFmtId="49" fontId="17" fillId="4" borderId="19" xfId="0" applyNumberFormat="1" applyFont="1" applyFill="1" applyBorder="1" applyAlignment="1">
      <alignment horizontal="center"/>
    </xf>
    <xf numFmtId="49" fontId="17" fillId="4" borderId="2" xfId="0" applyNumberFormat="1" applyFont="1" applyFill="1" applyBorder="1" applyAlignment="1">
      <alignment horizontal="center"/>
    </xf>
    <xf numFmtId="0" fontId="39" fillId="0" borderId="0" xfId="0" applyFont="1" applyFill="1" applyAlignment="1">
      <alignment horizontal="right"/>
    </xf>
    <xf numFmtId="0" fontId="58" fillId="4" borderId="57" xfId="0" applyFont="1" applyFill="1" applyBorder="1" applyAlignment="1">
      <alignment horizontal="left" vertical="center"/>
    </xf>
    <xf numFmtId="4" fontId="84" fillId="4" borderId="19" xfId="0" applyNumberFormat="1" applyFont="1" applyFill="1" applyBorder="1"/>
    <xf numFmtId="4" fontId="17" fillId="4" borderId="5" xfId="0" applyNumberFormat="1" applyFont="1" applyFill="1" applyBorder="1" applyAlignment="1" applyProtection="1">
      <alignment horizontal="right"/>
    </xf>
    <xf numFmtId="0" fontId="64" fillId="4" borderId="0" xfId="0" applyFont="1" applyFill="1"/>
    <xf numFmtId="0" fontId="97" fillId="4" borderId="8" xfId="0" applyFont="1" applyFill="1" applyBorder="1"/>
    <xf numFmtId="4" fontId="4" fillId="4" borderId="8" xfId="0" applyNumberFormat="1" applyFont="1" applyFill="1" applyBorder="1"/>
    <xf numFmtId="4" fontId="21" fillId="4" borderId="29" xfId="0" applyNumberFormat="1" applyFont="1" applyFill="1" applyBorder="1" applyAlignment="1" applyProtection="1">
      <alignment horizontal="right"/>
    </xf>
    <xf numFmtId="4" fontId="84" fillId="4" borderId="0" xfId="0" applyNumberFormat="1" applyFont="1" applyFill="1" applyBorder="1"/>
    <xf numFmtId="4" fontId="21" fillId="4" borderId="5" xfId="0" applyNumberFormat="1" applyFont="1" applyFill="1" applyBorder="1" applyAlignment="1" applyProtection="1">
      <alignment horizontal="right"/>
    </xf>
    <xf numFmtId="0" fontId="4" fillId="4" borderId="5" xfId="0" applyFont="1" applyFill="1" applyBorder="1"/>
    <xf numFmtId="164" fontId="17" fillId="0" borderId="21" xfId="0" applyNumberFormat="1" applyFont="1" applyBorder="1" applyAlignment="1" applyProtection="1">
      <alignment horizontal="justify" vertical="center" wrapText="1"/>
    </xf>
    <xf numFmtId="0" fontId="54" fillId="4" borderId="60" xfId="0" applyFont="1" applyFill="1" applyBorder="1" applyAlignment="1">
      <alignment horizontal="center"/>
    </xf>
    <xf numFmtId="0" fontId="17" fillId="0" borderId="8" xfId="0" applyFont="1" applyBorder="1" applyAlignment="1">
      <alignment vertical="top" wrapText="1"/>
    </xf>
    <xf numFmtId="49" fontId="17" fillId="4" borderId="57" xfId="0" applyNumberFormat="1" applyFont="1" applyFill="1" applyBorder="1" applyAlignment="1">
      <alignment horizontal="center"/>
    </xf>
    <xf numFmtId="0" fontId="73" fillId="4" borderId="2" xfId="0" applyFont="1" applyFill="1" applyBorder="1" applyAlignment="1"/>
    <xf numFmtId="49" fontId="17" fillId="4" borderId="0" xfId="0" applyNumberFormat="1" applyFont="1" applyFill="1" applyBorder="1" applyAlignment="1" applyProtection="1">
      <alignment horizontal="center" wrapText="1"/>
    </xf>
    <xf numFmtId="49" fontId="17" fillId="0" borderId="8" xfId="0" applyNumberFormat="1" applyFont="1" applyBorder="1" applyAlignment="1" applyProtection="1">
      <alignment horizontal="justify" vertical="center" wrapText="1"/>
    </xf>
    <xf numFmtId="0" fontId="73" fillId="4" borderId="0" xfId="0" applyFont="1" applyFill="1" applyBorder="1"/>
    <xf numFmtId="4" fontId="86" fillId="4" borderId="0" xfId="0" applyNumberFormat="1" applyFont="1" applyFill="1" applyBorder="1" applyAlignment="1" applyProtection="1">
      <alignment horizontal="right"/>
    </xf>
    <xf numFmtId="0" fontId="39" fillId="0" borderId="0" xfId="0" applyFont="1" applyFill="1" applyAlignment="1">
      <alignment horizontal="center"/>
    </xf>
    <xf numFmtId="3" fontId="39" fillId="0" borderId="2" xfId="0" applyNumberFormat="1" applyFont="1" applyFill="1" applyBorder="1" applyAlignment="1">
      <alignment horizontal="center" wrapText="1"/>
    </xf>
    <xf numFmtId="0" fontId="39" fillId="0" borderId="2" xfId="0" applyFont="1" applyFill="1" applyBorder="1" applyAlignment="1">
      <alignment horizontal="center" wrapText="1"/>
    </xf>
    <xf numFmtId="0" fontId="58" fillId="4" borderId="2" xfId="0" applyFont="1" applyFill="1" applyBorder="1" applyAlignment="1">
      <alignment horizontal="left" vertical="center" wrapText="1"/>
    </xf>
    <xf numFmtId="0" fontId="58" fillId="4" borderId="57" xfId="0" applyFont="1" applyFill="1" applyBorder="1" applyAlignment="1">
      <alignment horizontal="left" vertical="center" wrapText="1"/>
    </xf>
    <xf numFmtId="0" fontId="58" fillId="4" borderId="19" xfId="0" applyFont="1" applyFill="1" applyBorder="1" applyAlignment="1">
      <alignment horizontal="left" vertical="center" wrapText="1"/>
    </xf>
    <xf numFmtId="0" fontId="58" fillId="4" borderId="19" xfId="0" applyFont="1" applyFill="1" applyBorder="1" applyAlignment="1">
      <alignment horizontal="center" vertical="center" wrapText="1"/>
    </xf>
    <xf numFmtId="0" fontId="63" fillId="4" borderId="37" xfId="0" applyFont="1" applyFill="1" applyBorder="1" applyAlignment="1">
      <alignment horizontal="left" vertical="center" wrapText="1"/>
    </xf>
    <xf numFmtId="0" fontId="63" fillId="4" borderId="19" xfId="0" applyFont="1" applyFill="1" applyBorder="1" applyAlignment="1">
      <alignment horizontal="left" vertical="center" wrapText="1"/>
    </xf>
    <xf numFmtId="0" fontId="68" fillId="4" borderId="19" xfId="0" applyFont="1" applyFill="1" applyBorder="1" applyAlignment="1">
      <alignment horizontal="left" vertical="center"/>
    </xf>
    <xf numFmtId="49" fontId="51" fillId="4" borderId="2" xfId="0" applyNumberFormat="1" applyFont="1" applyFill="1" applyBorder="1" applyAlignment="1">
      <alignment horizontal="center"/>
    </xf>
    <xf numFmtId="49" fontId="51" fillId="4" borderId="19" xfId="0" applyNumberFormat="1" applyFont="1" applyFill="1" applyBorder="1" applyAlignment="1">
      <alignment horizontal="center"/>
    </xf>
    <xf numFmtId="0" fontId="39" fillId="0" borderId="0" xfId="0" applyFont="1" applyFill="1" applyAlignment="1">
      <alignment horizontal="left"/>
    </xf>
    <xf numFmtId="0" fontId="39" fillId="0" borderId="8" xfId="0" applyFont="1" applyFill="1" applyBorder="1" applyAlignment="1">
      <alignment horizontal="center" wrapText="1"/>
    </xf>
    <xf numFmtId="0" fontId="39" fillId="0" borderId="0" xfId="0" applyFont="1" applyFill="1" applyAlignment="1">
      <alignment horizontal="center" wrapText="1"/>
    </xf>
    <xf numFmtId="0" fontId="0" fillId="4" borderId="19" xfId="0" applyFill="1" applyBorder="1" applyAlignment="1">
      <alignment horizontal="left" vertical="center" wrapText="1"/>
    </xf>
    <xf numFmtId="0" fontId="0" fillId="4" borderId="19" xfId="0" applyFill="1" applyBorder="1" applyAlignment="1">
      <alignment horizontal="center" wrapText="1"/>
    </xf>
    <xf numFmtId="0" fontId="0" fillId="4" borderId="19" xfId="0" applyFill="1" applyBorder="1" applyAlignment="1">
      <alignment horizontal="center"/>
    </xf>
    <xf numFmtId="49" fontId="51" fillId="4" borderId="47" xfId="0" applyNumberFormat="1" applyFont="1" applyFill="1" applyBorder="1" applyAlignment="1">
      <alignment horizontal="center"/>
    </xf>
    <xf numFmtId="0" fontId="54" fillId="4" borderId="19" xfId="0" applyFont="1" applyFill="1" applyBorder="1" applyAlignment="1">
      <alignment horizontal="center"/>
    </xf>
    <xf numFmtId="0" fontId="54" fillId="4" borderId="2" xfId="0" applyFont="1" applyFill="1" applyBorder="1" applyAlignment="1">
      <alignment horizontal="center"/>
    </xf>
    <xf numFmtId="49" fontId="17" fillId="4" borderId="19" xfId="0" applyNumberFormat="1" applyFont="1" applyFill="1" applyBorder="1" applyAlignment="1">
      <alignment horizontal="center"/>
    </xf>
    <xf numFmtId="49" fontId="17" fillId="4" borderId="2" xfId="0" applyNumberFormat="1" applyFont="1" applyFill="1" applyBorder="1" applyAlignment="1">
      <alignment horizontal="center"/>
    </xf>
    <xf numFmtId="0" fontId="39" fillId="0" borderId="0" xfId="0" applyFont="1" applyFill="1" applyAlignment="1">
      <alignment horizontal="right"/>
    </xf>
    <xf numFmtId="0" fontId="58" fillId="4" borderId="57" xfId="0" applyFont="1" applyFill="1" applyBorder="1" applyAlignment="1">
      <alignment horizontal="left" vertical="center"/>
    </xf>
    <xf numFmtId="4" fontId="98" fillId="4" borderId="8" xfId="0" applyNumberFormat="1" applyFont="1" applyFill="1" applyBorder="1" applyAlignment="1">
      <alignment wrapText="1"/>
    </xf>
    <xf numFmtId="4" fontId="69" fillId="0" borderId="8" xfId="0" applyNumberFormat="1" applyFont="1" applyFill="1" applyBorder="1" applyAlignment="1">
      <alignment wrapText="1"/>
    </xf>
    <xf numFmtId="4" fontId="98" fillId="0" borderId="8" xfId="0" applyNumberFormat="1" applyFont="1" applyFill="1" applyBorder="1" applyAlignment="1">
      <alignment wrapText="1"/>
    </xf>
    <xf numFmtId="4" fontId="51" fillId="4" borderId="29" xfId="0" applyNumberFormat="1" applyFont="1" applyFill="1" applyBorder="1" applyAlignment="1" applyProtection="1">
      <alignment horizontal="right"/>
    </xf>
    <xf numFmtId="4" fontId="51" fillId="4" borderId="8" xfId="0" applyNumberFormat="1" applyFont="1" applyFill="1" applyBorder="1" applyAlignment="1" applyProtection="1">
      <alignment horizontal="right"/>
    </xf>
    <xf numFmtId="4" fontId="51" fillId="4" borderId="5" xfId="0" applyNumberFormat="1" applyFont="1" applyFill="1" applyBorder="1" applyAlignment="1" applyProtection="1">
      <alignment horizontal="right"/>
    </xf>
    <xf numFmtId="4" fontId="62" fillId="4" borderId="5" xfId="0" applyNumberFormat="1" applyFont="1" applyFill="1" applyBorder="1" applyAlignment="1"/>
    <xf numFmtId="4" fontId="63" fillId="4" borderId="0" xfId="0" applyNumberFormat="1" applyFont="1" applyFill="1" applyBorder="1"/>
    <xf numFmtId="4" fontId="51" fillId="4" borderId="0" xfId="0" applyNumberFormat="1" applyFont="1" applyFill="1" applyBorder="1" applyAlignment="1" applyProtection="1">
      <alignment horizontal="right"/>
    </xf>
    <xf numFmtId="4" fontId="0" fillId="4" borderId="8" xfId="0" applyNumberFormat="1" applyFont="1" applyFill="1" applyBorder="1"/>
    <xf numFmtId="4" fontId="69" fillId="4" borderId="5" xfId="0" applyNumberFormat="1" applyFont="1" applyFill="1" applyBorder="1" applyAlignment="1" applyProtection="1">
      <alignment horizontal="right"/>
    </xf>
    <xf numFmtId="4" fontId="88" fillId="4" borderId="34" xfId="0" applyNumberFormat="1" applyFont="1" applyFill="1" applyBorder="1" applyAlignment="1" applyProtection="1">
      <alignment horizontal="right"/>
    </xf>
    <xf numFmtId="0" fontId="0" fillId="4" borderId="47" xfId="0" applyFont="1" applyFill="1" applyBorder="1"/>
    <xf numFmtId="4" fontId="88" fillId="4" borderId="29" xfId="0" applyNumberFormat="1" applyFont="1" applyFill="1" applyBorder="1" applyAlignment="1" applyProtection="1">
      <alignment horizontal="right"/>
    </xf>
    <xf numFmtId="4" fontId="88" fillId="4" borderId="40" xfId="0" applyNumberFormat="1" applyFont="1" applyFill="1" applyBorder="1" applyAlignment="1" applyProtection="1">
      <alignment horizontal="right"/>
    </xf>
    <xf numFmtId="4" fontId="51" fillId="4" borderId="40" xfId="0" applyNumberFormat="1" applyFont="1" applyFill="1" applyBorder="1" applyAlignment="1" applyProtection="1">
      <alignment horizontal="right"/>
    </xf>
    <xf numFmtId="4" fontId="88" fillId="4" borderId="8" xfId="0" applyNumberFormat="1" applyFont="1" applyFill="1" applyBorder="1" applyAlignment="1" applyProtection="1">
      <alignment horizontal="right"/>
    </xf>
    <xf numFmtId="4" fontId="88" fillId="4" borderId="0" xfId="0" applyNumberFormat="1" applyFont="1" applyFill="1" applyBorder="1" applyAlignment="1" applyProtection="1">
      <alignment horizontal="right"/>
    </xf>
    <xf numFmtId="0" fontId="39" fillId="0" borderId="0" xfId="0" applyFont="1" applyFill="1" applyAlignment="1">
      <alignment horizontal="right"/>
    </xf>
    <xf numFmtId="0" fontId="58" fillId="4" borderId="57" xfId="0" applyFont="1" applyFill="1" applyBorder="1" applyAlignment="1">
      <alignment horizontal="left" vertical="center"/>
    </xf>
    <xf numFmtId="49" fontId="17" fillId="4" borderId="2" xfId="0" applyNumberFormat="1" applyFont="1" applyFill="1" applyBorder="1" applyAlignment="1">
      <alignment horizontal="center"/>
    </xf>
    <xf numFmtId="49" fontId="17" fillId="4" borderId="19" xfId="0" applyNumberFormat="1" applyFont="1" applyFill="1" applyBorder="1" applyAlignment="1">
      <alignment horizontal="center"/>
    </xf>
    <xf numFmtId="0" fontId="54" fillId="4" borderId="2" xfId="0" applyFont="1" applyFill="1" applyBorder="1" applyAlignment="1">
      <alignment horizontal="center"/>
    </xf>
    <xf numFmtId="0" fontId="54" fillId="4" borderId="19" xfId="0" applyFont="1" applyFill="1" applyBorder="1" applyAlignment="1">
      <alignment horizontal="center"/>
    </xf>
    <xf numFmtId="49" fontId="17" fillId="4" borderId="47" xfId="0" applyNumberFormat="1" applyFont="1" applyFill="1" applyBorder="1" applyAlignment="1">
      <alignment horizontal="center"/>
    </xf>
    <xf numFmtId="49" fontId="51" fillId="4" borderId="47" xfId="0" applyNumberFormat="1" applyFont="1" applyFill="1" applyBorder="1" applyAlignment="1">
      <alignment horizontal="center"/>
    </xf>
    <xf numFmtId="49" fontId="51" fillId="4" borderId="19" xfId="0" applyNumberFormat="1" applyFont="1" applyFill="1" applyBorder="1" applyAlignment="1">
      <alignment horizontal="center"/>
    </xf>
    <xf numFmtId="49" fontId="17" fillId="4" borderId="50" xfId="0" applyNumberFormat="1" applyFont="1" applyFill="1" applyBorder="1" applyAlignment="1" applyProtection="1">
      <alignment horizontal="left" vertical="center" wrapText="1"/>
    </xf>
    <xf numFmtId="0" fontId="58" fillId="4" borderId="19" xfId="0" applyFont="1" applyFill="1" applyBorder="1" applyAlignment="1">
      <alignment horizontal="center" vertical="center" wrapText="1"/>
    </xf>
    <xf numFmtId="0" fontId="0" fillId="4" borderId="19" xfId="0" applyFill="1" applyBorder="1" applyAlignment="1">
      <alignment horizontal="center" wrapText="1"/>
    </xf>
    <xf numFmtId="0" fontId="63" fillId="4" borderId="37" xfId="0" applyFont="1" applyFill="1" applyBorder="1" applyAlignment="1">
      <alignment horizontal="left" vertical="center" wrapText="1"/>
    </xf>
    <xf numFmtId="0" fontId="63" fillId="4" borderId="19" xfId="0" applyFont="1" applyFill="1" applyBorder="1" applyAlignment="1">
      <alignment horizontal="left" vertical="center" wrapText="1"/>
    </xf>
    <xf numFmtId="0" fontId="39" fillId="0" borderId="0" xfId="0" applyFont="1" applyFill="1" applyAlignment="1">
      <alignment horizontal="center"/>
    </xf>
    <xf numFmtId="0" fontId="58" fillId="4" borderId="2" xfId="0" applyFont="1" applyFill="1" applyBorder="1" applyAlignment="1">
      <alignment horizontal="left" vertical="center" wrapText="1"/>
    </xf>
    <xf numFmtId="0" fontId="58" fillId="4" borderId="19" xfId="0" applyFont="1" applyFill="1" applyBorder="1" applyAlignment="1">
      <alignment horizontal="left" vertical="center" wrapText="1"/>
    </xf>
    <xf numFmtId="0" fontId="39" fillId="0" borderId="0" xfId="0" applyFont="1" applyFill="1" applyAlignment="1">
      <alignment horizontal="left"/>
    </xf>
    <xf numFmtId="0" fontId="39" fillId="0" borderId="8" xfId="0" applyFont="1" applyFill="1" applyBorder="1" applyAlignment="1">
      <alignment horizontal="center" wrapText="1"/>
    </xf>
    <xf numFmtId="0" fontId="39" fillId="0" borderId="0" xfId="0" applyFont="1" applyFill="1" applyAlignment="1">
      <alignment horizontal="center" wrapText="1"/>
    </xf>
    <xf numFmtId="0" fontId="0" fillId="4" borderId="19" xfId="0" applyFill="1" applyBorder="1" applyAlignment="1">
      <alignment horizontal="left" vertical="center" wrapText="1"/>
    </xf>
    <xf numFmtId="0" fontId="0" fillId="4" borderId="19" xfId="0" applyFill="1" applyBorder="1" applyAlignment="1">
      <alignment horizontal="center"/>
    </xf>
    <xf numFmtId="3" fontId="39" fillId="0" borderId="2" xfId="0" applyNumberFormat="1" applyFont="1" applyFill="1" applyBorder="1" applyAlignment="1">
      <alignment horizontal="center" wrapText="1"/>
    </xf>
    <xf numFmtId="0" fontId="39" fillId="0" borderId="2" xfId="0" applyFont="1" applyFill="1" applyBorder="1" applyAlignment="1">
      <alignment horizontal="center" wrapText="1"/>
    </xf>
    <xf numFmtId="0" fontId="58" fillId="4" borderId="57" xfId="0" applyFont="1" applyFill="1" applyBorder="1" applyAlignment="1">
      <alignment horizontal="left" vertical="center" wrapText="1"/>
    </xf>
    <xf numFmtId="0" fontId="68" fillId="4" borderId="19" xfId="0" applyFont="1" applyFill="1" applyBorder="1" applyAlignment="1">
      <alignment horizontal="left" vertical="center"/>
    </xf>
    <xf numFmtId="49" fontId="51" fillId="4" borderId="2" xfId="0" applyNumberFormat="1" applyFont="1" applyFill="1" applyBorder="1" applyAlignment="1">
      <alignment horizontal="center"/>
    </xf>
    <xf numFmtId="49" fontId="17" fillId="4" borderId="57" xfId="0" applyNumberFormat="1" applyFont="1" applyFill="1" applyBorder="1" applyAlignment="1">
      <alignment horizontal="center"/>
    </xf>
    <xf numFmtId="49" fontId="17" fillId="0" borderId="19" xfId="0" applyNumberFormat="1" applyFont="1" applyBorder="1" applyAlignment="1" applyProtection="1">
      <alignment horizontal="center" wrapText="1"/>
    </xf>
    <xf numFmtId="49" fontId="51" fillId="4" borderId="19" xfId="0" applyNumberFormat="1" applyFont="1" applyFill="1" applyBorder="1" applyAlignment="1">
      <alignment horizontal="center"/>
    </xf>
    <xf numFmtId="0" fontId="0" fillId="4" borderId="19" xfId="0" applyFill="1" applyBorder="1" applyAlignment="1">
      <alignment horizontal="center"/>
    </xf>
    <xf numFmtId="0" fontId="51" fillId="0" borderId="0" xfId="0" applyFont="1" applyAlignment="1">
      <alignment wrapText="1"/>
    </xf>
    <xf numFmtId="0" fontId="51" fillId="0" borderId="0" xfId="0" applyFont="1" applyAlignment="1">
      <alignment horizontal="justify" vertical="center"/>
    </xf>
    <xf numFmtId="0" fontId="73" fillId="4" borderId="47" xfId="0" applyFont="1" applyFill="1" applyBorder="1"/>
    <xf numFmtId="49" fontId="17" fillId="4" borderId="54" xfId="0" applyNumberFormat="1" applyFont="1" applyFill="1" applyBorder="1" applyAlignment="1" applyProtection="1">
      <alignment horizontal="center" wrapText="1"/>
    </xf>
    <xf numFmtId="49" fontId="58" fillId="0" borderId="19" xfId="0" applyNumberFormat="1" applyFont="1" applyBorder="1" applyAlignment="1">
      <alignment horizontal="center"/>
    </xf>
    <xf numFmtId="49" fontId="42" fillId="0" borderId="16" xfId="0" applyNumberFormat="1" applyFont="1" applyBorder="1" applyAlignment="1" applyProtection="1">
      <alignment horizontal="center" wrapText="1"/>
    </xf>
    <xf numFmtId="4" fontId="88" fillId="4" borderId="19" xfId="0" applyNumberFormat="1" applyFont="1" applyFill="1" applyBorder="1"/>
    <xf numFmtId="4" fontId="86" fillId="4" borderId="8" xfId="0" applyNumberFormat="1" applyFont="1" applyFill="1" applyBorder="1" applyAlignment="1" applyProtection="1">
      <alignment horizontal="right"/>
    </xf>
    <xf numFmtId="49" fontId="17" fillId="4" borderId="46" xfId="0" applyNumberFormat="1" applyFont="1" applyFill="1" applyBorder="1" applyAlignment="1" applyProtection="1">
      <alignment vertical="center" wrapText="1"/>
    </xf>
    <xf numFmtId="49" fontId="51" fillId="4" borderId="8" xfId="0" applyNumberFormat="1" applyFont="1" applyFill="1" applyBorder="1" applyAlignment="1">
      <alignment horizontal="center" vertical="center"/>
    </xf>
    <xf numFmtId="0" fontId="0" fillId="4" borderId="19" xfId="0" applyFont="1" applyFill="1" applyBorder="1"/>
    <xf numFmtId="4" fontId="51" fillId="4" borderId="33" xfId="0" applyNumberFormat="1" applyFont="1" applyFill="1" applyBorder="1" applyAlignment="1" applyProtection="1">
      <alignment horizontal="right"/>
    </xf>
    <xf numFmtId="4" fontId="87" fillId="4" borderId="33" xfId="0" applyNumberFormat="1" applyFont="1" applyFill="1" applyBorder="1" applyAlignment="1" applyProtection="1">
      <alignment horizontal="right"/>
    </xf>
    <xf numFmtId="0" fontId="73" fillId="4" borderId="0" xfId="0" applyFont="1" applyFill="1" applyAlignment="1">
      <alignment horizontal="center" vertical="center"/>
    </xf>
    <xf numFmtId="0" fontId="73" fillId="4" borderId="15" xfId="0" applyFont="1" applyFill="1" applyBorder="1" applyAlignment="1">
      <alignment horizontal="center" vertical="center"/>
    </xf>
    <xf numFmtId="0" fontId="73" fillId="4" borderId="2" xfId="0" applyFont="1" applyFill="1" applyBorder="1" applyAlignment="1">
      <alignment horizontal="center" vertical="center"/>
    </xf>
    <xf numFmtId="0" fontId="73" fillId="4" borderId="14" xfId="0" applyFont="1" applyFill="1" applyBorder="1" applyAlignment="1">
      <alignment horizontal="center" vertical="center"/>
    </xf>
    <xf numFmtId="4" fontId="17" fillId="4" borderId="33" xfId="0" applyNumberFormat="1" applyFont="1" applyFill="1" applyBorder="1" applyAlignment="1" applyProtection="1">
      <alignment horizontal="right"/>
    </xf>
    <xf numFmtId="49" fontId="51" fillId="4" borderId="33" xfId="0" applyNumberFormat="1" applyFont="1" applyFill="1" applyBorder="1" applyAlignment="1" applyProtection="1">
      <alignment horizontal="justify" vertical="center" wrapText="1"/>
    </xf>
    <xf numFmtId="49" fontId="51" fillId="4" borderId="57" xfId="0" applyNumberFormat="1" applyFont="1" applyFill="1" applyBorder="1" applyAlignment="1">
      <alignment vertical="top"/>
    </xf>
    <xf numFmtId="0" fontId="0" fillId="4" borderId="2" xfId="0" applyFill="1" applyBorder="1" applyAlignment="1">
      <alignment vertical="top"/>
    </xf>
    <xf numFmtId="49" fontId="42" fillId="4" borderId="57" xfId="0" applyNumberFormat="1" applyFont="1" applyFill="1" applyBorder="1" applyAlignment="1" applyProtection="1">
      <alignment vertical="top" wrapText="1"/>
    </xf>
    <xf numFmtId="49" fontId="51" fillId="4" borderId="57" xfId="0" applyNumberFormat="1" applyFont="1" applyFill="1" applyBorder="1" applyAlignment="1">
      <alignment horizontal="center"/>
    </xf>
    <xf numFmtId="0" fontId="0" fillId="4" borderId="57" xfId="0" applyFill="1" applyBorder="1"/>
    <xf numFmtId="49" fontId="51" fillId="4" borderId="8" xfId="0" applyNumberFormat="1" applyFont="1" applyFill="1" applyBorder="1" applyAlignment="1">
      <alignment horizontal="center" vertical="top"/>
    </xf>
    <xf numFmtId="0" fontId="63" fillId="4" borderId="8" xfId="0" applyFont="1" applyFill="1" applyBorder="1" applyAlignment="1">
      <alignment vertical="center" wrapText="1"/>
    </xf>
    <xf numFmtId="0" fontId="39" fillId="0" borderId="0" xfId="0" applyFont="1" applyFill="1" applyAlignment="1">
      <alignment horizontal="right"/>
    </xf>
    <xf numFmtId="0" fontId="58" fillId="4" borderId="57" xfId="0" applyFont="1" applyFill="1" applyBorder="1" applyAlignment="1">
      <alignment horizontal="left" vertical="center"/>
    </xf>
    <xf numFmtId="49" fontId="17" fillId="4" borderId="2" xfId="0" applyNumberFormat="1" applyFont="1" applyFill="1" applyBorder="1" applyAlignment="1">
      <alignment horizontal="center"/>
    </xf>
    <xf numFmtId="49" fontId="17" fillId="4" borderId="19" xfId="0" applyNumberFormat="1" applyFont="1" applyFill="1" applyBorder="1" applyAlignment="1">
      <alignment horizontal="center"/>
    </xf>
    <xf numFmtId="0" fontId="54" fillId="4" borderId="2" xfId="0" applyFont="1" applyFill="1" applyBorder="1" applyAlignment="1">
      <alignment horizontal="center"/>
    </xf>
    <xf numFmtId="0" fontId="54" fillId="4" borderId="19" xfId="0" applyFont="1" applyFill="1" applyBorder="1" applyAlignment="1">
      <alignment horizontal="center"/>
    </xf>
    <xf numFmtId="49" fontId="51" fillId="4" borderId="19" xfId="0" applyNumberFormat="1" applyFont="1" applyFill="1" applyBorder="1" applyAlignment="1">
      <alignment horizontal="center"/>
    </xf>
    <xf numFmtId="49" fontId="17" fillId="4" borderId="50" xfId="0" applyNumberFormat="1" applyFont="1" applyFill="1" applyBorder="1" applyAlignment="1" applyProtection="1">
      <alignment horizontal="left" vertical="center" wrapText="1"/>
    </xf>
    <xf numFmtId="0" fontId="58" fillId="4" borderId="19" xfId="0" applyFont="1" applyFill="1" applyBorder="1" applyAlignment="1">
      <alignment horizontal="center" vertical="center" wrapText="1"/>
    </xf>
    <xf numFmtId="0" fontId="0" fillId="4" borderId="19" xfId="0" applyFill="1" applyBorder="1" applyAlignment="1">
      <alignment horizontal="center" wrapText="1"/>
    </xf>
    <xf numFmtId="0" fontId="63" fillId="4" borderId="19" xfId="0" applyFont="1" applyFill="1" applyBorder="1" applyAlignment="1">
      <alignment horizontal="left" vertical="center" wrapText="1"/>
    </xf>
    <xf numFmtId="0" fontId="39" fillId="0" borderId="0" xfId="0" applyFont="1" applyFill="1" applyAlignment="1">
      <alignment horizontal="center"/>
    </xf>
    <xf numFmtId="0" fontId="58" fillId="4" borderId="2" xfId="0" applyFont="1" applyFill="1" applyBorder="1" applyAlignment="1">
      <alignment horizontal="left" vertical="center" wrapText="1"/>
    </xf>
    <xf numFmtId="0" fontId="58" fillId="4" borderId="19" xfId="0" applyFont="1" applyFill="1" applyBorder="1" applyAlignment="1">
      <alignment horizontal="left" vertical="center" wrapText="1"/>
    </xf>
    <xf numFmtId="0" fontId="39" fillId="0" borderId="0" xfId="0" applyFont="1" applyFill="1" applyAlignment="1">
      <alignment horizontal="left"/>
    </xf>
    <xf numFmtId="0" fontId="39" fillId="0" borderId="8" xfId="0" applyFont="1" applyFill="1" applyBorder="1" applyAlignment="1">
      <alignment horizontal="center" wrapText="1"/>
    </xf>
    <xf numFmtId="0" fontId="39" fillId="0" borderId="0" xfId="0" applyFont="1" applyFill="1" applyAlignment="1">
      <alignment horizontal="center" wrapText="1"/>
    </xf>
    <xf numFmtId="0" fontId="0" fillId="4" borderId="19" xfId="0" applyFill="1" applyBorder="1" applyAlignment="1">
      <alignment horizontal="left" vertical="center" wrapText="1"/>
    </xf>
    <xf numFmtId="0" fontId="0" fillId="4" borderId="19" xfId="0" applyFill="1" applyBorder="1" applyAlignment="1">
      <alignment horizontal="center"/>
    </xf>
    <xf numFmtId="3" fontId="39" fillId="0" borderId="2" xfId="0" applyNumberFormat="1" applyFont="1" applyFill="1" applyBorder="1" applyAlignment="1">
      <alignment horizontal="center" wrapText="1"/>
    </xf>
    <xf numFmtId="0" fontId="39" fillId="0" borderId="2" xfId="0" applyFont="1" applyFill="1" applyBorder="1" applyAlignment="1">
      <alignment horizontal="center" wrapText="1"/>
    </xf>
    <xf numFmtId="0" fontId="58" fillId="4" borderId="57" xfId="0" applyFont="1" applyFill="1" applyBorder="1" applyAlignment="1">
      <alignment horizontal="left" vertical="center" wrapText="1"/>
    </xf>
    <xf numFmtId="0" fontId="68" fillId="4" borderId="19" xfId="0" applyFont="1" applyFill="1" applyBorder="1" applyAlignment="1">
      <alignment horizontal="left" vertical="center"/>
    </xf>
    <xf numFmtId="49" fontId="42" fillId="4" borderId="24" xfId="0" applyNumberFormat="1" applyFont="1" applyFill="1" applyBorder="1" applyAlignment="1" applyProtection="1">
      <alignment horizontal="left" vertical="center" wrapText="1"/>
    </xf>
    <xf numFmtId="49" fontId="51" fillId="4" borderId="2" xfId="0" applyNumberFormat="1" applyFont="1" applyFill="1" applyBorder="1" applyAlignment="1">
      <alignment horizontal="center"/>
    </xf>
    <xf numFmtId="49" fontId="42" fillId="4" borderId="19" xfId="0" applyNumberFormat="1" applyFont="1" applyFill="1" applyBorder="1" applyAlignment="1" applyProtection="1">
      <alignment horizontal="center" wrapText="1"/>
    </xf>
    <xf numFmtId="49" fontId="17" fillId="4" borderId="57" xfId="0" applyNumberFormat="1" applyFont="1" applyFill="1" applyBorder="1" applyAlignment="1">
      <alignment horizontal="center"/>
    </xf>
    <xf numFmtId="49" fontId="51" fillId="4" borderId="8" xfId="0" applyNumberFormat="1" applyFont="1" applyFill="1" applyBorder="1" applyAlignment="1">
      <alignment horizontal="center" vertical="center"/>
    </xf>
    <xf numFmtId="0" fontId="62" fillId="4" borderId="8" xfId="0" applyFont="1" applyFill="1" applyBorder="1" applyAlignment="1">
      <alignment horizontal="center"/>
    </xf>
    <xf numFmtId="49" fontId="17" fillId="0" borderId="19" xfId="0" applyNumberFormat="1" applyFont="1" applyBorder="1" applyAlignment="1" applyProtection="1">
      <alignment horizontal="center" wrapText="1"/>
    </xf>
    <xf numFmtId="49" fontId="51" fillId="4" borderId="66" xfId="0" applyNumberFormat="1" applyFont="1" applyFill="1" applyBorder="1" applyAlignment="1">
      <alignment vertical="top"/>
    </xf>
    <xf numFmtId="49" fontId="42" fillId="4" borderId="66" xfId="0" applyNumberFormat="1" applyFont="1" applyFill="1" applyBorder="1" applyAlignment="1" applyProtection="1">
      <alignment vertical="top" wrapText="1"/>
    </xf>
    <xf numFmtId="0" fontId="62" fillId="4" borderId="63" xfId="0" applyFont="1" applyFill="1" applyBorder="1" applyAlignment="1"/>
    <xf numFmtId="0" fontId="0" fillId="4" borderId="2" xfId="0" applyFill="1" applyBorder="1" applyAlignment="1">
      <alignment vertical="center"/>
    </xf>
    <xf numFmtId="0" fontId="62" fillId="4" borderId="67" xfId="0" applyFont="1" applyFill="1" applyBorder="1" applyAlignment="1">
      <alignment horizontal="center"/>
    </xf>
    <xf numFmtId="49" fontId="17" fillId="4" borderId="70" xfId="0" applyNumberFormat="1" applyFont="1" applyFill="1" applyBorder="1" applyAlignment="1">
      <alignment vertical="top"/>
    </xf>
    <xf numFmtId="49" fontId="17" fillId="4" borderId="70" xfId="0" applyNumberFormat="1" applyFont="1" applyFill="1" applyBorder="1" applyAlignment="1" applyProtection="1">
      <alignment vertical="top" wrapText="1"/>
    </xf>
    <xf numFmtId="49" fontId="17" fillId="4" borderId="57" xfId="0" applyNumberFormat="1" applyFont="1" applyFill="1" applyBorder="1" applyAlignment="1">
      <alignment vertical="top"/>
    </xf>
    <xf numFmtId="0" fontId="73" fillId="4" borderId="57" xfId="0" applyFont="1" applyFill="1" applyBorder="1" applyAlignment="1">
      <alignment vertical="top"/>
    </xf>
    <xf numFmtId="49" fontId="17" fillId="4" borderId="57" xfId="0" applyNumberFormat="1" applyFont="1" applyFill="1" applyBorder="1" applyAlignment="1" applyProtection="1">
      <alignment vertical="top" wrapText="1"/>
    </xf>
    <xf numFmtId="0" fontId="73" fillId="4" borderId="2" xfId="0" applyFont="1" applyFill="1" applyBorder="1" applyAlignment="1">
      <alignment vertical="top"/>
    </xf>
    <xf numFmtId="0" fontId="54" fillId="4" borderId="67" xfId="0" applyFont="1" applyFill="1" applyBorder="1" applyAlignment="1">
      <alignment horizontal="center"/>
    </xf>
    <xf numFmtId="0" fontId="73" fillId="4" borderId="71" xfId="0" applyFont="1" applyFill="1" applyBorder="1" applyAlignment="1">
      <alignment horizontal="center" vertical="center"/>
    </xf>
    <xf numFmtId="0" fontId="39" fillId="0" borderId="0" xfId="0" applyFont="1" applyFill="1" applyAlignment="1">
      <alignment horizontal="center"/>
    </xf>
    <xf numFmtId="3" fontId="39" fillId="0" borderId="2" xfId="0" applyNumberFormat="1" applyFont="1" applyFill="1" applyBorder="1" applyAlignment="1">
      <alignment horizontal="center" wrapText="1"/>
    </xf>
    <xf numFmtId="0" fontId="39" fillId="0" borderId="2" xfId="0" applyFont="1" applyFill="1" applyBorder="1" applyAlignment="1">
      <alignment horizontal="center" wrapText="1"/>
    </xf>
    <xf numFmtId="0" fontId="58" fillId="4" borderId="2" xfId="0" applyFont="1" applyFill="1" applyBorder="1" applyAlignment="1">
      <alignment horizontal="left" vertical="center" wrapText="1"/>
    </xf>
    <xf numFmtId="0" fontId="58" fillId="4" borderId="57" xfId="0" applyFont="1" applyFill="1" applyBorder="1" applyAlignment="1">
      <alignment horizontal="left" vertical="center" wrapText="1"/>
    </xf>
    <xf numFmtId="0" fontId="58" fillId="4" borderId="19" xfId="0" applyFont="1" applyFill="1" applyBorder="1" applyAlignment="1">
      <alignment horizontal="left" vertical="center" wrapText="1"/>
    </xf>
    <xf numFmtId="0" fontId="58" fillId="4" borderId="19" xfId="0" applyFont="1" applyFill="1" applyBorder="1" applyAlignment="1">
      <alignment horizontal="center" vertical="center" wrapText="1"/>
    </xf>
    <xf numFmtId="0" fontId="63" fillId="4" borderId="19" xfId="0" applyFont="1" applyFill="1" applyBorder="1" applyAlignment="1">
      <alignment horizontal="left" vertical="center" wrapText="1"/>
    </xf>
    <xf numFmtId="0" fontId="68" fillId="4" borderId="19" xfId="0" applyFont="1" applyFill="1" applyBorder="1" applyAlignment="1">
      <alignment horizontal="left" vertical="center"/>
    </xf>
    <xf numFmtId="49" fontId="42" fillId="4" borderId="24" xfId="0" applyNumberFormat="1" applyFont="1" applyFill="1" applyBorder="1" applyAlignment="1" applyProtection="1">
      <alignment horizontal="left" vertical="center" wrapText="1"/>
    </xf>
    <xf numFmtId="49" fontId="51" fillId="4" borderId="2" xfId="0" applyNumberFormat="1" applyFont="1" applyFill="1" applyBorder="1" applyAlignment="1">
      <alignment horizontal="center"/>
    </xf>
    <xf numFmtId="49" fontId="51" fillId="4" borderId="19" xfId="0" applyNumberFormat="1" applyFont="1" applyFill="1" applyBorder="1" applyAlignment="1">
      <alignment horizontal="center"/>
    </xf>
    <xf numFmtId="49" fontId="42" fillId="4" borderId="19" xfId="0" applyNumberFormat="1" applyFont="1" applyFill="1" applyBorder="1" applyAlignment="1" applyProtection="1">
      <alignment horizontal="center" wrapText="1"/>
    </xf>
    <xf numFmtId="0" fontId="39" fillId="0" borderId="0" xfId="0" applyFont="1" applyFill="1" applyAlignment="1">
      <alignment horizontal="left"/>
    </xf>
    <xf numFmtId="0" fontId="39" fillId="0" borderId="8" xfId="0" applyFont="1" applyFill="1" applyBorder="1" applyAlignment="1">
      <alignment horizontal="center" wrapText="1"/>
    </xf>
    <xf numFmtId="0" fontId="39" fillId="0" borderId="0" xfId="0" applyFont="1" applyFill="1" applyAlignment="1">
      <alignment horizontal="center" wrapText="1"/>
    </xf>
    <xf numFmtId="0" fontId="0" fillId="4" borderId="19" xfId="0" applyFill="1" applyBorder="1" applyAlignment="1">
      <alignment horizontal="left" vertical="center" wrapText="1"/>
    </xf>
    <xf numFmtId="0" fontId="0" fillId="4" borderId="19" xfId="0" applyFill="1" applyBorder="1" applyAlignment="1">
      <alignment horizontal="center" wrapText="1"/>
    </xf>
    <xf numFmtId="0" fontId="0" fillId="4" borderId="19" xfId="0" applyFill="1" applyBorder="1" applyAlignment="1">
      <alignment horizontal="center"/>
    </xf>
    <xf numFmtId="49" fontId="17" fillId="4" borderId="50" xfId="0" applyNumberFormat="1" applyFont="1" applyFill="1" applyBorder="1" applyAlignment="1" applyProtection="1">
      <alignment horizontal="left" vertical="center" wrapText="1"/>
    </xf>
    <xf numFmtId="0" fontId="54" fillId="4" borderId="19" xfId="0" applyFont="1" applyFill="1" applyBorder="1" applyAlignment="1">
      <alignment horizontal="center"/>
    </xf>
    <xf numFmtId="0" fontId="54" fillId="4" borderId="2" xfId="0" applyFont="1" applyFill="1" applyBorder="1" applyAlignment="1">
      <alignment horizontal="center"/>
    </xf>
    <xf numFmtId="49" fontId="17" fillId="4" borderId="19" xfId="0" applyNumberFormat="1" applyFont="1" applyFill="1" applyBorder="1" applyAlignment="1">
      <alignment horizontal="center"/>
    </xf>
    <xf numFmtId="49" fontId="17" fillId="4" borderId="2" xfId="0" applyNumberFormat="1" applyFont="1" applyFill="1" applyBorder="1" applyAlignment="1">
      <alignment horizontal="center"/>
    </xf>
    <xf numFmtId="0" fontId="39" fillId="0" borderId="0" xfId="0" applyFont="1" applyFill="1" applyAlignment="1">
      <alignment horizontal="right"/>
    </xf>
    <xf numFmtId="0" fontId="58" fillId="4" borderId="57" xfId="0" applyFont="1" applyFill="1" applyBorder="1" applyAlignment="1">
      <alignment horizontal="left" vertical="center"/>
    </xf>
    <xf numFmtId="49" fontId="17" fillId="4" borderId="57" xfId="0" applyNumberFormat="1" applyFont="1" applyFill="1" applyBorder="1" applyAlignment="1">
      <alignment horizontal="center"/>
    </xf>
    <xf numFmtId="49" fontId="51" fillId="4" borderId="8" xfId="0" applyNumberFormat="1" applyFont="1" applyFill="1" applyBorder="1" applyAlignment="1">
      <alignment horizontal="center" vertical="center"/>
    </xf>
    <xf numFmtId="0" fontId="0" fillId="4" borderId="2" xfId="0" applyFill="1" applyBorder="1" applyAlignment="1">
      <alignment horizontal="center"/>
    </xf>
    <xf numFmtId="0" fontId="62" fillId="4" borderId="8" xfId="0" applyFont="1" applyFill="1" applyBorder="1" applyAlignment="1">
      <alignment horizontal="center"/>
    </xf>
    <xf numFmtId="0" fontId="54" fillId="4" borderId="67" xfId="0" applyFont="1" applyFill="1" applyBorder="1" applyAlignment="1">
      <alignment horizontal="center"/>
    </xf>
    <xf numFmtId="49" fontId="17" fillId="0" borderId="19" xfId="0" applyNumberFormat="1" applyFont="1" applyBorder="1" applyAlignment="1" applyProtection="1">
      <alignment horizontal="center" wrapText="1"/>
    </xf>
    <xf numFmtId="0" fontId="4" fillId="4" borderId="2" xfId="0" applyFont="1" applyFill="1" applyBorder="1"/>
    <xf numFmtId="0" fontId="4" fillId="4" borderId="19" xfId="0" applyFont="1" applyFill="1" applyBorder="1"/>
    <xf numFmtId="4" fontId="84" fillId="4" borderId="2" xfId="0" applyNumberFormat="1" applyFont="1" applyFill="1" applyBorder="1"/>
    <xf numFmtId="4" fontId="99" fillId="4" borderId="5" xfId="0" applyNumberFormat="1" applyFont="1" applyFill="1" applyBorder="1" applyAlignment="1" applyProtection="1">
      <alignment horizontal="right"/>
    </xf>
    <xf numFmtId="0" fontId="100" fillId="0" borderId="8" xfId="0" applyFont="1" applyBorder="1"/>
    <xf numFmtId="4" fontId="99" fillId="0" borderId="5" xfId="0" applyNumberFormat="1" applyFont="1" applyBorder="1" applyAlignment="1" applyProtection="1">
      <alignment horizontal="right"/>
    </xf>
    <xf numFmtId="0" fontId="4" fillId="0" borderId="8" xfId="0" applyFont="1" applyBorder="1"/>
    <xf numFmtId="4" fontId="95" fillId="4" borderId="8" xfId="0" applyNumberFormat="1" applyFont="1" applyFill="1" applyBorder="1"/>
    <xf numFmtId="4" fontId="95" fillId="4" borderId="5" xfId="0" applyNumberFormat="1" applyFont="1" applyFill="1" applyBorder="1"/>
    <xf numFmtId="4" fontId="91" fillId="4" borderId="8" xfId="0" applyNumberFormat="1" applyFont="1" applyFill="1" applyBorder="1"/>
    <xf numFmtId="4" fontId="91" fillId="4" borderId="5" xfId="0" applyNumberFormat="1" applyFont="1" applyFill="1" applyBorder="1"/>
    <xf numFmtId="4" fontId="91" fillId="4" borderId="0" xfId="0" applyNumberFormat="1" applyFont="1" applyFill="1" applyBorder="1"/>
    <xf numFmtId="4" fontId="85" fillId="4" borderId="2" xfId="0" applyNumberFormat="1" applyFont="1" applyFill="1" applyBorder="1"/>
    <xf numFmtId="4" fontId="101" fillId="4" borderId="2" xfId="0" applyNumberFormat="1" applyFont="1" applyFill="1" applyBorder="1"/>
    <xf numFmtId="4" fontId="101" fillId="4" borderId="8" xfId="0" applyNumberFormat="1" applyFont="1" applyFill="1" applyBorder="1"/>
    <xf numFmtId="4" fontId="87" fillId="0" borderId="8" xfId="0" applyNumberFormat="1" applyFont="1" applyBorder="1"/>
    <xf numFmtId="0" fontId="39" fillId="0" borderId="0" xfId="0" applyFont="1" applyFill="1" applyAlignment="1">
      <alignment horizontal="center"/>
    </xf>
    <xf numFmtId="3" fontId="39" fillId="0" borderId="2" xfId="0" applyNumberFormat="1" applyFont="1" applyFill="1" applyBorder="1" applyAlignment="1">
      <alignment horizontal="center" wrapText="1"/>
    </xf>
    <xf numFmtId="0" fontId="39" fillId="0" borderId="2" xfId="0" applyFont="1" applyFill="1" applyBorder="1" applyAlignment="1">
      <alignment horizontal="center" wrapText="1"/>
    </xf>
    <xf numFmtId="0" fontId="58" fillId="4" borderId="2" xfId="0" applyFont="1" applyFill="1" applyBorder="1" applyAlignment="1">
      <alignment horizontal="left" vertical="center" wrapText="1"/>
    </xf>
    <xf numFmtId="0" fontId="58" fillId="4" borderId="57" xfId="0" applyFont="1" applyFill="1" applyBorder="1" applyAlignment="1">
      <alignment horizontal="left" vertical="center" wrapText="1"/>
    </xf>
    <xf numFmtId="0" fontId="58" fillId="4" borderId="19" xfId="0" applyFont="1" applyFill="1" applyBorder="1" applyAlignment="1">
      <alignment horizontal="left" vertical="center" wrapText="1"/>
    </xf>
    <xf numFmtId="0" fontId="58" fillId="4" borderId="19" xfId="0" applyFont="1" applyFill="1" applyBorder="1" applyAlignment="1">
      <alignment horizontal="center" vertical="center" wrapText="1"/>
    </xf>
    <xf numFmtId="0" fontId="63" fillId="4" borderId="19" xfId="0" applyFont="1" applyFill="1" applyBorder="1" applyAlignment="1">
      <alignment horizontal="left" vertical="center" wrapText="1"/>
    </xf>
    <xf numFmtId="0" fontId="68" fillId="4" borderId="19" xfId="0" applyFont="1" applyFill="1" applyBorder="1" applyAlignment="1">
      <alignment horizontal="left" vertical="center"/>
    </xf>
    <xf numFmtId="49" fontId="42" fillId="4" borderId="24" xfId="0" applyNumberFormat="1" applyFont="1" applyFill="1" applyBorder="1" applyAlignment="1" applyProtection="1">
      <alignment horizontal="left" vertical="center" wrapText="1"/>
    </xf>
    <xf numFmtId="49" fontId="51" fillId="4" borderId="2" xfId="0" applyNumberFormat="1" applyFont="1" applyFill="1" applyBorder="1" applyAlignment="1">
      <alignment horizontal="center"/>
    </xf>
    <xf numFmtId="49" fontId="51" fillId="4" borderId="19" xfId="0" applyNumberFormat="1" applyFont="1" applyFill="1" applyBorder="1" applyAlignment="1">
      <alignment horizontal="center"/>
    </xf>
    <xf numFmtId="49" fontId="42" fillId="4" borderId="19" xfId="0" applyNumberFormat="1" applyFont="1" applyFill="1" applyBorder="1" applyAlignment="1" applyProtection="1">
      <alignment horizontal="center" wrapText="1"/>
    </xf>
    <xf numFmtId="0" fontId="39" fillId="0" borderId="0" xfId="0" applyFont="1" applyFill="1" applyAlignment="1">
      <alignment horizontal="left"/>
    </xf>
    <xf numFmtId="0" fontId="39" fillId="0" borderId="8" xfId="0" applyFont="1" applyFill="1" applyBorder="1" applyAlignment="1">
      <alignment horizontal="center" wrapText="1"/>
    </xf>
    <xf numFmtId="0" fontId="39" fillId="0" borderId="0" xfId="0" applyFont="1" applyFill="1" applyAlignment="1">
      <alignment horizontal="center" wrapText="1"/>
    </xf>
    <xf numFmtId="0" fontId="0" fillId="4" borderId="19" xfId="0" applyFill="1" applyBorder="1" applyAlignment="1">
      <alignment horizontal="left" vertical="center" wrapText="1"/>
    </xf>
    <xf numFmtId="0" fontId="0" fillId="4" borderId="19" xfId="0" applyFill="1" applyBorder="1" applyAlignment="1">
      <alignment horizontal="center" wrapText="1"/>
    </xf>
    <xf numFmtId="0" fontId="0" fillId="4" borderId="19" xfId="0" applyFill="1" applyBorder="1" applyAlignment="1">
      <alignment horizontal="center"/>
    </xf>
    <xf numFmtId="49" fontId="17" fillId="4" borderId="50" xfId="0" applyNumberFormat="1" applyFont="1" applyFill="1" applyBorder="1" applyAlignment="1" applyProtection="1">
      <alignment horizontal="left" vertical="center" wrapText="1"/>
    </xf>
    <xf numFmtId="0" fontId="54" fillId="4" borderId="19" xfId="0" applyFont="1" applyFill="1" applyBorder="1" applyAlignment="1">
      <alignment horizontal="center"/>
    </xf>
    <xf numFmtId="0" fontId="54" fillId="4" borderId="2" xfId="0" applyFont="1" applyFill="1" applyBorder="1" applyAlignment="1">
      <alignment horizontal="center"/>
    </xf>
    <xf numFmtId="49" fontId="17" fillId="4" borderId="19" xfId="0" applyNumberFormat="1" applyFont="1" applyFill="1" applyBorder="1" applyAlignment="1">
      <alignment horizontal="center"/>
    </xf>
    <xf numFmtId="49" fontId="17" fillId="4" borderId="2" xfId="0" applyNumberFormat="1" applyFont="1" applyFill="1" applyBorder="1" applyAlignment="1">
      <alignment horizontal="center"/>
    </xf>
    <xf numFmtId="0" fontId="39" fillId="0" borderId="0" xfId="0" applyFont="1" applyFill="1" applyAlignment="1">
      <alignment horizontal="right"/>
    </xf>
    <xf numFmtId="0" fontId="58" fillId="4" borderId="57" xfId="0" applyFont="1" applyFill="1" applyBorder="1" applyAlignment="1">
      <alignment horizontal="left" vertical="center"/>
    </xf>
    <xf numFmtId="49" fontId="17" fillId="4" borderId="57" xfId="0" applyNumberFormat="1" applyFont="1" applyFill="1" applyBorder="1" applyAlignment="1">
      <alignment horizontal="center"/>
    </xf>
    <xf numFmtId="49" fontId="51" fillId="4" borderId="8" xfId="0" applyNumberFormat="1" applyFont="1" applyFill="1" applyBorder="1" applyAlignment="1">
      <alignment horizontal="center" vertical="center"/>
    </xf>
    <xf numFmtId="0" fontId="0" fillId="4" borderId="2" xfId="0" applyFill="1" applyBorder="1" applyAlignment="1">
      <alignment horizontal="center"/>
    </xf>
    <xf numFmtId="0" fontId="62" fillId="4" borderId="8" xfId="0" applyFont="1" applyFill="1" applyBorder="1" applyAlignment="1">
      <alignment horizontal="center"/>
    </xf>
    <xf numFmtId="0" fontId="54" fillId="4" borderId="67" xfId="0" applyFont="1" applyFill="1" applyBorder="1" applyAlignment="1">
      <alignment horizontal="center"/>
    </xf>
    <xf numFmtId="49" fontId="17" fillId="0" borderId="19" xfId="0" applyNumberFormat="1" applyFont="1" applyBorder="1" applyAlignment="1" applyProtection="1">
      <alignment horizontal="center" wrapText="1"/>
    </xf>
    <xf numFmtId="4" fontId="95" fillId="4" borderId="2" xfId="0" applyNumberFormat="1" applyFont="1" applyFill="1" applyBorder="1"/>
    <xf numFmtId="0" fontId="102" fillId="0" borderId="8" xfId="0" applyFont="1" applyBorder="1"/>
    <xf numFmtId="4" fontId="87" fillId="4" borderId="35" xfId="0" applyNumberFormat="1" applyFont="1" applyFill="1" applyBorder="1" applyAlignment="1" applyProtection="1">
      <alignment horizontal="right"/>
    </xf>
    <xf numFmtId="4" fontId="101" fillId="4" borderId="5" xfId="0" applyNumberFormat="1" applyFont="1" applyFill="1" applyBorder="1"/>
    <xf numFmtId="4" fontId="86" fillId="0" borderId="8" xfId="0" applyNumberFormat="1" applyFont="1" applyBorder="1"/>
    <xf numFmtId="0" fontId="39" fillId="0" borderId="0" xfId="0" applyFont="1" applyFill="1" applyAlignment="1">
      <alignment horizontal="center"/>
    </xf>
    <xf numFmtId="3" fontId="39" fillId="0" borderId="2" xfId="0" applyNumberFormat="1" applyFont="1" applyFill="1" applyBorder="1" applyAlignment="1">
      <alignment horizontal="center" wrapText="1"/>
    </xf>
    <xf numFmtId="0" fontId="39" fillId="0" borderId="2" xfId="0" applyFont="1" applyFill="1" applyBorder="1" applyAlignment="1">
      <alignment horizontal="center" wrapText="1"/>
    </xf>
    <xf numFmtId="0" fontId="58" fillId="4" borderId="2" xfId="0" applyFont="1" applyFill="1" applyBorder="1" applyAlignment="1">
      <alignment horizontal="left" vertical="center" wrapText="1"/>
    </xf>
    <xf numFmtId="0" fontId="58" fillId="4" borderId="57" xfId="0" applyFont="1" applyFill="1" applyBorder="1" applyAlignment="1">
      <alignment horizontal="left" vertical="center" wrapText="1"/>
    </xf>
    <xf numFmtId="0" fontId="58" fillId="4" borderId="19" xfId="0" applyFont="1" applyFill="1" applyBorder="1" applyAlignment="1">
      <alignment horizontal="left" vertical="center" wrapText="1"/>
    </xf>
    <xf numFmtId="0" fontId="58" fillId="4" borderId="19" xfId="0" applyFont="1" applyFill="1" applyBorder="1" applyAlignment="1">
      <alignment horizontal="center" vertical="center" wrapText="1"/>
    </xf>
    <xf numFmtId="0" fontId="63" fillId="4" borderId="19" xfId="0" applyFont="1" applyFill="1" applyBorder="1" applyAlignment="1">
      <alignment horizontal="left" vertical="center" wrapText="1"/>
    </xf>
    <xf numFmtId="0" fontId="68" fillId="4" borderId="19" xfId="0" applyFont="1" applyFill="1" applyBorder="1" applyAlignment="1">
      <alignment horizontal="left" vertical="center"/>
    </xf>
    <xf numFmtId="49" fontId="42" fillId="4" borderId="24" xfId="0" applyNumberFormat="1" applyFont="1" applyFill="1" applyBorder="1" applyAlignment="1" applyProtection="1">
      <alignment horizontal="left" vertical="center" wrapText="1"/>
    </xf>
    <xf numFmtId="49" fontId="51" fillId="4" borderId="2" xfId="0" applyNumberFormat="1" applyFont="1" applyFill="1" applyBorder="1" applyAlignment="1">
      <alignment horizontal="center"/>
    </xf>
    <xf numFmtId="49" fontId="51" fillId="4" borderId="19" xfId="0" applyNumberFormat="1" applyFont="1" applyFill="1" applyBorder="1" applyAlignment="1">
      <alignment horizontal="center"/>
    </xf>
    <xf numFmtId="49" fontId="42" fillId="4" borderId="19" xfId="0" applyNumberFormat="1" applyFont="1" applyFill="1" applyBorder="1" applyAlignment="1" applyProtection="1">
      <alignment horizontal="center" wrapText="1"/>
    </xf>
    <xf numFmtId="0" fontId="39" fillId="0" borderId="0" xfId="0" applyFont="1" applyFill="1" applyAlignment="1">
      <alignment horizontal="left"/>
    </xf>
    <xf numFmtId="0" fontId="39" fillId="0" borderId="8" xfId="0" applyFont="1" applyFill="1" applyBorder="1" applyAlignment="1">
      <alignment horizontal="center" wrapText="1"/>
    </xf>
    <xf numFmtId="0" fontId="39" fillId="0" borderId="0" xfId="0" applyFont="1" applyFill="1" applyAlignment="1">
      <alignment horizontal="center" wrapText="1"/>
    </xf>
    <xf numFmtId="0" fontId="0" fillId="4" borderId="19" xfId="0" applyFill="1" applyBorder="1" applyAlignment="1">
      <alignment horizontal="left" vertical="center" wrapText="1"/>
    </xf>
    <xf numFmtId="0" fontId="0" fillId="4" borderId="19" xfId="0" applyFill="1" applyBorder="1" applyAlignment="1">
      <alignment horizontal="center" wrapText="1"/>
    </xf>
    <xf numFmtId="0" fontId="0" fillId="4" borderId="19" xfId="0" applyFill="1" applyBorder="1" applyAlignment="1">
      <alignment horizontal="center"/>
    </xf>
    <xf numFmtId="49" fontId="17" fillId="4" borderId="50" xfId="0" applyNumberFormat="1" applyFont="1" applyFill="1" applyBorder="1" applyAlignment="1" applyProtection="1">
      <alignment horizontal="left" vertical="center" wrapText="1"/>
    </xf>
    <xf numFmtId="0" fontId="54" fillId="4" borderId="19" xfId="0" applyFont="1" applyFill="1" applyBorder="1" applyAlignment="1">
      <alignment horizontal="center"/>
    </xf>
    <xf numFmtId="0" fontId="54" fillId="4" borderId="2" xfId="0" applyFont="1" applyFill="1" applyBorder="1" applyAlignment="1">
      <alignment horizontal="center"/>
    </xf>
    <xf numFmtId="49" fontId="17" fillId="4" borderId="19" xfId="0" applyNumberFormat="1" applyFont="1" applyFill="1" applyBorder="1" applyAlignment="1">
      <alignment horizontal="center"/>
    </xf>
    <xf numFmtId="49" fontId="17" fillId="4" borderId="2" xfId="0" applyNumberFormat="1" applyFont="1" applyFill="1" applyBorder="1" applyAlignment="1">
      <alignment horizontal="center"/>
    </xf>
    <xf numFmtId="0" fontId="39" fillId="0" borderId="0" xfId="0" applyFont="1" applyFill="1" applyAlignment="1">
      <alignment horizontal="right"/>
    </xf>
    <xf numFmtId="0" fontId="58" fillId="4" borderId="57" xfId="0" applyFont="1" applyFill="1" applyBorder="1" applyAlignment="1">
      <alignment horizontal="left" vertical="center"/>
    </xf>
    <xf numFmtId="49" fontId="51" fillId="4" borderId="8" xfId="0" applyNumberFormat="1" applyFont="1" applyFill="1" applyBorder="1" applyAlignment="1">
      <alignment horizontal="center" vertical="center"/>
    </xf>
    <xf numFmtId="0" fontId="0" fillId="4" borderId="2" xfId="0" applyFill="1" applyBorder="1" applyAlignment="1">
      <alignment horizontal="center"/>
    </xf>
    <xf numFmtId="0" fontId="62" fillId="4" borderId="8" xfId="0" applyFont="1" applyFill="1" applyBorder="1" applyAlignment="1">
      <alignment horizontal="center"/>
    </xf>
    <xf numFmtId="0" fontId="54" fillId="4" borderId="67" xfId="0" applyFont="1" applyFill="1" applyBorder="1" applyAlignment="1">
      <alignment horizontal="center"/>
    </xf>
    <xf numFmtId="49" fontId="17" fillId="0" borderId="19" xfId="0" applyNumberFormat="1" applyFont="1" applyBorder="1" applyAlignment="1" applyProtection="1">
      <alignment horizontal="center" wrapText="1"/>
    </xf>
    <xf numFmtId="4" fontId="18" fillId="4" borderId="19" xfId="0" applyNumberFormat="1" applyFont="1" applyFill="1" applyBorder="1"/>
    <xf numFmtId="0" fontId="103" fillId="0" borderId="8" xfId="0" applyFont="1" applyBorder="1"/>
    <xf numFmtId="0" fontId="54" fillId="4" borderId="67" xfId="0" applyFont="1" applyFill="1" applyBorder="1" applyAlignment="1">
      <alignment horizontal="center"/>
    </xf>
    <xf numFmtId="0" fontId="4" fillId="4" borderId="47" xfId="0" applyFont="1" applyFill="1" applyBorder="1"/>
    <xf numFmtId="4" fontId="84" fillId="4" borderId="47" xfId="0" applyNumberFormat="1" applyFont="1" applyFill="1" applyBorder="1"/>
    <xf numFmtId="0" fontId="73" fillId="4" borderId="47" xfId="0" applyFont="1" applyFill="1" applyBorder="1" applyAlignment="1">
      <alignment horizontal="left" vertical="center"/>
    </xf>
    <xf numFmtId="0" fontId="73" fillId="4" borderId="2" xfId="0" applyFont="1" applyFill="1" applyBorder="1" applyAlignment="1">
      <alignment horizontal="left" vertical="center"/>
    </xf>
    <xf numFmtId="0" fontId="96" fillId="4" borderId="47" xfId="0" applyFont="1" applyFill="1" applyBorder="1"/>
    <xf numFmtId="0" fontId="39" fillId="0" borderId="0" xfId="0" applyFont="1" applyFill="1" applyAlignment="1">
      <alignment horizontal="center"/>
    </xf>
    <xf numFmtId="3" fontId="39" fillId="0" borderId="2" xfId="0" applyNumberFormat="1" applyFont="1" applyFill="1" applyBorder="1" applyAlignment="1">
      <alignment horizontal="center" wrapText="1"/>
    </xf>
    <xf numFmtId="0" fontId="39" fillId="0" borderId="2" xfId="0" applyFont="1" applyFill="1" applyBorder="1" applyAlignment="1">
      <alignment horizontal="center" wrapText="1"/>
    </xf>
    <xf numFmtId="0" fontId="58" fillId="4" borderId="2" xfId="0" applyFont="1" applyFill="1" applyBorder="1" applyAlignment="1">
      <alignment horizontal="left" vertical="center" wrapText="1"/>
    </xf>
    <xf numFmtId="0" fontId="58" fillId="4" borderId="57" xfId="0" applyFont="1" applyFill="1" applyBorder="1" applyAlignment="1">
      <alignment horizontal="left" vertical="center" wrapText="1"/>
    </xf>
    <xf numFmtId="0" fontId="58" fillId="4" borderId="19" xfId="0" applyFont="1" applyFill="1" applyBorder="1" applyAlignment="1">
      <alignment horizontal="left" vertical="center" wrapText="1"/>
    </xf>
    <xf numFmtId="0" fontId="58" fillId="4" borderId="19" xfId="0" applyFont="1" applyFill="1" applyBorder="1" applyAlignment="1">
      <alignment horizontal="center" vertical="center" wrapText="1"/>
    </xf>
    <xf numFmtId="0" fontId="63" fillId="4" borderId="19" xfId="0" applyFont="1" applyFill="1" applyBorder="1" applyAlignment="1">
      <alignment horizontal="left" vertical="center" wrapText="1"/>
    </xf>
    <xf numFmtId="0" fontId="68" fillId="4" borderId="19" xfId="0" applyFont="1" applyFill="1" applyBorder="1" applyAlignment="1">
      <alignment horizontal="left" vertical="center"/>
    </xf>
    <xf numFmtId="49" fontId="42" fillId="4" borderId="24" xfId="0" applyNumberFormat="1" applyFont="1" applyFill="1" applyBorder="1" applyAlignment="1" applyProtection="1">
      <alignment horizontal="left" vertical="center" wrapText="1"/>
    </xf>
    <xf numFmtId="49" fontId="51" fillId="4" borderId="2" xfId="0" applyNumberFormat="1" applyFont="1" applyFill="1" applyBorder="1" applyAlignment="1">
      <alignment horizontal="center"/>
    </xf>
    <xf numFmtId="49" fontId="51" fillId="4" borderId="19" xfId="0" applyNumberFormat="1" applyFont="1" applyFill="1" applyBorder="1" applyAlignment="1">
      <alignment horizontal="center"/>
    </xf>
    <xf numFmtId="49" fontId="42" fillId="4" borderId="19" xfId="0" applyNumberFormat="1" applyFont="1" applyFill="1" applyBorder="1" applyAlignment="1" applyProtection="1">
      <alignment horizontal="center" wrapText="1"/>
    </xf>
    <xf numFmtId="0" fontId="39" fillId="0" borderId="0" xfId="0" applyFont="1" applyFill="1" applyAlignment="1">
      <alignment horizontal="left"/>
    </xf>
    <xf numFmtId="0" fontId="39" fillId="0" borderId="8" xfId="0" applyFont="1" applyFill="1" applyBorder="1" applyAlignment="1">
      <alignment horizontal="center" wrapText="1"/>
    </xf>
    <xf numFmtId="0" fontId="39" fillId="0" borderId="0" xfId="0" applyFont="1" applyFill="1" applyAlignment="1">
      <alignment horizontal="center" wrapText="1"/>
    </xf>
    <xf numFmtId="0" fontId="0" fillId="4" borderId="19" xfId="0" applyFill="1" applyBorder="1" applyAlignment="1">
      <alignment horizontal="left" vertical="center" wrapText="1"/>
    </xf>
    <xf numFmtId="0" fontId="0" fillId="4" borderId="19" xfId="0" applyFill="1" applyBorder="1" applyAlignment="1">
      <alignment horizontal="center" wrapText="1"/>
    </xf>
    <xf numFmtId="0" fontId="0" fillId="4" borderId="19" xfId="0" applyFill="1" applyBorder="1" applyAlignment="1">
      <alignment horizontal="center"/>
    </xf>
    <xf numFmtId="0" fontId="54" fillId="4" borderId="19" xfId="0" applyFont="1" applyFill="1" applyBorder="1" applyAlignment="1">
      <alignment horizontal="center"/>
    </xf>
    <xf numFmtId="0" fontId="54" fillId="4" borderId="2" xfId="0" applyFont="1" applyFill="1" applyBorder="1" applyAlignment="1">
      <alignment horizontal="center"/>
    </xf>
    <xf numFmtId="49" fontId="17" fillId="4" borderId="19" xfId="0" applyNumberFormat="1" applyFont="1" applyFill="1" applyBorder="1" applyAlignment="1">
      <alignment horizontal="center"/>
    </xf>
    <xf numFmtId="49" fontId="17" fillId="4" borderId="2" xfId="0" applyNumberFormat="1" applyFont="1" applyFill="1" applyBorder="1" applyAlignment="1">
      <alignment horizontal="center"/>
    </xf>
    <xf numFmtId="0" fontId="39" fillId="0" borderId="0" xfId="0" applyFont="1" applyFill="1" applyAlignment="1">
      <alignment horizontal="right"/>
    </xf>
    <xf numFmtId="0" fontId="58" fillId="4" borderId="57" xfId="0" applyFont="1" applyFill="1" applyBorder="1" applyAlignment="1">
      <alignment horizontal="left" vertical="center"/>
    </xf>
    <xf numFmtId="49" fontId="58" fillId="4" borderId="19" xfId="0" applyNumberFormat="1" applyFont="1" applyFill="1" applyBorder="1" applyAlignment="1">
      <alignment horizontal="center"/>
    </xf>
    <xf numFmtId="49" fontId="51" fillId="4" borderId="8" xfId="0" applyNumberFormat="1" applyFont="1" applyFill="1" applyBorder="1" applyAlignment="1">
      <alignment horizontal="center" vertical="center"/>
    </xf>
    <xf numFmtId="0" fontId="0" fillId="4" borderId="2" xfId="0" applyFill="1" applyBorder="1" applyAlignment="1">
      <alignment horizontal="center"/>
    </xf>
    <xf numFmtId="0" fontId="62" fillId="4" borderId="8" xfId="0" applyFont="1" applyFill="1" applyBorder="1" applyAlignment="1">
      <alignment horizontal="center"/>
    </xf>
    <xf numFmtId="0" fontId="54" fillId="4" borderId="67" xfId="0" applyFont="1" applyFill="1" applyBorder="1" applyAlignment="1">
      <alignment horizontal="center"/>
    </xf>
    <xf numFmtId="49" fontId="17" fillId="0" borderId="19" xfId="0" applyNumberFormat="1" applyFont="1" applyBorder="1" applyAlignment="1" applyProtection="1">
      <alignment horizontal="center" wrapText="1"/>
    </xf>
    <xf numFmtId="4" fontId="87" fillId="4" borderId="0" xfId="0" applyNumberFormat="1" applyFont="1" applyFill="1" applyBorder="1" applyAlignment="1" applyProtection="1">
      <alignment horizontal="right"/>
    </xf>
    <xf numFmtId="4" fontId="87" fillId="4" borderId="8" xfId="0" applyNumberFormat="1" applyFont="1" applyFill="1" applyBorder="1"/>
    <xf numFmtId="0" fontId="85" fillId="4" borderId="5" xfId="0" applyFont="1" applyFill="1" applyBorder="1"/>
    <xf numFmtId="0" fontId="84" fillId="4" borderId="5" xfId="0" applyFont="1" applyFill="1" applyBorder="1"/>
    <xf numFmtId="4" fontId="17" fillId="4" borderId="72" xfId="0" applyNumberFormat="1" applyFont="1" applyFill="1" applyBorder="1" applyAlignment="1" applyProtection="1">
      <alignment horizontal="right"/>
    </xf>
    <xf numFmtId="4" fontId="84" fillId="4" borderId="57" xfId="0" applyNumberFormat="1" applyFont="1" applyFill="1" applyBorder="1"/>
    <xf numFmtId="49" fontId="42" fillId="4" borderId="73" xfId="0" applyNumberFormat="1" applyFont="1" applyFill="1" applyBorder="1" applyAlignment="1" applyProtection="1">
      <alignment horizontal="center" wrapText="1"/>
    </xf>
    <xf numFmtId="0" fontId="39" fillId="0" borderId="0" xfId="0" applyFont="1" applyFill="1" applyAlignment="1">
      <alignment horizontal="right"/>
    </xf>
    <xf numFmtId="0" fontId="58" fillId="4" borderId="57" xfId="0" applyFont="1" applyFill="1" applyBorder="1" applyAlignment="1">
      <alignment horizontal="left" vertical="center"/>
    </xf>
    <xf numFmtId="49" fontId="17" fillId="4" borderId="2" xfId="0" applyNumberFormat="1" applyFont="1" applyFill="1" applyBorder="1" applyAlignment="1">
      <alignment horizontal="center"/>
    </xf>
    <xf numFmtId="49" fontId="17" fillId="4" borderId="19" xfId="0" applyNumberFormat="1" applyFont="1" applyFill="1" applyBorder="1" applyAlignment="1">
      <alignment horizontal="center"/>
    </xf>
    <xf numFmtId="0" fontId="54" fillId="4" borderId="2" xfId="0" applyFont="1" applyFill="1" applyBorder="1" applyAlignment="1">
      <alignment horizontal="center"/>
    </xf>
    <xf numFmtId="0" fontId="54" fillId="4" borderId="19" xfId="0" applyFont="1" applyFill="1" applyBorder="1" applyAlignment="1">
      <alignment horizontal="center"/>
    </xf>
    <xf numFmtId="49" fontId="51" fillId="4" borderId="19" xfId="0" applyNumberFormat="1" applyFont="1" applyFill="1" applyBorder="1" applyAlignment="1">
      <alignment horizontal="center"/>
    </xf>
    <xf numFmtId="0" fontId="58" fillId="4" borderId="19" xfId="0" applyFont="1" applyFill="1" applyBorder="1" applyAlignment="1">
      <alignment horizontal="center" vertical="center" wrapText="1"/>
    </xf>
    <xf numFmtId="0" fontId="0" fillId="4" borderId="19" xfId="0" applyFill="1" applyBorder="1" applyAlignment="1">
      <alignment horizontal="center" wrapText="1"/>
    </xf>
    <xf numFmtId="0" fontId="63" fillId="4" borderId="19" xfId="0" applyFont="1" applyFill="1" applyBorder="1" applyAlignment="1">
      <alignment horizontal="left" vertical="center" wrapText="1"/>
    </xf>
    <xf numFmtId="0" fontId="39" fillId="0" borderId="0" xfId="0" applyFont="1" applyFill="1" applyAlignment="1">
      <alignment horizontal="center"/>
    </xf>
    <xf numFmtId="0" fontId="58" fillId="4" borderId="2" xfId="0" applyFont="1" applyFill="1" applyBorder="1" applyAlignment="1">
      <alignment horizontal="left" vertical="center" wrapText="1"/>
    </xf>
    <xf numFmtId="0" fontId="58" fillId="4" borderId="19" xfId="0" applyFont="1" applyFill="1" applyBorder="1" applyAlignment="1">
      <alignment horizontal="left" vertical="center" wrapText="1"/>
    </xf>
    <xf numFmtId="0" fontId="39" fillId="0" borderId="0" xfId="0" applyFont="1" applyFill="1" applyAlignment="1">
      <alignment horizontal="left"/>
    </xf>
    <xf numFmtId="0" fontId="39" fillId="0" borderId="8" xfId="0" applyFont="1" applyFill="1" applyBorder="1" applyAlignment="1">
      <alignment horizontal="center" wrapText="1"/>
    </xf>
    <xf numFmtId="0" fontId="39" fillId="0" borderId="0" xfId="0" applyFont="1" applyFill="1" applyAlignment="1">
      <alignment horizontal="center" wrapText="1"/>
    </xf>
    <xf numFmtId="0" fontId="0" fillId="4" borderId="19" xfId="0" applyFill="1" applyBorder="1" applyAlignment="1">
      <alignment horizontal="left" vertical="center" wrapText="1"/>
    </xf>
    <xf numFmtId="0" fontId="0" fillId="4" borderId="19" xfId="0" applyFill="1" applyBorder="1" applyAlignment="1">
      <alignment horizontal="center"/>
    </xf>
    <xf numFmtId="3" fontId="39" fillId="0" borderId="2" xfId="0" applyNumberFormat="1" applyFont="1" applyFill="1" applyBorder="1" applyAlignment="1">
      <alignment horizontal="center" wrapText="1"/>
    </xf>
    <xf numFmtId="0" fontId="39" fillId="0" borderId="2" xfId="0" applyFont="1" applyFill="1" applyBorder="1" applyAlignment="1">
      <alignment horizontal="center" wrapText="1"/>
    </xf>
    <xf numFmtId="0" fontId="58" fillId="4" borderId="57" xfId="0" applyFont="1" applyFill="1" applyBorder="1" applyAlignment="1">
      <alignment horizontal="left" vertical="center" wrapText="1"/>
    </xf>
    <xf numFmtId="0" fontId="68" fillId="4" borderId="19" xfId="0" applyFont="1" applyFill="1" applyBorder="1" applyAlignment="1">
      <alignment horizontal="left" vertical="center"/>
    </xf>
    <xf numFmtId="49" fontId="42" fillId="4" borderId="24" xfId="0" applyNumberFormat="1" applyFont="1" applyFill="1" applyBorder="1" applyAlignment="1" applyProtection="1">
      <alignment horizontal="left" vertical="center" wrapText="1"/>
    </xf>
    <xf numFmtId="49" fontId="51" fillId="4" borderId="2" xfId="0" applyNumberFormat="1" applyFont="1" applyFill="1" applyBorder="1" applyAlignment="1">
      <alignment horizontal="center"/>
    </xf>
    <xf numFmtId="49" fontId="42" fillId="4" borderId="19" xfId="0" applyNumberFormat="1" applyFont="1" applyFill="1" applyBorder="1" applyAlignment="1" applyProtection="1">
      <alignment horizontal="center" wrapText="1"/>
    </xf>
    <xf numFmtId="49" fontId="58" fillId="4" borderId="19" xfId="0" applyNumberFormat="1" applyFont="1" applyFill="1" applyBorder="1" applyAlignment="1">
      <alignment horizontal="center"/>
    </xf>
    <xf numFmtId="49" fontId="51" fillId="4" borderId="8" xfId="0" applyNumberFormat="1" applyFont="1" applyFill="1" applyBorder="1" applyAlignment="1">
      <alignment horizontal="center" vertical="center"/>
    </xf>
    <xf numFmtId="0" fontId="54" fillId="4" borderId="67" xfId="0" applyFont="1" applyFill="1" applyBorder="1" applyAlignment="1">
      <alignment horizontal="center"/>
    </xf>
    <xf numFmtId="0" fontId="62" fillId="4" borderId="8" xfId="0" applyFont="1" applyFill="1" applyBorder="1" applyAlignment="1">
      <alignment horizontal="center"/>
    </xf>
    <xf numFmtId="0" fontId="0" fillId="4" borderId="2" xfId="0" applyFill="1" applyBorder="1" applyAlignment="1">
      <alignment horizontal="center"/>
    </xf>
    <xf numFmtId="49" fontId="17" fillId="0" borderId="19" xfId="0" applyNumberFormat="1" applyFont="1" applyBorder="1" applyAlignment="1" applyProtection="1">
      <alignment horizontal="center" wrapText="1"/>
    </xf>
    <xf numFmtId="0" fontId="39" fillId="0" borderId="0" xfId="0" applyFont="1" applyFill="1" applyAlignment="1">
      <alignment horizontal="left"/>
    </xf>
    <xf numFmtId="3" fontId="39" fillId="0" borderId="71" xfId="0" applyNumberFormat="1" applyFont="1" applyFill="1" applyBorder="1" applyAlignment="1">
      <alignment horizontal="center" wrapText="1"/>
    </xf>
    <xf numFmtId="3" fontId="21" fillId="0" borderId="19" xfId="0" applyNumberFormat="1" applyFont="1" applyFill="1" applyBorder="1" applyAlignment="1">
      <alignment horizontal="center" wrapText="1"/>
    </xf>
    <xf numFmtId="3" fontId="39" fillId="0" borderId="76" xfId="0" applyNumberFormat="1" applyFont="1" applyFill="1" applyBorder="1" applyAlignment="1">
      <alignment horizontal="center" wrapText="1"/>
    </xf>
    <xf numFmtId="3" fontId="19" fillId="0" borderId="75" xfId="0" applyNumberFormat="1" applyFont="1" applyFill="1" applyBorder="1" applyAlignment="1">
      <alignment horizontal="center" wrapText="1"/>
    </xf>
    <xf numFmtId="3" fontId="19" fillId="0" borderId="74" xfId="0" applyNumberFormat="1" applyFont="1" applyFill="1" applyBorder="1" applyAlignment="1">
      <alignment horizontal="center" wrapText="1"/>
    </xf>
    <xf numFmtId="3" fontId="17" fillId="0" borderId="19" xfId="0" applyNumberFormat="1" applyFont="1" applyFill="1" applyBorder="1" applyAlignment="1">
      <alignment horizontal="center" wrapText="1"/>
    </xf>
    <xf numFmtId="3" fontId="18" fillId="0" borderId="19" xfId="0" applyNumberFormat="1" applyFont="1" applyFill="1" applyBorder="1" applyAlignment="1">
      <alignment horizontal="center" wrapText="1"/>
    </xf>
    <xf numFmtId="0" fontId="39" fillId="0" borderId="0" xfId="0" applyFont="1" applyFill="1" applyAlignment="1">
      <alignment horizontal="left"/>
    </xf>
    <xf numFmtId="49" fontId="42" fillId="4" borderId="24" xfId="0" applyNumberFormat="1" applyFont="1" applyFill="1" applyBorder="1" applyAlignment="1" applyProtection="1">
      <alignment horizontal="left" vertical="center" wrapText="1"/>
    </xf>
    <xf numFmtId="4" fontId="59" fillId="4" borderId="5" xfId="0" applyNumberFormat="1" applyFont="1" applyFill="1" applyBorder="1" applyAlignment="1">
      <alignment wrapText="1"/>
    </xf>
    <xf numFmtId="4" fontId="87" fillId="4" borderId="5" xfId="0" applyNumberFormat="1" applyFont="1" applyFill="1" applyBorder="1" applyAlignment="1" applyProtection="1">
      <alignment horizontal="right"/>
    </xf>
    <xf numFmtId="4" fontId="86" fillId="4" borderId="17" xfId="0" applyNumberFormat="1" applyFont="1" applyFill="1" applyBorder="1"/>
    <xf numFmtId="3" fontId="18" fillId="4" borderId="8" xfId="0" applyNumberFormat="1" applyFont="1" applyFill="1" applyBorder="1" applyAlignment="1">
      <alignment wrapText="1"/>
    </xf>
    <xf numFmtId="3" fontId="18" fillId="0" borderId="8" xfId="0" applyNumberFormat="1" applyFont="1" applyFill="1" applyBorder="1" applyAlignment="1">
      <alignment wrapText="1"/>
    </xf>
    <xf numFmtId="49" fontId="42" fillId="4" borderId="70" xfId="0" applyNumberFormat="1" applyFont="1" applyFill="1" applyBorder="1" applyAlignment="1" applyProtection="1">
      <alignment horizontal="center" vertical="center" wrapText="1"/>
    </xf>
    <xf numFmtId="49" fontId="17" fillId="4" borderId="2" xfId="0" applyNumberFormat="1" applyFont="1" applyFill="1" applyBorder="1" applyAlignment="1">
      <alignment horizontal="center"/>
    </xf>
    <xf numFmtId="0" fontId="54" fillId="4" borderId="47" xfId="0" applyFont="1" applyFill="1" applyBorder="1" applyAlignment="1">
      <alignment horizontal="center"/>
    </xf>
    <xf numFmtId="4" fontId="2" fillId="0" borderId="8" xfId="0" applyNumberFormat="1" applyFont="1" applyFill="1" applyBorder="1" applyAlignment="1">
      <alignment horizontal="right" wrapText="1"/>
    </xf>
    <xf numFmtId="4" fontId="42" fillId="4" borderId="33" xfId="0" applyNumberFormat="1" applyFont="1" applyFill="1" applyBorder="1" applyAlignment="1" applyProtection="1">
      <alignment horizontal="right" wrapText="1"/>
    </xf>
    <xf numFmtId="4" fontId="42" fillId="4" borderId="8" xfId="0" applyNumberFormat="1" applyFont="1" applyFill="1" applyBorder="1" applyAlignment="1" applyProtection="1">
      <alignment horizontal="right" wrapText="1"/>
    </xf>
    <xf numFmtId="4" fontId="2" fillId="4" borderId="8" xfId="0" applyNumberFormat="1" applyFont="1" applyFill="1" applyBorder="1" applyAlignment="1">
      <alignment horizontal="right" wrapText="1"/>
    </xf>
    <xf numFmtId="4" fontId="54" fillId="4" borderId="8" xfId="0" applyNumberFormat="1" applyFont="1" applyFill="1" applyBorder="1" applyAlignment="1">
      <alignment horizontal="right"/>
    </xf>
    <xf numFmtId="4" fontId="17" fillId="4" borderId="33" xfId="0" applyNumberFormat="1" applyFont="1" applyFill="1" applyBorder="1" applyAlignment="1" applyProtection="1">
      <alignment horizontal="right" wrapText="1"/>
    </xf>
    <xf numFmtId="4" fontId="64" fillId="4" borderId="5" xfId="0" applyNumberFormat="1" applyFont="1" applyFill="1" applyBorder="1" applyAlignment="1">
      <alignment horizontal="right"/>
    </xf>
    <xf numFmtId="4" fontId="63" fillId="4" borderId="8" xfId="0" applyNumberFormat="1" applyFont="1" applyFill="1" applyBorder="1" applyAlignment="1">
      <alignment horizontal="right"/>
    </xf>
    <xf numFmtId="4" fontId="21" fillId="4" borderId="5" xfId="0" applyNumberFormat="1" applyFont="1" applyFill="1" applyBorder="1" applyAlignment="1">
      <alignment horizontal="right"/>
    </xf>
    <xf numFmtId="4" fontId="51" fillId="4" borderId="33" xfId="0" applyNumberFormat="1" applyFont="1" applyFill="1" applyBorder="1" applyAlignment="1" applyProtection="1">
      <alignment horizontal="right" wrapText="1"/>
    </xf>
    <xf numFmtId="4" fontId="58" fillId="0" borderId="8" xfId="0" applyNumberFormat="1" applyFont="1" applyBorder="1" applyAlignment="1">
      <alignment horizontal="right"/>
    </xf>
    <xf numFmtId="4" fontId="17" fillId="4" borderId="8" xfId="0" applyNumberFormat="1" applyFont="1" applyFill="1" applyBorder="1" applyAlignment="1" applyProtection="1">
      <alignment horizontal="right" wrapText="1"/>
    </xf>
    <xf numFmtId="4" fontId="17" fillId="0" borderId="8" xfId="0" applyNumberFormat="1" applyFont="1" applyBorder="1" applyAlignment="1" applyProtection="1">
      <alignment horizontal="right" wrapText="1"/>
    </xf>
    <xf numFmtId="4" fontId="18" fillId="4" borderId="5" xfId="0" applyNumberFormat="1" applyFont="1" applyFill="1" applyBorder="1" applyAlignment="1">
      <alignment horizontal="right"/>
    </xf>
    <xf numFmtId="0" fontId="54" fillId="4" borderId="3" xfId="0" applyFont="1" applyFill="1" applyBorder="1" applyAlignment="1">
      <alignment horizontal="center"/>
    </xf>
    <xf numFmtId="0" fontId="104" fillId="4" borderId="8" xfId="0" applyFont="1" applyFill="1" applyBorder="1"/>
    <xf numFmtId="0" fontId="95" fillId="4" borderId="8" xfId="0" applyFont="1" applyFill="1" applyBorder="1"/>
    <xf numFmtId="4" fontId="18" fillId="4" borderId="33" xfId="0" applyNumberFormat="1" applyFont="1" applyFill="1" applyBorder="1" applyAlignment="1" applyProtection="1">
      <alignment horizontal="right" wrapText="1"/>
    </xf>
    <xf numFmtId="4" fontId="18" fillId="4" borderId="8" xfId="0" applyNumberFormat="1" applyFont="1" applyFill="1" applyBorder="1" applyAlignment="1" applyProtection="1">
      <alignment horizontal="right" wrapText="1"/>
    </xf>
    <xf numFmtId="0" fontId="77" fillId="5" borderId="8" xfId="0" applyFont="1" applyFill="1" applyBorder="1"/>
    <xf numFmtId="0" fontId="78" fillId="5" borderId="8" xfId="0" applyFont="1" applyFill="1" applyBorder="1" applyAlignment="1">
      <alignment wrapText="1"/>
    </xf>
    <xf numFmtId="49" fontId="79" fillId="5" borderId="8" xfId="0" applyNumberFormat="1" applyFont="1" applyFill="1" applyBorder="1" applyAlignment="1">
      <alignment horizontal="center"/>
    </xf>
    <xf numFmtId="49" fontId="80" fillId="5" borderId="3" xfId="0" applyNumberFormat="1" applyFont="1" applyFill="1" applyBorder="1" applyAlignment="1" applyProtection="1">
      <alignment horizontal="center" wrapText="1"/>
    </xf>
    <xf numFmtId="49" fontId="80" fillId="5" borderId="8" xfId="0" applyNumberFormat="1" applyFont="1" applyFill="1" applyBorder="1" applyAlignment="1" applyProtection="1">
      <alignment horizontal="center" wrapText="1"/>
    </xf>
    <xf numFmtId="4" fontId="105" fillId="5" borderId="5" xfId="0" applyNumberFormat="1" applyFont="1" applyFill="1" applyBorder="1" applyAlignment="1" applyProtection="1">
      <alignment horizontal="right"/>
    </xf>
    <xf numFmtId="0" fontId="106" fillId="5" borderId="8" xfId="0" applyFont="1" applyFill="1" applyBorder="1"/>
    <xf numFmtId="0" fontId="76" fillId="5" borderId="8" xfId="0" applyFont="1" applyFill="1" applyBorder="1"/>
    <xf numFmtId="3" fontId="18" fillId="5" borderId="19" xfId="0" applyNumberFormat="1" applyFont="1" applyFill="1" applyBorder="1" applyAlignment="1">
      <alignment horizontal="center" wrapText="1"/>
    </xf>
    <xf numFmtId="0" fontId="82" fillId="5" borderId="8" xfId="0" applyFont="1" applyFill="1" applyBorder="1"/>
    <xf numFmtId="0" fontId="83" fillId="5" borderId="8" xfId="0" applyFont="1" applyFill="1" applyBorder="1"/>
    <xf numFmtId="0" fontId="83" fillId="5" borderId="3" xfId="0" applyFont="1" applyFill="1" applyBorder="1" applyAlignment="1">
      <alignment horizontal="center"/>
    </xf>
    <xf numFmtId="0" fontId="83" fillId="5" borderId="8" xfId="0" applyFont="1" applyFill="1" applyBorder="1" applyAlignment="1">
      <alignment horizontal="center"/>
    </xf>
    <xf numFmtId="4" fontId="105" fillId="5" borderId="5" xfId="0" applyNumberFormat="1" applyFont="1" applyFill="1" applyBorder="1"/>
    <xf numFmtId="0" fontId="75" fillId="5" borderId="8" xfId="0" applyFont="1" applyFill="1" applyBorder="1"/>
    <xf numFmtId="4" fontId="105" fillId="5" borderId="8" xfId="0" applyNumberFormat="1" applyFont="1" applyFill="1" applyBorder="1"/>
    <xf numFmtId="3" fontId="39" fillId="0" borderId="77" xfId="0" applyNumberFormat="1" applyFont="1" applyFill="1" applyBorder="1" applyAlignment="1">
      <alignment horizontal="center" wrapText="1"/>
    </xf>
    <xf numFmtId="0" fontId="1" fillId="0" borderId="0" xfId="0" applyFont="1" applyAlignment="1">
      <alignment horizontal="center" vertical="center" wrapText="1"/>
    </xf>
    <xf numFmtId="0" fontId="2" fillId="0" borderId="8"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 fillId="0" borderId="0" xfId="0" applyFont="1" applyAlignment="1">
      <alignment horizontal="left" wrapText="1"/>
    </xf>
    <xf numFmtId="0" fontId="1" fillId="0" borderId="0" xfId="0" applyFont="1" applyAlignment="1">
      <alignment horizontal="center" wrapText="1"/>
    </xf>
    <xf numFmtId="0" fontId="1" fillId="0" borderId="2" xfId="0" applyFont="1" applyBorder="1" applyAlignment="1">
      <alignment horizontal="center"/>
    </xf>
    <xf numFmtId="0" fontId="1" fillId="0" borderId="19" xfId="0" applyFont="1" applyBorder="1" applyAlignment="1">
      <alignment horizontal="center"/>
    </xf>
    <xf numFmtId="0" fontId="1" fillId="0" borderId="2" xfId="0" applyFont="1" applyBorder="1" applyAlignment="1">
      <alignment horizontal="center" wrapText="1"/>
    </xf>
    <xf numFmtId="0" fontId="1" fillId="0" borderId="19" xfId="0" applyFont="1" applyBorder="1" applyAlignment="1">
      <alignment horizontal="center" wrapText="1"/>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2" fillId="0" borderId="0" xfId="0" applyFont="1" applyAlignment="1">
      <alignment horizontal="center"/>
    </xf>
    <xf numFmtId="0" fontId="1" fillId="0" borderId="0" xfId="0" applyFont="1" applyAlignment="1">
      <alignment horizontal="right"/>
    </xf>
    <xf numFmtId="0" fontId="1" fillId="0" borderId="0" xfId="0" applyFont="1" applyAlignment="1">
      <alignment horizontal="center"/>
    </xf>
    <xf numFmtId="164" fontId="38" fillId="0" borderId="0" xfId="0" applyNumberFormat="1" applyFont="1" applyBorder="1" applyAlignment="1" applyProtection="1">
      <alignment horizontal="center" vertical="center" wrapText="1"/>
    </xf>
    <xf numFmtId="49" fontId="40" fillId="0" borderId="21" xfId="0" applyNumberFormat="1" applyFont="1" applyBorder="1" applyAlignment="1" applyProtection="1">
      <alignment horizontal="center" vertical="center" wrapText="1"/>
    </xf>
    <xf numFmtId="49" fontId="40" fillId="0" borderId="8" xfId="0" applyNumberFormat="1" applyFont="1" applyBorder="1" applyAlignment="1" applyProtection="1">
      <alignment horizontal="center" vertical="center" wrapText="1"/>
    </xf>
    <xf numFmtId="49" fontId="2" fillId="0" borderId="11" xfId="0" applyNumberFormat="1" applyFont="1" applyBorder="1" applyAlignment="1">
      <alignment horizontal="right" wrapText="1"/>
    </xf>
    <xf numFmtId="49" fontId="2" fillId="0" borderId="4" xfId="0" applyNumberFormat="1" applyFont="1" applyBorder="1" applyAlignment="1">
      <alignment horizontal="right" wrapText="1"/>
    </xf>
    <xf numFmtId="49" fontId="2" fillId="0" borderId="12" xfId="0" applyNumberFormat="1" applyFont="1" applyBorder="1" applyAlignment="1">
      <alignment horizontal="right" wrapText="1"/>
    </xf>
    <xf numFmtId="0" fontId="1" fillId="0" borderId="0" xfId="0" applyFont="1" applyAlignment="1">
      <alignment horizontal="right"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22" fillId="0" borderId="0" xfId="0" applyFont="1" applyAlignment="1">
      <alignment horizontal="center" wrapText="1"/>
    </xf>
    <xf numFmtId="0" fontId="2" fillId="0" borderId="0" xfId="0" applyFont="1" applyAlignment="1">
      <alignment horizontal="right"/>
    </xf>
    <xf numFmtId="49" fontId="2" fillId="0" borderId="3" xfId="0" applyNumberFormat="1" applyFont="1" applyBorder="1" applyAlignment="1">
      <alignment horizontal="right"/>
    </xf>
    <xf numFmtId="49" fontId="2" fillId="0" borderId="4" xfId="0" applyNumberFormat="1" applyFont="1" applyBorder="1" applyAlignment="1">
      <alignment horizontal="right"/>
    </xf>
    <xf numFmtId="49" fontId="2" fillId="0" borderId="5" xfId="0" applyNumberFormat="1" applyFont="1" applyBorder="1" applyAlignment="1">
      <alignment horizontal="right"/>
    </xf>
    <xf numFmtId="0" fontId="1" fillId="0" borderId="0" xfId="0" applyFont="1" applyAlignment="1">
      <alignment horizontal="left"/>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xf>
    <xf numFmtId="0" fontId="2" fillId="0" borderId="15" xfId="0" applyFont="1" applyBorder="1" applyAlignment="1">
      <alignment horizontal="center"/>
    </xf>
    <xf numFmtId="49" fontId="2" fillId="0" borderId="3" xfId="0" applyNumberFormat="1" applyFont="1" applyFill="1" applyBorder="1" applyAlignment="1">
      <alignment horizontal="center"/>
    </xf>
    <xf numFmtId="49" fontId="2" fillId="0" borderId="4" xfId="0" applyNumberFormat="1" applyFont="1" applyFill="1" applyBorder="1" applyAlignment="1">
      <alignment horizontal="center"/>
    </xf>
    <xf numFmtId="49" fontId="2" fillId="0" borderId="5" xfId="0" applyNumberFormat="1" applyFont="1" applyFill="1" applyBorder="1" applyAlignment="1">
      <alignment horizontal="center"/>
    </xf>
    <xf numFmtId="49" fontId="2" fillId="0" borderId="14"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15" xfId="0" applyNumberFormat="1" applyFont="1" applyFill="1" applyBorder="1" applyAlignment="1">
      <alignment horizontal="center"/>
    </xf>
    <xf numFmtId="49" fontId="2" fillId="0" borderId="14" xfId="0" applyNumberFormat="1" applyFont="1" applyBorder="1" applyAlignment="1">
      <alignment horizontal="center"/>
    </xf>
    <xf numFmtId="49" fontId="2" fillId="0" borderId="20" xfId="0" applyNumberFormat="1" applyFont="1" applyBorder="1" applyAlignment="1">
      <alignment horizontal="center"/>
    </xf>
    <xf numFmtId="49" fontId="2" fillId="0" borderId="15" xfId="0" applyNumberFormat="1" applyFont="1" applyBorder="1" applyAlignment="1">
      <alignment horizontal="center"/>
    </xf>
    <xf numFmtId="0" fontId="2" fillId="0" borderId="8" xfId="0" applyFont="1" applyBorder="1" applyAlignment="1">
      <alignment horizontal="center"/>
    </xf>
    <xf numFmtId="49" fontId="2" fillId="0" borderId="3" xfId="0" applyNumberFormat="1" applyFont="1" applyBorder="1" applyAlignment="1">
      <alignment horizontal="center"/>
    </xf>
    <xf numFmtId="49" fontId="2" fillId="0" borderId="4" xfId="0" applyNumberFormat="1" applyFont="1" applyBorder="1" applyAlignment="1">
      <alignment horizontal="center"/>
    </xf>
    <xf numFmtId="49" fontId="2" fillId="0" borderId="5" xfId="0" applyNumberFormat="1"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1" fillId="0" borderId="13" xfId="0" applyFont="1" applyBorder="1" applyAlignment="1">
      <alignment horizontal="center"/>
    </xf>
    <xf numFmtId="0" fontId="3" fillId="0" borderId="2" xfId="0" applyFont="1" applyBorder="1" applyAlignment="1">
      <alignment horizontal="center"/>
    </xf>
    <xf numFmtId="0" fontId="3" fillId="0" borderId="19" xfId="0" applyFont="1" applyBorder="1" applyAlignment="1">
      <alignment horizontal="center"/>
    </xf>
    <xf numFmtId="49" fontId="1" fillId="0" borderId="8" xfId="0" applyNumberFormat="1" applyFont="1" applyBorder="1" applyAlignment="1">
      <alignment horizontal="center"/>
    </xf>
    <xf numFmtId="49" fontId="1" fillId="0" borderId="14" xfId="0" applyNumberFormat="1" applyFont="1" applyBorder="1" applyAlignment="1">
      <alignment horizontal="center"/>
    </xf>
    <xf numFmtId="49" fontId="1" fillId="0" borderId="20" xfId="0" applyNumberFormat="1" applyFont="1" applyBorder="1" applyAlignment="1">
      <alignment horizontal="center"/>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3" xfId="0" applyNumberFormat="1" applyFont="1" applyBorder="1" applyAlignment="1">
      <alignment horizontal="center"/>
    </xf>
    <xf numFmtId="49" fontId="1" fillId="0" borderId="17" xfId="0" applyNumberFormat="1" applyFont="1" applyBorder="1" applyAlignment="1">
      <alignment horizontal="center"/>
    </xf>
    <xf numFmtId="0" fontId="1" fillId="0" borderId="8" xfId="0" applyFont="1" applyBorder="1" applyAlignment="1">
      <alignment horizontal="center"/>
    </xf>
    <xf numFmtId="49" fontId="2" fillId="0" borderId="8" xfId="0" applyNumberFormat="1" applyFont="1" applyBorder="1" applyAlignment="1">
      <alignment horizontal="right"/>
    </xf>
    <xf numFmtId="0" fontId="3" fillId="0" borderId="2" xfId="0" applyFont="1" applyBorder="1" applyAlignment="1">
      <alignment horizontal="center" vertical="center"/>
    </xf>
    <xf numFmtId="0" fontId="3" fillId="0" borderId="19" xfId="0" applyFont="1" applyBorder="1" applyAlignment="1">
      <alignment horizontal="center" vertic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49" fontId="1" fillId="0" borderId="5" xfId="0" applyNumberFormat="1" applyFont="1" applyBorder="1" applyAlignment="1">
      <alignment horizontal="center"/>
    </xf>
    <xf numFmtId="49" fontId="1" fillId="0" borderId="0" xfId="0" applyNumberFormat="1" applyFont="1" applyAlignment="1">
      <alignment horizontal="center"/>
    </xf>
    <xf numFmtId="0" fontId="7" fillId="0" borderId="8" xfId="0" applyFont="1" applyBorder="1" applyAlignment="1">
      <alignment horizontal="center"/>
    </xf>
    <xf numFmtId="0" fontId="11" fillId="0" borderId="8" xfId="0" applyFont="1" applyBorder="1" applyAlignment="1">
      <alignment horizontal="center"/>
    </xf>
    <xf numFmtId="0" fontId="0" fillId="0" borderId="13" xfId="0" applyBorder="1" applyAlignment="1">
      <alignment horizontal="right"/>
    </xf>
    <xf numFmtId="0" fontId="7" fillId="0" borderId="8" xfId="0" applyFont="1" applyBorder="1" applyAlignment="1">
      <alignment horizontal="center" wrapText="1"/>
    </xf>
    <xf numFmtId="0" fontId="7" fillId="0" borderId="3" xfId="0" applyFont="1" applyBorder="1" applyAlignment="1">
      <alignment horizontal="left" wrapText="1"/>
    </xf>
    <xf numFmtId="0" fontId="7" fillId="0" borderId="4" xfId="0" applyFont="1" applyBorder="1" applyAlignment="1">
      <alignment horizontal="left" wrapText="1"/>
    </xf>
    <xf numFmtId="49" fontId="0" fillId="0" borderId="3" xfId="0" applyNumberFormat="1" applyBorder="1" applyAlignment="1">
      <alignment horizontal="left" wrapText="1"/>
    </xf>
    <xf numFmtId="49" fontId="0" fillId="0" borderId="4" xfId="0" applyNumberFormat="1" applyBorder="1" applyAlignment="1">
      <alignment horizontal="left" wrapText="1"/>
    </xf>
    <xf numFmtId="49" fontId="0" fillId="0" borderId="5" xfId="0" applyNumberFormat="1" applyBorder="1" applyAlignment="1">
      <alignment horizontal="left" wrapText="1"/>
    </xf>
    <xf numFmtId="49" fontId="9" fillId="0" borderId="3" xfId="0" applyNumberFormat="1" applyFont="1" applyBorder="1" applyAlignment="1">
      <alignment horizontal="left"/>
    </xf>
    <xf numFmtId="49" fontId="0" fillId="0" borderId="4" xfId="0" applyNumberFormat="1" applyBorder="1" applyAlignment="1">
      <alignment horizontal="left"/>
    </xf>
    <xf numFmtId="49" fontId="0" fillId="0" borderId="5" xfId="0" applyNumberFormat="1" applyBorder="1" applyAlignment="1">
      <alignment horizontal="left"/>
    </xf>
    <xf numFmtId="49" fontId="9" fillId="0" borderId="3" xfId="0" applyNumberFormat="1" applyFont="1" applyBorder="1" applyAlignment="1">
      <alignment horizontal="left" wrapText="1"/>
    </xf>
    <xf numFmtId="49" fontId="0" fillId="0" borderId="3" xfId="0" applyNumberFormat="1" applyBorder="1" applyAlignment="1">
      <alignment wrapText="1"/>
    </xf>
    <xf numFmtId="49" fontId="0" fillId="0" borderId="4" xfId="0" applyNumberFormat="1" applyBorder="1" applyAlignment="1">
      <alignment wrapText="1"/>
    </xf>
    <xf numFmtId="49" fontId="0" fillId="0" borderId="5" xfId="0" applyNumberFormat="1" applyBorder="1" applyAlignment="1">
      <alignment wrapText="1"/>
    </xf>
    <xf numFmtId="49" fontId="0" fillId="0" borderId="3" xfId="0" applyNumberFormat="1" applyBorder="1" applyAlignment="1">
      <alignment horizontal="center" wrapText="1"/>
    </xf>
    <xf numFmtId="49" fontId="0" fillId="0" borderId="4" xfId="0" applyNumberFormat="1" applyBorder="1" applyAlignment="1">
      <alignment horizontal="center" wrapText="1"/>
    </xf>
    <xf numFmtId="49" fontId="0" fillId="0" borderId="5" xfId="0" applyNumberFormat="1" applyBorder="1" applyAlignment="1">
      <alignment horizontal="center" wrapText="1"/>
    </xf>
    <xf numFmtId="0" fontId="8" fillId="0" borderId="0" xfId="0" applyFont="1" applyAlignment="1">
      <alignment horizontal="center" wrapText="1"/>
    </xf>
    <xf numFmtId="0" fontId="0" fillId="0" borderId="0" xfId="0" applyAlignment="1">
      <alignment horizontal="right" wrapText="1"/>
    </xf>
    <xf numFmtId="49" fontId="0" fillId="0" borderId="14" xfId="0" applyNumberFormat="1" applyBorder="1" applyAlignment="1">
      <alignment horizontal="center" wrapText="1"/>
    </xf>
    <xf numFmtId="49" fontId="0" fillId="0" borderId="15" xfId="0" applyNumberFormat="1" applyBorder="1" applyAlignment="1">
      <alignment horizontal="center" wrapText="1"/>
    </xf>
    <xf numFmtId="49" fontId="0" fillId="0" borderId="16" xfId="0" applyNumberFormat="1" applyBorder="1" applyAlignment="1">
      <alignment horizontal="center" wrapText="1"/>
    </xf>
    <xf numFmtId="49" fontId="0" fillId="0" borderId="17" xfId="0" applyNumberFormat="1" applyBorder="1" applyAlignment="1">
      <alignment horizontal="center" wrapText="1"/>
    </xf>
    <xf numFmtId="0" fontId="0" fillId="0" borderId="8" xfId="0" applyBorder="1" applyAlignment="1">
      <alignment horizontal="center" wrapText="1"/>
    </xf>
    <xf numFmtId="0" fontId="9" fillId="0" borderId="3" xfId="0" applyFont="1"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9" fillId="0" borderId="3" xfId="0" applyFont="1" applyFill="1" applyBorder="1" applyAlignment="1">
      <alignment horizontal="center" wrapText="1"/>
    </xf>
    <xf numFmtId="0" fontId="0" fillId="0" borderId="4" xfId="0" applyFill="1" applyBorder="1" applyAlignment="1">
      <alignment horizontal="center" wrapText="1"/>
    </xf>
    <xf numFmtId="0" fontId="0" fillId="0" borderId="5" xfId="0" applyFill="1" applyBorder="1" applyAlignment="1">
      <alignment horizontal="center" wrapText="1"/>
    </xf>
    <xf numFmtId="49" fontId="0" fillId="0" borderId="3" xfId="0" applyNumberFormat="1" applyBorder="1" applyAlignment="1">
      <alignment horizontal="center"/>
    </xf>
    <xf numFmtId="49" fontId="0" fillId="0" borderId="4" xfId="0" applyNumberFormat="1" applyBorder="1" applyAlignment="1">
      <alignment horizontal="center"/>
    </xf>
    <xf numFmtId="49" fontId="0" fillId="0" borderId="5" xfId="0" applyNumberFormat="1" applyBorder="1" applyAlignment="1">
      <alignment horizontal="center"/>
    </xf>
    <xf numFmtId="49" fontId="12" fillId="0" borderId="8" xfId="0" applyNumberFormat="1" applyFont="1" applyBorder="1" applyAlignment="1">
      <alignment horizontal="center"/>
    </xf>
    <xf numFmtId="49" fontId="12" fillId="0" borderId="3" xfId="0" applyNumberFormat="1" applyFont="1" applyBorder="1" applyAlignment="1">
      <alignment horizontal="center"/>
    </xf>
    <xf numFmtId="49" fontId="12" fillId="0" borderId="4" xfId="0" applyNumberFormat="1" applyFont="1" applyBorder="1" applyAlignment="1">
      <alignment horizontal="center"/>
    </xf>
    <xf numFmtId="49" fontId="12" fillId="0" borderId="5" xfId="0" applyNumberFormat="1" applyFont="1" applyBorder="1" applyAlignment="1">
      <alignment horizontal="center"/>
    </xf>
    <xf numFmtId="0" fontId="18" fillId="0" borderId="0" xfId="0" applyFont="1" applyAlignment="1">
      <alignment horizontal="center"/>
    </xf>
    <xf numFmtId="0" fontId="19" fillId="0" borderId="0" xfId="0" applyFont="1" applyAlignment="1">
      <alignment horizontal="left" wrapText="1"/>
    </xf>
    <xf numFmtId="0" fontId="21" fillId="0" borderId="0" xfId="0" applyFont="1" applyAlignment="1">
      <alignment horizontal="center" wrapText="1"/>
    </xf>
    <xf numFmtId="0" fontId="1" fillId="0" borderId="8" xfId="0" applyFont="1" applyBorder="1" applyAlignment="1">
      <alignment horizontal="center" wrapText="1"/>
    </xf>
    <xf numFmtId="0" fontId="6" fillId="0" borderId="0" xfId="0" applyFont="1" applyAlignment="1">
      <alignment horizontal="right"/>
    </xf>
    <xf numFmtId="0" fontId="1" fillId="0" borderId="14" xfId="0" applyFont="1" applyBorder="1" applyAlignment="1">
      <alignment horizontal="center" wrapText="1"/>
    </xf>
    <xf numFmtId="0" fontId="1" fillId="0" borderId="20" xfId="0" applyFont="1" applyBorder="1" applyAlignment="1">
      <alignment horizontal="center" wrapText="1"/>
    </xf>
    <xf numFmtId="0" fontId="1" fillId="0" borderId="15" xfId="0" applyFont="1" applyBorder="1" applyAlignment="1">
      <alignment horizontal="center" wrapText="1"/>
    </xf>
    <xf numFmtId="0" fontId="29" fillId="0" borderId="0" xfId="0" applyFont="1" applyFill="1" applyAlignment="1">
      <alignment horizontal="right"/>
    </xf>
    <xf numFmtId="0" fontId="3" fillId="0" borderId="0" xfId="0" applyFont="1" applyAlignment="1">
      <alignment horizontal="center"/>
    </xf>
    <xf numFmtId="0" fontId="39" fillId="0" borderId="0" xfId="0" applyFont="1" applyFill="1" applyAlignment="1">
      <alignment horizontal="center"/>
    </xf>
    <xf numFmtId="0" fontId="61" fillId="0" borderId="8" xfId="0" applyFont="1" applyFill="1" applyBorder="1" applyAlignment="1">
      <alignment horizontal="center" wrapText="1"/>
    </xf>
    <xf numFmtId="3" fontId="39" fillId="0" borderId="8" xfId="0" applyNumberFormat="1" applyFont="1" applyFill="1" applyBorder="1" applyAlignment="1">
      <alignment horizontal="center" wrapText="1"/>
    </xf>
    <xf numFmtId="3" fontId="39" fillId="0" borderId="2" xfId="0" applyNumberFormat="1" applyFont="1" applyFill="1" applyBorder="1" applyAlignment="1">
      <alignment horizontal="center" wrapText="1"/>
    </xf>
    <xf numFmtId="3" fontId="39" fillId="0" borderId="18" xfId="0" applyNumberFormat="1" applyFont="1" applyFill="1" applyBorder="1" applyAlignment="1">
      <alignment horizontal="center" wrapText="1"/>
    </xf>
    <xf numFmtId="3" fontId="39" fillId="0" borderId="19" xfId="0" applyNumberFormat="1" applyFont="1" applyFill="1" applyBorder="1" applyAlignment="1">
      <alignment horizontal="center" wrapText="1"/>
    </xf>
    <xf numFmtId="0" fontId="39" fillId="0" borderId="2" xfId="0" applyFont="1" applyFill="1" applyBorder="1" applyAlignment="1">
      <alignment horizontal="center" wrapText="1"/>
    </xf>
    <xf numFmtId="0" fontId="39" fillId="0" borderId="18" xfId="0" applyFont="1" applyFill="1" applyBorder="1" applyAlignment="1">
      <alignment horizontal="center" wrapText="1"/>
    </xf>
    <xf numFmtId="0" fontId="39" fillId="0" borderId="19" xfId="0" applyFont="1" applyFill="1" applyBorder="1" applyAlignment="1">
      <alignment horizontal="center" wrapText="1"/>
    </xf>
    <xf numFmtId="0" fontId="39" fillId="0" borderId="2" xfId="0" applyFont="1" applyFill="1" applyBorder="1" applyAlignment="1">
      <alignment horizontal="center"/>
    </xf>
    <xf numFmtId="0" fontId="39" fillId="0" borderId="18" xfId="0" applyFont="1" applyFill="1" applyBorder="1" applyAlignment="1">
      <alignment horizontal="center"/>
    </xf>
    <xf numFmtId="0" fontId="39" fillId="0" borderId="19" xfId="0" applyFont="1" applyFill="1" applyBorder="1" applyAlignment="1">
      <alignment horizontal="center"/>
    </xf>
    <xf numFmtId="0" fontId="58" fillId="4" borderId="2" xfId="0" applyFont="1" applyFill="1" applyBorder="1" applyAlignment="1">
      <alignment horizontal="left" vertical="center" wrapText="1"/>
    </xf>
    <xf numFmtId="0" fontId="58" fillId="4" borderId="57" xfId="0" applyFont="1" applyFill="1" applyBorder="1" applyAlignment="1">
      <alignment horizontal="left" vertical="center" wrapText="1"/>
    </xf>
    <xf numFmtId="0" fontId="58" fillId="4" borderId="37" xfId="0" applyFont="1" applyFill="1" applyBorder="1" applyAlignment="1">
      <alignment horizontal="left" vertical="center" wrapText="1"/>
    </xf>
    <xf numFmtId="0" fontId="58" fillId="4" borderId="19" xfId="0" applyFont="1" applyFill="1" applyBorder="1" applyAlignment="1">
      <alignment horizontal="left" vertical="center" wrapText="1"/>
    </xf>
    <xf numFmtId="49" fontId="42" fillId="4" borderId="47" xfId="0" applyNumberFormat="1" applyFont="1" applyFill="1" applyBorder="1" applyAlignment="1" applyProtection="1">
      <alignment horizontal="center" vertical="center" wrapText="1"/>
    </xf>
    <xf numFmtId="49" fontId="42" fillId="4" borderId="19" xfId="0" applyNumberFormat="1" applyFont="1" applyFill="1" applyBorder="1" applyAlignment="1" applyProtection="1">
      <alignment horizontal="center" vertical="center" wrapText="1"/>
    </xf>
    <xf numFmtId="0" fontId="58" fillId="4" borderId="47" xfId="0" applyFont="1" applyFill="1" applyBorder="1" applyAlignment="1">
      <alignment horizontal="center" vertical="center" wrapText="1"/>
    </xf>
    <xf numFmtId="0" fontId="58" fillId="4" borderId="19" xfId="0" applyFont="1" applyFill="1" applyBorder="1" applyAlignment="1">
      <alignment horizontal="center" vertical="center" wrapText="1"/>
    </xf>
    <xf numFmtId="0" fontId="63" fillId="4" borderId="2" xfId="0" applyFont="1" applyFill="1" applyBorder="1" applyAlignment="1">
      <alignment horizontal="left" vertical="center" wrapText="1"/>
    </xf>
    <xf numFmtId="0" fontId="63" fillId="4" borderId="37" xfId="0" applyFont="1" applyFill="1" applyBorder="1" applyAlignment="1">
      <alignment horizontal="left" vertical="center" wrapText="1"/>
    </xf>
    <xf numFmtId="0" fontId="63" fillId="4" borderId="19" xfId="0" applyFont="1" applyFill="1" applyBorder="1" applyAlignment="1">
      <alignment horizontal="left" vertical="center" wrapText="1"/>
    </xf>
    <xf numFmtId="0" fontId="72" fillId="4" borderId="2" xfId="0" applyFont="1" applyFill="1" applyBorder="1" applyAlignment="1">
      <alignment horizontal="left" vertical="center"/>
    </xf>
    <xf numFmtId="0" fontId="68" fillId="4" borderId="19" xfId="0" applyFont="1" applyFill="1" applyBorder="1" applyAlignment="1">
      <alignment horizontal="left" vertical="center"/>
    </xf>
    <xf numFmtId="49" fontId="42" fillId="4" borderId="53" xfId="0" applyNumberFormat="1" applyFont="1" applyFill="1" applyBorder="1" applyAlignment="1" applyProtection="1">
      <alignment horizontal="left" vertical="center" wrapText="1"/>
    </xf>
    <xf numFmtId="49" fontId="42" fillId="4" borderId="48" xfId="0" applyNumberFormat="1" applyFont="1" applyFill="1" applyBorder="1" applyAlignment="1" applyProtection="1">
      <alignment horizontal="left" vertical="center" wrapText="1"/>
    </xf>
    <xf numFmtId="49" fontId="42" fillId="4" borderId="53" xfId="0" applyNumberFormat="1" applyFont="1" applyFill="1" applyBorder="1" applyAlignment="1" applyProtection="1">
      <alignment horizontal="center" vertical="center" wrapText="1"/>
    </xf>
    <xf numFmtId="49" fontId="42" fillId="4" borderId="48" xfId="0" applyNumberFormat="1" applyFont="1" applyFill="1" applyBorder="1" applyAlignment="1" applyProtection="1">
      <alignment horizontal="center" vertical="center" wrapText="1"/>
    </xf>
    <xf numFmtId="49" fontId="42" fillId="4" borderId="50" xfId="0" applyNumberFormat="1" applyFont="1" applyFill="1" applyBorder="1" applyAlignment="1" applyProtection="1">
      <alignment horizontal="left" vertical="center" wrapText="1"/>
    </xf>
    <xf numFmtId="49" fontId="42" fillId="4" borderId="45" xfId="0" applyNumberFormat="1" applyFont="1" applyFill="1" applyBorder="1" applyAlignment="1" applyProtection="1">
      <alignment horizontal="left" vertical="center" wrapText="1"/>
    </xf>
    <xf numFmtId="49" fontId="42" fillId="4" borderId="46" xfId="0" applyNumberFormat="1" applyFont="1" applyFill="1" applyBorder="1" applyAlignment="1" applyProtection="1">
      <alignment horizontal="left" vertical="center" wrapText="1"/>
    </xf>
    <xf numFmtId="49" fontId="42" fillId="4" borderId="55" xfId="0" applyNumberFormat="1" applyFont="1" applyFill="1" applyBorder="1" applyAlignment="1" applyProtection="1">
      <alignment horizontal="left" vertical="center" wrapText="1"/>
    </xf>
    <xf numFmtId="49" fontId="42" fillId="4" borderId="24" xfId="0" applyNumberFormat="1" applyFont="1" applyFill="1" applyBorder="1" applyAlignment="1" applyProtection="1">
      <alignment horizontal="left" vertical="center" wrapText="1"/>
    </xf>
    <xf numFmtId="49" fontId="42" fillId="4" borderId="56" xfId="0" applyNumberFormat="1" applyFont="1" applyFill="1" applyBorder="1" applyAlignment="1" applyProtection="1">
      <alignment horizontal="left" vertical="center" wrapText="1"/>
    </xf>
    <xf numFmtId="49" fontId="51" fillId="4" borderId="2" xfId="0" applyNumberFormat="1" applyFont="1" applyFill="1" applyBorder="1" applyAlignment="1">
      <alignment horizontal="center"/>
    </xf>
    <xf numFmtId="49" fontId="51" fillId="4" borderId="19" xfId="0" applyNumberFormat="1" applyFont="1" applyFill="1" applyBorder="1" applyAlignment="1">
      <alignment horizontal="center"/>
    </xf>
    <xf numFmtId="49" fontId="42" fillId="4" borderId="2" xfId="0" applyNumberFormat="1" applyFont="1" applyFill="1" applyBorder="1" applyAlignment="1" applyProtection="1">
      <alignment horizontal="center" wrapText="1"/>
    </xf>
    <xf numFmtId="49" fontId="42" fillId="4" borderId="19" xfId="0" applyNumberFormat="1" applyFont="1" applyFill="1" applyBorder="1" applyAlignment="1" applyProtection="1">
      <alignment horizontal="center" wrapText="1"/>
    </xf>
    <xf numFmtId="0" fontId="0" fillId="4" borderId="49" xfId="0" applyFill="1" applyBorder="1" applyAlignment="1">
      <alignment horizontal="center"/>
    </xf>
    <xf numFmtId="0" fontId="0" fillId="4" borderId="43" xfId="0" applyFill="1" applyBorder="1" applyAlignment="1">
      <alignment horizontal="center"/>
    </xf>
    <xf numFmtId="0" fontId="71" fillId="0" borderId="0" xfId="3" applyFont="1" applyFill="1" applyAlignment="1" applyProtection="1">
      <alignment horizontal="center"/>
    </xf>
    <xf numFmtId="0" fontId="39" fillId="0" borderId="0" xfId="0" applyFont="1" applyFill="1" applyAlignment="1">
      <alignment horizontal="left"/>
    </xf>
    <xf numFmtId="0" fontId="39" fillId="0" borderId="8" xfId="0" applyFont="1" applyFill="1" applyBorder="1" applyAlignment="1">
      <alignment horizontal="center"/>
    </xf>
    <xf numFmtId="0" fontId="39" fillId="0" borderId="8" xfId="0" applyFont="1" applyFill="1" applyBorder="1" applyAlignment="1">
      <alignment horizontal="center" wrapText="1"/>
    </xf>
    <xf numFmtId="0" fontId="39" fillId="0" borderId="8" xfId="0" applyFont="1" applyFill="1" applyBorder="1" applyAlignment="1">
      <alignment horizontal="center" textRotation="90" wrapText="1"/>
    </xf>
    <xf numFmtId="0" fontId="39" fillId="0" borderId="2" xfId="0" applyFont="1" applyFill="1" applyBorder="1" applyAlignment="1">
      <alignment horizontal="center" textRotation="90" wrapText="1"/>
    </xf>
    <xf numFmtId="0" fontId="39" fillId="0" borderId="0" xfId="0" applyFont="1" applyFill="1" applyAlignment="1">
      <alignment horizontal="center" wrapText="1"/>
    </xf>
    <xf numFmtId="0" fontId="63" fillId="4" borderId="47" xfId="0" applyFont="1" applyFill="1" applyBorder="1" applyAlignment="1">
      <alignment horizontal="left" vertical="center" wrapText="1"/>
    </xf>
    <xf numFmtId="0" fontId="63" fillId="4" borderId="57" xfId="0" applyFont="1" applyFill="1" applyBorder="1" applyAlignment="1">
      <alignment horizontal="left" vertical="center" wrapText="1"/>
    </xf>
    <xf numFmtId="0" fontId="0" fillId="4" borderId="2" xfId="0" applyFill="1" applyBorder="1" applyAlignment="1">
      <alignment horizontal="left" vertical="center" wrapText="1"/>
    </xf>
    <xf numFmtId="0" fontId="0" fillId="4" borderId="37" xfId="0" applyFill="1" applyBorder="1" applyAlignment="1">
      <alignment horizontal="left" vertical="center" wrapText="1"/>
    </xf>
    <xf numFmtId="0" fontId="0" fillId="4" borderId="57" xfId="0" applyFill="1" applyBorder="1" applyAlignment="1">
      <alignment horizontal="left" vertical="center" wrapText="1"/>
    </xf>
    <xf numFmtId="0" fontId="0" fillId="4" borderId="19" xfId="0"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57"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0" fillId="4" borderId="2" xfId="0" applyFill="1" applyBorder="1" applyAlignment="1">
      <alignment horizontal="center" wrapText="1"/>
    </xf>
    <xf numFmtId="0" fontId="0" fillId="4" borderId="19" xfId="0" applyFill="1" applyBorder="1" applyAlignment="1">
      <alignment horizontal="center" wrapText="1"/>
    </xf>
    <xf numFmtId="0" fontId="0" fillId="4" borderId="37" xfId="0" applyFill="1" applyBorder="1" applyAlignment="1">
      <alignment horizontal="center" wrapText="1"/>
    </xf>
    <xf numFmtId="0" fontId="0" fillId="4" borderId="47" xfId="0" applyFill="1" applyBorder="1" applyAlignment="1">
      <alignment horizontal="center"/>
    </xf>
    <xf numFmtId="0" fontId="0" fillId="4" borderId="19" xfId="0" applyFill="1" applyBorder="1" applyAlignment="1">
      <alignment horizontal="center"/>
    </xf>
    <xf numFmtId="3" fontId="39" fillId="0" borderId="0" xfId="0" applyNumberFormat="1" applyFont="1" applyFill="1" applyAlignment="1">
      <alignment horizontal="left"/>
    </xf>
    <xf numFmtId="49" fontId="42" fillId="4" borderId="2" xfId="0" applyNumberFormat="1" applyFont="1" applyFill="1" applyBorder="1" applyAlignment="1" applyProtection="1">
      <alignment horizontal="left" vertical="center" wrapText="1"/>
    </xf>
    <xf numFmtId="49" fontId="58" fillId="4" borderId="2" xfId="0" applyNumberFormat="1" applyFont="1" applyFill="1" applyBorder="1" applyAlignment="1">
      <alignment horizontal="center" vertical="center"/>
    </xf>
    <xf numFmtId="49" fontId="58" fillId="4" borderId="19" xfId="0" applyNumberFormat="1" applyFont="1" applyFill="1" applyBorder="1" applyAlignment="1">
      <alignment horizontal="center" vertical="center"/>
    </xf>
    <xf numFmtId="49" fontId="42" fillId="4" borderId="2" xfId="0" applyNumberFormat="1" applyFont="1" applyFill="1" applyBorder="1" applyAlignment="1" applyProtection="1">
      <alignment horizontal="center" vertical="center" wrapText="1"/>
    </xf>
    <xf numFmtId="0" fontId="58" fillId="4" borderId="57" xfId="0" applyFont="1" applyFill="1" applyBorder="1" applyAlignment="1">
      <alignment horizontal="center" vertical="center" wrapText="1"/>
    </xf>
    <xf numFmtId="0" fontId="0" fillId="4" borderId="42" xfId="0" applyFill="1" applyBorder="1" applyAlignment="1">
      <alignment horizontal="center"/>
    </xf>
    <xf numFmtId="49" fontId="51" fillId="4" borderId="47" xfId="0" applyNumberFormat="1" applyFont="1" applyFill="1" applyBorder="1" applyAlignment="1">
      <alignment horizontal="center" vertical="top"/>
    </xf>
    <xf numFmtId="49" fontId="51" fillId="4" borderId="37" xfId="0" applyNumberFormat="1" applyFont="1" applyFill="1" applyBorder="1" applyAlignment="1">
      <alignment horizontal="center" vertical="top"/>
    </xf>
    <xf numFmtId="49" fontId="51" fillId="4" borderId="19" xfId="0" applyNumberFormat="1" applyFont="1" applyFill="1" applyBorder="1" applyAlignment="1">
      <alignment horizontal="center" vertical="top"/>
    </xf>
    <xf numFmtId="49" fontId="42" fillId="4" borderId="47" xfId="0" applyNumberFormat="1" applyFont="1" applyFill="1" applyBorder="1" applyAlignment="1" applyProtection="1">
      <alignment horizontal="center" vertical="top" wrapText="1"/>
    </xf>
    <xf numFmtId="49" fontId="42" fillId="4" borderId="37" xfId="0" applyNumberFormat="1" applyFont="1" applyFill="1" applyBorder="1" applyAlignment="1" applyProtection="1">
      <alignment horizontal="center" vertical="top" wrapText="1"/>
    </xf>
    <xf numFmtId="49" fontId="42" fillId="4" borderId="19" xfId="0" applyNumberFormat="1" applyFont="1" applyFill="1" applyBorder="1" applyAlignment="1" applyProtection="1">
      <alignment horizontal="center" vertical="top" wrapText="1"/>
    </xf>
    <xf numFmtId="0" fontId="62" fillId="4" borderId="41" xfId="0" applyFont="1" applyFill="1" applyBorder="1" applyAlignment="1">
      <alignment horizontal="center"/>
    </xf>
    <xf numFmtId="0" fontId="62" fillId="4" borderId="42" xfId="0" applyFont="1" applyFill="1" applyBorder="1" applyAlignment="1">
      <alignment horizontal="center"/>
    </xf>
    <xf numFmtId="0" fontId="62" fillId="4" borderId="43" xfId="0" applyFont="1" applyFill="1" applyBorder="1" applyAlignment="1">
      <alignment horizontal="center"/>
    </xf>
    <xf numFmtId="49" fontId="42" fillId="4" borderId="44" xfId="0" applyNumberFormat="1" applyFont="1" applyFill="1" applyBorder="1" applyAlignment="1" applyProtection="1">
      <alignment horizontal="left" vertical="center" wrapText="1"/>
    </xf>
    <xf numFmtId="49" fontId="51" fillId="4" borderId="47" xfId="0" applyNumberFormat="1" applyFont="1" applyFill="1" applyBorder="1" applyAlignment="1">
      <alignment horizontal="center" vertical="center"/>
    </xf>
    <xf numFmtId="49" fontId="51" fillId="4" borderId="19" xfId="0" applyNumberFormat="1" applyFont="1" applyFill="1" applyBorder="1" applyAlignment="1">
      <alignment horizontal="center" vertical="center"/>
    </xf>
    <xf numFmtId="0" fontId="62" fillId="4" borderId="49" xfId="0" applyFont="1" applyFill="1" applyBorder="1" applyAlignment="1">
      <alignment horizontal="center"/>
    </xf>
    <xf numFmtId="0" fontId="58" fillId="4" borderId="2" xfId="0" applyFont="1" applyFill="1" applyBorder="1" applyAlignment="1">
      <alignment horizontal="left" vertical="center"/>
    </xf>
    <xf numFmtId="0" fontId="58" fillId="4" borderId="37" xfId="0" applyFont="1" applyFill="1" applyBorder="1" applyAlignment="1">
      <alignment horizontal="left" vertical="center"/>
    </xf>
    <xf numFmtId="0" fontId="58" fillId="4" borderId="19" xfId="0" applyFont="1" applyFill="1" applyBorder="1" applyAlignment="1">
      <alignment horizontal="left" vertical="center"/>
    </xf>
    <xf numFmtId="0" fontId="21" fillId="0" borderId="0" xfId="0" applyFont="1" applyFill="1" applyAlignment="1">
      <alignment horizontal="center"/>
    </xf>
    <xf numFmtId="49" fontId="51" fillId="4" borderId="47" xfId="0" applyNumberFormat="1" applyFont="1" applyFill="1" applyBorder="1" applyAlignment="1">
      <alignment horizontal="center"/>
    </xf>
    <xf numFmtId="49" fontId="42" fillId="4" borderId="53" xfId="0" applyNumberFormat="1" applyFont="1" applyFill="1" applyBorder="1" applyAlignment="1" applyProtection="1">
      <alignment horizontal="center" wrapText="1"/>
    </xf>
    <xf numFmtId="49" fontId="42" fillId="4" borderId="48" xfId="0" applyNumberFormat="1" applyFont="1" applyFill="1" applyBorder="1" applyAlignment="1" applyProtection="1">
      <alignment horizontal="center" wrapText="1"/>
    </xf>
    <xf numFmtId="0" fontId="4" fillId="4" borderId="49" xfId="0" applyFont="1" applyFill="1" applyBorder="1" applyAlignment="1">
      <alignment horizontal="center"/>
    </xf>
    <xf numFmtId="0" fontId="4" fillId="4" borderId="42" xfId="0" applyFont="1" applyFill="1" applyBorder="1" applyAlignment="1">
      <alignment horizontal="center"/>
    </xf>
    <xf numFmtId="0" fontId="4" fillId="4" borderId="43" xfId="0" applyFont="1" applyFill="1" applyBorder="1" applyAlignment="1">
      <alignment horizontal="center"/>
    </xf>
    <xf numFmtId="49" fontId="17" fillId="4" borderId="50" xfId="0" applyNumberFormat="1" applyFont="1" applyFill="1" applyBorder="1" applyAlignment="1" applyProtection="1">
      <alignment horizontal="left" vertical="center" wrapText="1"/>
    </xf>
    <xf numFmtId="49" fontId="17" fillId="4" borderId="45" xfId="0" applyNumberFormat="1" applyFont="1" applyFill="1" applyBorder="1" applyAlignment="1" applyProtection="1">
      <alignment horizontal="left" vertical="center" wrapText="1"/>
    </xf>
    <xf numFmtId="49" fontId="17" fillId="4" borderId="46" xfId="0" applyNumberFormat="1" applyFont="1" applyFill="1" applyBorder="1" applyAlignment="1" applyProtection="1">
      <alignment horizontal="left" vertical="center" wrapText="1"/>
    </xf>
    <xf numFmtId="0" fontId="54" fillId="4" borderId="47" xfId="0" applyFont="1" applyFill="1" applyBorder="1" applyAlignment="1">
      <alignment horizontal="center"/>
    </xf>
    <xf numFmtId="0" fontId="54" fillId="4" borderId="37" xfId="0" applyFont="1" applyFill="1" applyBorder="1" applyAlignment="1">
      <alignment horizontal="center"/>
    </xf>
    <xf numFmtId="0" fontId="54" fillId="4" borderId="19" xfId="0" applyFont="1" applyFill="1" applyBorder="1" applyAlignment="1">
      <alignment horizontal="center"/>
    </xf>
    <xf numFmtId="164" fontId="17" fillId="4" borderId="47" xfId="0" applyNumberFormat="1" applyFont="1" applyFill="1" applyBorder="1" applyAlignment="1" applyProtection="1">
      <alignment horizontal="left" vertical="center" wrapText="1"/>
    </xf>
    <xf numFmtId="164" fontId="17" fillId="4" borderId="37" xfId="0" applyNumberFormat="1" applyFont="1" applyFill="1" applyBorder="1" applyAlignment="1" applyProtection="1">
      <alignment horizontal="left" vertical="center" wrapText="1"/>
    </xf>
    <xf numFmtId="164" fontId="17" fillId="4" borderId="19" xfId="0" applyNumberFormat="1" applyFont="1" applyFill="1" applyBorder="1" applyAlignment="1" applyProtection="1">
      <alignment horizontal="left" vertical="center" wrapText="1"/>
    </xf>
    <xf numFmtId="49" fontId="42" fillId="4" borderId="59" xfId="0" applyNumberFormat="1" applyFont="1" applyFill="1" applyBorder="1" applyAlignment="1" applyProtection="1">
      <alignment horizontal="left" vertical="center" wrapText="1"/>
    </xf>
    <xf numFmtId="49" fontId="42" fillId="4" borderId="60" xfId="0" applyNumberFormat="1" applyFont="1" applyFill="1" applyBorder="1" applyAlignment="1" applyProtection="1">
      <alignment horizontal="left" vertical="center" wrapText="1"/>
    </xf>
    <xf numFmtId="49" fontId="42" fillId="4" borderId="61" xfId="0" applyNumberFormat="1" applyFont="1" applyFill="1" applyBorder="1" applyAlignment="1" applyProtection="1">
      <alignment horizontal="left" vertical="center" wrapText="1"/>
    </xf>
    <xf numFmtId="49" fontId="51" fillId="4" borderId="2" xfId="0" applyNumberFormat="1" applyFont="1" applyFill="1" applyBorder="1" applyAlignment="1">
      <alignment horizontal="center" vertical="center"/>
    </xf>
    <xf numFmtId="49" fontId="51" fillId="4" borderId="57" xfId="0" applyNumberFormat="1" applyFont="1" applyFill="1" applyBorder="1" applyAlignment="1">
      <alignment horizontal="center" vertical="center"/>
    </xf>
    <xf numFmtId="49" fontId="42" fillId="4" borderId="57" xfId="0" applyNumberFormat="1" applyFont="1" applyFill="1" applyBorder="1" applyAlignment="1" applyProtection="1">
      <alignment horizontal="center" vertical="center" wrapText="1"/>
    </xf>
    <xf numFmtId="0" fontId="54" fillId="4" borderId="2" xfId="0" applyFont="1" applyFill="1" applyBorder="1" applyAlignment="1">
      <alignment horizontal="center"/>
    </xf>
    <xf numFmtId="0" fontId="54" fillId="4" borderId="57" xfId="0" applyFont="1" applyFill="1" applyBorder="1" applyAlignment="1">
      <alignment horizontal="center"/>
    </xf>
    <xf numFmtId="49" fontId="17" fillId="4" borderId="8" xfId="0" applyNumberFormat="1" applyFont="1" applyFill="1" applyBorder="1" applyAlignment="1" applyProtection="1">
      <alignment horizontal="left" vertical="center" wrapText="1"/>
    </xf>
    <xf numFmtId="49" fontId="17" fillId="4" borderId="47" xfId="0" applyNumberFormat="1" applyFont="1" applyFill="1" applyBorder="1" applyAlignment="1">
      <alignment horizontal="center"/>
    </xf>
    <xf numFmtId="49" fontId="17" fillId="4" borderId="19" xfId="0" applyNumberFormat="1" applyFont="1" applyFill="1" applyBorder="1" applyAlignment="1">
      <alignment horizontal="center"/>
    </xf>
    <xf numFmtId="0" fontId="0" fillId="4" borderId="2" xfId="0" applyFill="1" applyBorder="1" applyAlignment="1">
      <alignment horizontal="left" wrapText="1"/>
    </xf>
    <xf numFmtId="0" fontId="0" fillId="4" borderId="19" xfId="0" applyFill="1" applyBorder="1" applyAlignment="1">
      <alignment horizontal="left" wrapText="1"/>
    </xf>
    <xf numFmtId="0" fontId="54" fillId="4" borderId="51" xfId="0" applyFont="1" applyFill="1" applyBorder="1" applyAlignment="1">
      <alignment horizontal="center"/>
    </xf>
    <xf numFmtId="0" fontId="54" fillId="4" borderId="52" xfId="0" applyFont="1" applyFill="1" applyBorder="1" applyAlignment="1">
      <alignment horizontal="center"/>
    </xf>
    <xf numFmtId="0" fontId="54" fillId="4" borderId="16" xfId="0" applyFont="1" applyFill="1" applyBorder="1" applyAlignment="1">
      <alignment horizontal="center"/>
    </xf>
    <xf numFmtId="49" fontId="17" fillId="4" borderId="53" xfId="0" applyNumberFormat="1" applyFont="1" applyFill="1" applyBorder="1" applyAlignment="1" applyProtection="1">
      <alignment horizontal="left" vertical="center" wrapText="1"/>
    </xf>
    <xf numFmtId="49" fontId="17" fillId="4" borderId="37" xfId="0" applyNumberFormat="1" applyFont="1" applyFill="1" applyBorder="1" applyAlignment="1" applyProtection="1">
      <alignment horizontal="left" vertical="center" wrapText="1"/>
    </xf>
    <xf numFmtId="49" fontId="17" fillId="4" borderId="48" xfId="0" applyNumberFormat="1" applyFont="1" applyFill="1" applyBorder="1" applyAlignment="1" applyProtection="1">
      <alignment horizontal="left" vertical="center" wrapText="1"/>
    </xf>
    <xf numFmtId="49" fontId="17" fillId="4" borderId="2" xfId="0" applyNumberFormat="1" applyFont="1" applyFill="1" applyBorder="1" applyAlignment="1">
      <alignment horizontal="center"/>
    </xf>
    <xf numFmtId="49" fontId="17" fillId="4" borderId="50" xfId="0" applyNumberFormat="1" applyFont="1" applyFill="1" applyBorder="1" applyAlignment="1" applyProtection="1">
      <alignment horizontal="center" wrapText="1"/>
    </xf>
    <xf numFmtId="49" fontId="17" fillId="4" borderId="46" xfId="0" applyNumberFormat="1" applyFont="1" applyFill="1" applyBorder="1" applyAlignment="1" applyProtection="1">
      <alignment horizontal="center" wrapText="1"/>
    </xf>
    <xf numFmtId="0" fontId="39" fillId="0" borderId="0" xfId="0" applyFont="1" applyFill="1" applyAlignment="1">
      <alignment horizontal="right"/>
    </xf>
    <xf numFmtId="49" fontId="17" fillId="4" borderId="47" xfId="0" applyNumberFormat="1" applyFont="1" applyFill="1" applyBorder="1" applyAlignment="1" applyProtection="1">
      <alignment horizontal="center" wrapText="1"/>
    </xf>
    <xf numFmtId="49" fontId="17" fillId="4" borderId="19" xfId="0" applyNumberFormat="1" applyFont="1" applyFill="1" applyBorder="1" applyAlignment="1" applyProtection="1">
      <alignment horizontal="center" wrapText="1"/>
    </xf>
    <xf numFmtId="0" fontId="58" fillId="4" borderId="57" xfId="0" applyFont="1" applyFill="1" applyBorder="1" applyAlignment="1">
      <alignment horizontal="left" vertical="center"/>
    </xf>
    <xf numFmtId="49" fontId="17" fillId="4" borderId="2" xfId="0" applyNumberFormat="1" applyFont="1" applyFill="1" applyBorder="1" applyAlignment="1" applyProtection="1">
      <alignment horizontal="center" wrapText="1"/>
    </xf>
    <xf numFmtId="49" fontId="42" fillId="4" borderId="57" xfId="0" applyNumberFormat="1" applyFont="1" applyFill="1" applyBorder="1" applyAlignment="1" applyProtection="1">
      <alignment horizontal="left" vertical="center" wrapText="1"/>
    </xf>
    <xf numFmtId="49" fontId="58" fillId="4" borderId="57" xfId="0" applyNumberFormat="1" applyFont="1" applyFill="1" applyBorder="1" applyAlignment="1">
      <alignment horizontal="center" vertical="center"/>
    </xf>
    <xf numFmtId="0" fontId="61" fillId="0" borderId="2" xfId="0" applyFont="1" applyFill="1" applyBorder="1" applyAlignment="1">
      <alignment horizontal="center" wrapText="1"/>
    </xf>
    <xf numFmtId="0" fontId="39" fillId="0" borderId="57" xfId="0" applyFont="1" applyFill="1" applyBorder="1" applyAlignment="1">
      <alignment horizontal="center" wrapText="1"/>
    </xf>
    <xf numFmtId="0" fontId="39" fillId="0" borderId="57" xfId="0" applyFont="1" applyFill="1" applyBorder="1" applyAlignment="1">
      <alignment horizontal="center"/>
    </xf>
    <xf numFmtId="3" fontId="39" fillId="4" borderId="8" xfId="0" applyNumberFormat="1" applyFont="1" applyFill="1" applyBorder="1" applyAlignment="1">
      <alignment horizontal="center" wrapText="1"/>
    </xf>
    <xf numFmtId="3" fontId="39" fillId="4" borderId="2" xfId="0" applyNumberFormat="1" applyFont="1" applyFill="1" applyBorder="1" applyAlignment="1">
      <alignment horizontal="center" wrapText="1"/>
    </xf>
    <xf numFmtId="49" fontId="58" fillId="4" borderId="2" xfId="0" applyNumberFormat="1" applyFont="1" applyFill="1" applyBorder="1" applyAlignment="1">
      <alignment horizontal="center"/>
    </xf>
    <xf numFmtId="49" fontId="58" fillId="4" borderId="19" xfId="0" applyNumberFormat="1" applyFont="1" applyFill="1" applyBorder="1" applyAlignment="1">
      <alignment horizontal="center"/>
    </xf>
    <xf numFmtId="49" fontId="17" fillId="4" borderId="57" xfId="0" applyNumberFormat="1" applyFont="1" applyFill="1" applyBorder="1" applyAlignment="1">
      <alignment horizontal="center"/>
    </xf>
    <xf numFmtId="49" fontId="17" fillId="4" borderId="57" xfId="0" applyNumberFormat="1" applyFont="1" applyFill="1" applyBorder="1" applyAlignment="1" applyProtection="1">
      <alignment horizontal="center" wrapText="1"/>
    </xf>
    <xf numFmtId="49" fontId="51" fillId="4" borderId="8" xfId="0" applyNumberFormat="1" applyFont="1" applyFill="1" applyBorder="1" applyAlignment="1">
      <alignment horizontal="center" vertical="center"/>
    </xf>
    <xf numFmtId="49" fontId="42" fillId="4" borderId="8" xfId="0" applyNumberFormat="1" applyFont="1" applyFill="1" applyBorder="1" applyAlignment="1" applyProtection="1">
      <alignment horizontal="left" vertical="center" wrapText="1"/>
    </xf>
    <xf numFmtId="49" fontId="42" fillId="4" borderId="8" xfId="0" applyNumberFormat="1" applyFont="1" applyFill="1" applyBorder="1" applyAlignment="1" applyProtection="1">
      <alignment horizontal="center" vertical="center" wrapText="1"/>
    </xf>
    <xf numFmtId="49" fontId="17" fillId="4" borderId="2" xfId="0" applyNumberFormat="1" applyFont="1" applyFill="1" applyBorder="1" applyAlignment="1">
      <alignment horizontal="center" vertical="center"/>
    </xf>
    <xf numFmtId="49" fontId="17" fillId="4" borderId="19" xfId="0" applyNumberFormat="1" applyFont="1" applyFill="1" applyBorder="1" applyAlignment="1">
      <alignment horizontal="center" vertical="center"/>
    </xf>
    <xf numFmtId="49" fontId="17" fillId="4" borderId="44" xfId="0" applyNumberFormat="1" applyFont="1" applyFill="1" applyBorder="1" applyAlignment="1" applyProtection="1">
      <alignment horizontal="center" vertical="center" wrapText="1"/>
    </xf>
    <xf numFmtId="49" fontId="17" fillId="4" borderId="46" xfId="0" applyNumberFormat="1" applyFont="1" applyFill="1" applyBorder="1" applyAlignment="1" applyProtection="1">
      <alignment horizontal="center" vertical="center" wrapText="1"/>
    </xf>
    <xf numFmtId="49" fontId="17" fillId="4" borderId="50" xfId="0" applyNumberFormat="1" applyFont="1" applyFill="1" applyBorder="1" applyAlignment="1" applyProtection="1">
      <alignment horizontal="center" vertical="center" wrapText="1"/>
    </xf>
    <xf numFmtId="49" fontId="42" fillId="4" borderId="19" xfId="0" applyNumberFormat="1" applyFont="1" applyFill="1" applyBorder="1" applyAlignment="1" applyProtection="1">
      <alignment horizontal="left" vertical="center" wrapText="1"/>
    </xf>
    <xf numFmtId="49" fontId="51" fillId="4" borderId="37" xfId="0" applyNumberFormat="1" applyFont="1" applyFill="1" applyBorder="1" applyAlignment="1">
      <alignment horizontal="center"/>
    </xf>
    <xf numFmtId="49" fontId="42" fillId="4" borderId="37" xfId="0" applyNumberFormat="1" applyFont="1" applyFill="1" applyBorder="1" applyAlignment="1" applyProtection="1">
      <alignment horizontal="center" wrapText="1"/>
    </xf>
    <xf numFmtId="0" fontId="90" fillId="0" borderId="49" xfId="0" applyFont="1" applyBorder="1" applyAlignment="1">
      <alignment horizontal="center"/>
    </xf>
    <xf numFmtId="0" fontId="90" fillId="0" borderId="43" xfId="0" applyFont="1" applyBorder="1" applyAlignment="1">
      <alignment horizontal="center"/>
    </xf>
    <xf numFmtId="49" fontId="17" fillId="0" borderId="50" xfId="0" applyNumberFormat="1" applyFont="1" applyBorder="1" applyAlignment="1" applyProtection="1">
      <alignment horizontal="left" vertical="center" wrapText="1"/>
    </xf>
    <xf numFmtId="49" fontId="17" fillId="0" borderId="46" xfId="0" applyNumberFormat="1" applyFont="1" applyBorder="1" applyAlignment="1" applyProtection="1">
      <alignment horizontal="left" vertical="center" wrapText="1"/>
    </xf>
    <xf numFmtId="0" fontId="54" fillId="4" borderId="49" xfId="0" applyFont="1" applyFill="1" applyBorder="1" applyAlignment="1">
      <alignment horizontal="center"/>
    </xf>
    <xf numFmtId="0" fontId="54" fillId="4" borderId="43" xfId="0" applyFont="1" applyFill="1" applyBorder="1" applyAlignment="1">
      <alignment horizontal="center"/>
    </xf>
    <xf numFmtId="49" fontId="17" fillId="4" borderId="19" xfId="0" applyNumberFormat="1" applyFont="1" applyFill="1" applyBorder="1" applyAlignment="1" applyProtection="1">
      <alignment horizontal="left" vertical="center" wrapText="1"/>
    </xf>
    <xf numFmtId="0" fontId="0" fillId="4" borderId="2" xfId="0" applyFill="1" applyBorder="1" applyAlignment="1">
      <alignment horizontal="center"/>
    </xf>
    <xf numFmtId="3" fontId="39" fillId="0" borderId="57" xfId="0" applyNumberFormat="1" applyFont="1" applyFill="1" applyBorder="1" applyAlignment="1">
      <alignment horizontal="center" wrapText="1"/>
    </xf>
    <xf numFmtId="0" fontId="58" fillId="4" borderId="2" xfId="0" applyFont="1" applyFill="1" applyBorder="1" applyAlignment="1">
      <alignment horizontal="center" vertical="center" wrapText="1"/>
    </xf>
    <xf numFmtId="0" fontId="62" fillId="4" borderId="63" xfId="0" applyFont="1" applyFill="1" applyBorder="1" applyAlignment="1">
      <alignment horizontal="center"/>
    </xf>
    <xf numFmtId="0" fontId="62" fillId="4" borderId="64" xfId="0" applyFont="1" applyFill="1" applyBorder="1" applyAlignment="1">
      <alignment horizontal="center"/>
    </xf>
    <xf numFmtId="49" fontId="42" fillId="4" borderId="65" xfId="0" applyNumberFormat="1" applyFont="1" applyFill="1" applyBorder="1" applyAlignment="1" applyProtection="1">
      <alignment horizontal="left" vertical="center" wrapText="1"/>
    </xf>
    <xf numFmtId="0" fontId="58" fillId="4" borderId="66" xfId="0" applyFont="1" applyFill="1" applyBorder="1" applyAlignment="1">
      <alignment horizontal="left" vertical="center"/>
    </xf>
    <xf numFmtId="0" fontId="0" fillId="4" borderId="57" xfId="0" applyFill="1" applyBorder="1" applyAlignment="1">
      <alignment horizontal="center" wrapText="1"/>
    </xf>
    <xf numFmtId="0" fontId="4" fillId="4" borderId="68" xfId="0" applyFont="1" applyFill="1" applyBorder="1" applyAlignment="1">
      <alignment horizontal="center"/>
    </xf>
    <xf numFmtId="49" fontId="17" fillId="4" borderId="69" xfId="0" applyNumberFormat="1" applyFont="1" applyFill="1" applyBorder="1" applyAlignment="1" applyProtection="1">
      <alignment horizontal="left" vertical="center" wrapText="1"/>
    </xf>
    <xf numFmtId="0" fontId="58" fillId="4" borderId="70" xfId="0" applyFont="1" applyFill="1" applyBorder="1" applyAlignment="1">
      <alignment horizontal="left" vertical="center" wrapText="1"/>
    </xf>
    <xf numFmtId="0" fontId="4" fillId="4" borderId="63" xfId="0" applyFont="1" applyFill="1" applyBorder="1" applyAlignment="1">
      <alignment horizontal="center"/>
    </xf>
    <xf numFmtId="164" fontId="17" fillId="0" borderId="50" xfId="0" applyNumberFormat="1" applyFont="1" applyBorder="1" applyAlignment="1" applyProtection="1">
      <alignment horizontal="left" vertical="center" wrapText="1"/>
    </xf>
    <xf numFmtId="164" fontId="17" fillId="0" borderId="46" xfId="0" applyNumberFormat="1" applyFont="1" applyBorder="1" applyAlignment="1" applyProtection="1">
      <alignment horizontal="left" vertical="center" wrapText="1"/>
    </xf>
    <xf numFmtId="49" fontId="17" fillId="4" borderId="53" xfId="0" applyNumberFormat="1" applyFont="1" applyFill="1" applyBorder="1" applyAlignment="1" applyProtection="1">
      <alignment horizontal="center" vertical="center" wrapText="1"/>
    </xf>
    <xf numFmtId="49" fontId="17" fillId="4" borderId="19" xfId="0" applyNumberFormat="1" applyFont="1" applyFill="1" applyBorder="1" applyAlignment="1" applyProtection="1">
      <alignment horizontal="center" vertical="center" wrapText="1"/>
    </xf>
    <xf numFmtId="0" fontId="63" fillId="4" borderId="66" xfId="0" applyFont="1" applyFill="1" applyBorder="1" applyAlignment="1">
      <alignment horizontal="left" vertical="center" wrapText="1"/>
    </xf>
    <xf numFmtId="0" fontId="62" fillId="4" borderId="8" xfId="0" applyFont="1" applyFill="1" applyBorder="1" applyAlignment="1">
      <alignment horizontal="center"/>
    </xf>
    <xf numFmtId="0" fontId="0" fillId="4" borderId="63" xfId="0" applyFill="1" applyBorder="1" applyAlignment="1">
      <alignment horizontal="center"/>
    </xf>
    <xf numFmtId="0" fontId="0" fillId="4" borderId="68" xfId="0" applyFill="1" applyBorder="1" applyAlignment="1">
      <alignment horizontal="center"/>
    </xf>
    <xf numFmtId="49" fontId="42" fillId="4" borderId="69" xfId="0" applyNumberFormat="1" applyFont="1" applyFill="1" applyBorder="1" applyAlignment="1" applyProtection="1">
      <alignment horizontal="left" vertical="center" wrapText="1"/>
    </xf>
    <xf numFmtId="49" fontId="51" fillId="4" borderId="70" xfId="0" applyNumberFormat="1" applyFont="1" applyFill="1" applyBorder="1" applyAlignment="1">
      <alignment horizontal="center"/>
    </xf>
    <xf numFmtId="49" fontId="42" fillId="4" borderId="70" xfId="0" applyNumberFormat="1" applyFont="1" applyFill="1" applyBorder="1" applyAlignment="1" applyProtection="1">
      <alignment horizontal="center" wrapText="1"/>
    </xf>
    <xf numFmtId="49" fontId="51" fillId="4" borderId="2" xfId="0" applyNumberFormat="1" applyFont="1" applyFill="1" applyBorder="1" applyAlignment="1">
      <alignment horizontal="center" vertical="top"/>
    </xf>
    <xf numFmtId="49" fontId="51" fillId="4" borderId="70" xfId="0" applyNumberFormat="1" applyFont="1" applyFill="1" applyBorder="1" applyAlignment="1">
      <alignment horizontal="center" vertical="top"/>
    </xf>
    <xf numFmtId="49" fontId="51" fillId="4" borderId="57" xfId="0" applyNumberFormat="1" applyFont="1" applyFill="1" applyBorder="1" applyAlignment="1">
      <alignment horizontal="center" vertical="top"/>
    </xf>
    <xf numFmtId="49" fontId="42" fillId="4" borderId="2" xfId="0" applyNumberFormat="1" applyFont="1" applyFill="1" applyBorder="1" applyAlignment="1" applyProtection="1">
      <alignment horizontal="center" vertical="top" wrapText="1"/>
    </xf>
    <xf numFmtId="49" fontId="42" fillId="4" borderId="70" xfId="0" applyNumberFormat="1" applyFont="1" applyFill="1" applyBorder="1" applyAlignment="1" applyProtection="1">
      <alignment horizontal="center" vertical="top" wrapText="1"/>
    </xf>
    <xf numFmtId="49" fontId="42" fillId="4" borderId="57" xfId="0" applyNumberFormat="1" applyFont="1" applyFill="1" applyBorder="1" applyAlignment="1" applyProtection="1">
      <alignment horizontal="center" vertical="top" wrapText="1"/>
    </xf>
    <xf numFmtId="0" fontId="63" fillId="4" borderId="70" xfId="0" applyFont="1" applyFill="1" applyBorder="1" applyAlignment="1">
      <alignment horizontal="left" vertical="center" wrapText="1"/>
    </xf>
    <xf numFmtId="0" fontId="54" fillId="4" borderId="67" xfId="0" applyFont="1" applyFill="1" applyBorder="1" applyAlignment="1">
      <alignment horizontal="center"/>
    </xf>
    <xf numFmtId="164" fontId="17" fillId="4" borderId="2" xfId="0" applyNumberFormat="1" applyFont="1" applyFill="1" applyBorder="1" applyAlignment="1" applyProtection="1">
      <alignment horizontal="left" vertical="center" wrapText="1"/>
    </xf>
    <xf numFmtId="164" fontId="17" fillId="4" borderId="57" xfId="0" applyNumberFormat="1" applyFont="1" applyFill="1" applyBorder="1" applyAlignment="1" applyProtection="1">
      <alignment horizontal="left" vertical="center" wrapText="1"/>
    </xf>
    <xf numFmtId="0" fontId="54" fillId="4" borderId="63" xfId="0" applyFont="1" applyFill="1" applyBorder="1" applyAlignment="1">
      <alignment horizontal="center"/>
    </xf>
    <xf numFmtId="49" fontId="17" fillId="4" borderId="57" xfId="0" applyNumberFormat="1" applyFont="1" applyFill="1" applyBorder="1" applyAlignment="1" applyProtection="1">
      <alignment horizontal="left" vertical="center" wrapText="1"/>
    </xf>
    <xf numFmtId="0" fontId="90" fillId="0" borderId="63" xfId="0" applyFont="1" applyBorder="1" applyAlignment="1">
      <alignment horizontal="center"/>
    </xf>
    <xf numFmtId="0" fontId="62" fillId="4" borderId="47" xfId="0" applyFont="1" applyFill="1" applyBorder="1" applyAlignment="1">
      <alignment horizontal="center"/>
    </xf>
    <xf numFmtId="0" fontId="62" fillId="4" borderId="19" xfId="0" applyFont="1" applyFill="1" applyBorder="1" applyAlignment="1">
      <alignment horizontal="center"/>
    </xf>
    <xf numFmtId="0" fontId="51" fillId="0" borderId="53" xfId="0" applyFont="1" applyBorder="1" applyAlignment="1">
      <alignment horizontal="left" vertical="center" wrapText="1"/>
    </xf>
    <xf numFmtId="0" fontId="51" fillId="0" borderId="48" xfId="0" applyFont="1" applyBorder="1" applyAlignment="1">
      <alignment horizontal="left" vertical="center" wrapText="1"/>
    </xf>
    <xf numFmtId="0" fontId="54" fillId="4" borderId="70" xfId="0" applyFont="1" applyFill="1" applyBorder="1" applyAlignment="1">
      <alignment horizontal="center"/>
    </xf>
    <xf numFmtId="0" fontId="58" fillId="4" borderId="70" xfId="0" applyFont="1" applyFill="1" applyBorder="1" applyAlignment="1">
      <alignment horizontal="left" vertical="center"/>
    </xf>
    <xf numFmtId="0" fontId="0" fillId="4" borderId="70" xfId="0" applyFill="1" applyBorder="1" applyAlignment="1">
      <alignment horizontal="left" vertical="center" wrapText="1"/>
    </xf>
    <xf numFmtId="0" fontId="17" fillId="0" borderId="47" xfId="0" applyFont="1" applyBorder="1" applyAlignment="1">
      <alignment horizontal="left" vertical="center" wrapText="1"/>
    </xf>
    <xf numFmtId="0" fontId="17" fillId="0" borderId="70" xfId="0" applyFont="1" applyBorder="1" applyAlignment="1">
      <alignment horizontal="left" vertical="center" wrapText="1"/>
    </xf>
    <xf numFmtId="0" fontId="17" fillId="0" borderId="19" xfId="0" applyFont="1" applyBorder="1" applyAlignment="1">
      <alignment horizontal="left" vertical="center" wrapText="1"/>
    </xf>
    <xf numFmtId="49" fontId="17" fillId="4" borderId="47" xfId="0" applyNumberFormat="1" applyFont="1" applyFill="1" applyBorder="1" applyAlignment="1">
      <alignment horizontal="center" vertical="center"/>
    </xf>
    <xf numFmtId="49" fontId="17" fillId="4" borderId="70" xfId="0" applyNumberFormat="1" applyFont="1" applyFill="1" applyBorder="1" applyAlignment="1">
      <alignment horizontal="center" vertical="center"/>
    </xf>
    <xf numFmtId="49" fontId="17" fillId="4" borderId="70" xfId="0" applyNumberFormat="1" applyFont="1" applyFill="1" applyBorder="1" applyAlignment="1" applyProtection="1">
      <alignment horizontal="center" vertical="center" wrapText="1"/>
    </xf>
    <xf numFmtId="49" fontId="17" fillId="4" borderId="48" xfId="0" applyNumberFormat="1" applyFont="1" applyFill="1" applyBorder="1" applyAlignment="1" applyProtection="1">
      <alignment horizontal="center" vertical="center" wrapText="1"/>
    </xf>
    <xf numFmtId="49" fontId="42" fillId="4" borderId="47" xfId="0" applyNumberFormat="1" applyFont="1" applyFill="1" applyBorder="1" applyAlignment="1" applyProtection="1">
      <alignment horizontal="left" vertical="center" wrapText="1"/>
    </xf>
    <xf numFmtId="49" fontId="58" fillId="4" borderId="47" xfId="0" applyNumberFormat="1" applyFont="1" applyFill="1" applyBorder="1" applyAlignment="1">
      <alignment horizontal="center"/>
    </xf>
    <xf numFmtId="49" fontId="42" fillId="4" borderId="47" xfId="0" applyNumberFormat="1" applyFont="1" applyFill="1" applyBorder="1" applyAlignment="1" applyProtection="1">
      <alignment horizontal="center" wrapText="1"/>
    </xf>
    <xf numFmtId="164" fontId="17" fillId="4" borderId="2" xfId="0" applyNumberFormat="1" applyFont="1" applyFill="1" applyBorder="1" applyAlignment="1" applyProtection="1">
      <alignment vertical="center" wrapText="1"/>
    </xf>
    <xf numFmtId="164" fontId="17" fillId="4" borderId="57" xfId="0" applyNumberFormat="1" applyFont="1" applyFill="1" applyBorder="1" applyAlignment="1" applyProtection="1">
      <alignment vertical="center" wrapText="1"/>
    </xf>
    <xf numFmtId="164" fontId="17" fillId="4" borderId="19" xfId="0" applyNumberFormat="1" applyFont="1" applyFill="1" applyBorder="1" applyAlignment="1" applyProtection="1">
      <alignment vertical="center" wrapText="1"/>
    </xf>
    <xf numFmtId="0" fontId="68" fillId="4" borderId="47" xfId="0" applyFont="1" applyFill="1" applyBorder="1" applyAlignment="1">
      <alignment horizontal="center"/>
    </xf>
    <xf numFmtId="0" fontId="68" fillId="4" borderId="19" xfId="0" applyFont="1" applyFill="1" applyBorder="1" applyAlignment="1">
      <alignment horizontal="center"/>
    </xf>
    <xf numFmtId="0" fontId="60" fillId="4" borderId="47" xfId="0" applyFont="1" applyFill="1" applyBorder="1" applyAlignment="1">
      <alignment horizontal="center"/>
    </xf>
    <xf numFmtId="0" fontId="60" fillId="4" borderId="19" xfId="0" applyFont="1" applyFill="1" applyBorder="1" applyAlignment="1">
      <alignment horizontal="center"/>
    </xf>
    <xf numFmtId="3" fontId="73" fillId="0" borderId="8" xfId="0" applyNumberFormat="1" applyFont="1" applyFill="1" applyBorder="1" applyAlignment="1">
      <alignment horizontal="center" wrapText="1"/>
    </xf>
    <xf numFmtId="3" fontId="73" fillId="0" borderId="2" xfId="0" applyNumberFormat="1" applyFont="1" applyFill="1" applyBorder="1" applyAlignment="1">
      <alignment horizontal="center" wrapText="1"/>
    </xf>
    <xf numFmtId="3" fontId="39" fillId="0" borderId="3" xfId="0" applyNumberFormat="1" applyFont="1" applyFill="1" applyBorder="1" applyAlignment="1">
      <alignment horizontal="center" wrapText="1"/>
    </xf>
    <xf numFmtId="0" fontId="39" fillId="0" borderId="5" xfId="0" applyFont="1" applyFill="1" applyBorder="1" applyAlignment="1">
      <alignment horizontal="center"/>
    </xf>
    <xf numFmtId="3" fontId="39" fillId="0" borderId="5" xfId="0" applyNumberFormat="1" applyFont="1" applyFill="1" applyBorder="1" applyAlignment="1">
      <alignment horizontal="center" wrapText="1"/>
    </xf>
    <xf numFmtId="3" fontId="39" fillId="0" borderId="15" xfId="0" applyNumberFormat="1" applyFont="1" applyFill="1" applyBorder="1" applyAlignment="1">
      <alignment horizontal="center" wrapText="1"/>
    </xf>
    <xf numFmtId="3" fontId="73" fillId="4" borderId="8" xfId="0" applyNumberFormat="1" applyFont="1" applyFill="1" applyBorder="1" applyAlignment="1">
      <alignment horizontal="center" wrapText="1"/>
    </xf>
    <xf numFmtId="3" fontId="73" fillId="4" borderId="2" xfId="0" applyNumberFormat="1" applyFont="1" applyFill="1" applyBorder="1" applyAlignment="1">
      <alignment horizontal="center" wrapText="1"/>
    </xf>
    <xf numFmtId="0" fontId="0" fillId="0" borderId="0" xfId="0" applyAlignment="1">
      <alignment horizontal="center"/>
    </xf>
  </cellXfs>
  <cellStyles count="4">
    <cellStyle name="Гиперссылка" xfId="3" builtinId="8"/>
    <cellStyle name="Обычный" xfId="0" builtinId="0"/>
    <cellStyle name="Обычный 2" xfId="2"/>
    <cellStyle name="Обычный_Источн."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1038225</xdr:colOff>
      <xdr:row>0</xdr:row>
      <xdr:rowOff>28575</xdr:rowOff>
    </xdr:from>
    <xdr:to>
      <xdr:col>1</xdr:col>
      <xdr:colOff>1495425</xdr:colOff>
      <xdr:row>0</xdr:row>
      <xdr:rowOff>619125</xdr:rowOff>
    </xdr:to>
    <xdr:pic>
      <xdr:nvPicPr>
        <xdr:cNvPr id="2" name="Рисунок 2" descr="гербмономал"/>
        <xdr:cNvPicPr>
          <a:picLocks noChangeAspect="1" noChangeArrowheads="1"/>
        </xdr:cNvPicPr>
      </xdr:nvPicPr>
      <xdr:blipFill>
        <a:blip xmlns:r="http://schemas.openxmlformats.org/officeDocument/2006/relationships" r:embed="rId1" cstate="print">
          <a:lum bright="-12000" contrast="54000"/>
          <a:extLst>
            <a:ext uri="{28A0092B-C50C-407E-A947-70E740481C1C}">
              <a14:useLocalDpi xmlns:a14="http://schemas.microsoft.com/office/drawing/2010/main" val="0"/>
            </a:ext>
          </a:extLst>
        </a:blip>
        <a:srcRect/>
        <a:stretch>
          <a:fillRect/>
        </a:stretch>
      </xdr:blipFill>
      <xdr:spPr bwMode="auto">
        <a:xfrm>
          <a:off x="1428750" y="28575"/>
          <a:ext cx="457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1038225</xdr:colOff>
      <xdr:row>0</xdr:row>
      <xdr:rowOff>28575</xdr:rowOff>
    </xdr:from>
    <xdr:to>
      <xdr:col>1</xdr:col>
      <xdr:colOff>1495425</xdr:colOff>
      <xdr:row>0</xdr:row>
      <xdr:rowOff>619125</xdr:rowOff>
    </xdr:to>
    <xdr:pic>
      <xdr:nvPicPr>
        <xdr:cNvPr id="3" name="Рисунок 2" descr="гербмономал"/>
        <xdr:cNvPicPr>
          <a:picLocks noChangeAspect="1" noChangeArrowheads="1"/>
        </xdr:cNvPicPr>
      </xdr:nvPicPr>
      <xdr:blipFill>
        <a:blip xmlns:r="http://schemas.openxmlformats.org/officeDocument/2006/relationships" r:embed="rId1" cstate="print">
          <a:lum bright="-12000" contrast="54000"/>
          <a:extLst>
            <a:ext uri="{28A0092B-C50C-407E-A947-70E740481C1C}">
              <a14:useLocalDpi xmlns:a14="http://schemas.microsoft.com/office/drawing/2010/main" val="0"/>
            </a:ext>
          </a:extLst>
        </a:blip>
        <a:srcRect/>
        <a:stretch>
          <a:fillRect/>
        </a:stretch>
      </xdr:blipFill>
      <xdr:spPr bwMode="auto">
        <a:xfrm>
          <a:off x="1428750" y="28575"/>
          <a:ext cx="457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1038225</xdr:colOff>
      <xdr:row>0</xdr:row>
      <xdr:rowOff>28575</xdr:rowOff>
    </xdr:from>
    <xdr:to>
      <xdr:col>1</xdr:col>
      <xdr:colOff>1495425</xdr:colOff>
      <xdr:row>0</xdr:row>
      <xdr:rowOff>619125</xdr:rowOff>
    </xdr:to>
    <xdr:pic>
      <xdr:nvPicPr>
        <xdr:cNvPr id="4" name="Рисунок 3" descr="гербмономал"/>
        <xdr:cNvPicPr>
          <a:picLocks noChangeAspect="1" noChangeArrowheads="1"/>
        </xdr:cNvPicPr>
      </xdr:nvPicPr>
      <xdr:blipFill>
        <a:blip xmlns:r="http://schemas.openxmlformats.org/officeDocument/2006/relationships" r:embed="rId1" cstate="print">
          <a:lum bright="-12000" contrast="54000"/>
          <a:extLst>
            <a:ext uri="{28A0092B-C50C-407E-A947-70E740481C1C}">
              <a14:useLocalDpi xmlns:a14="http://schemas.microsoft.com/office/drawing/2010/main" val="0"/>
            </a:ext>
          </a:extLst>
        </a:blip>
        <a:srcRect/>
        <a:stretch>
          <a:fillRect/>
        </a:stretch>
      </xdr:blipFill>
      <xdr:spPr bwMode="auto">
        <a:xfrm>
          <a:off x="1428750" y="28575"/>
          <a:ext cx="457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1038225</xdr:colOff>
      <xdr:row>0</xdr:row>
      <xdr:rowOff>28575</xdr:rowOff>
    </xdr:from>
    <xdr:to>
      <xdr:col>1</xdr:col>
      <xdr:colOff>1495425</xdr:colOff>
      <xdr:row>0</xdr:row>
      <xdr:rowOff>619125</xdr:rowOff>
    </xdr:to>
    <xdr:pic>
      <xdr:nvPicPr>
        <xdr:cNvPr id="2" name="Рисунок 2" descr="гербмономал"/>
        <xdr:cNvPicPr>
          <a:picLocks noChangeAspect="1" noChangeArrowheads="1"/>
        </xdr:cNvPicPr>
      </xdr:nvPicPr>
      <xdr:blipFill>
        <a:blip xmlns:r="http://schemas.openxmlformats.org/officeDocument/2006/relationships" r:embed="rId1" cstate="print">
          <a:lum bright="-12000" contrast="54000"/>
          <a:extLst>
            <a:ext uri="{28A0092B-C50C-407E-A947-70E740481C1C}">
              <a14:useLocalDpi xmlns:a14="http://schemas.microsoft.com/office/drawing/2010/main" val="0"/>
            </a:ext>
          </a:extLst>
        </a:blip>
        <a:srcRect/>
        <a:stretch>
          <a:fillRect/>
        </a:stretch>
      </xdr:blipFill>
      <xdr:spPr bwMode="auto">
        <a:xfrm>
          <a:off x="1619250" y="28575"/>
          <a:ext cx="457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1038225</xdr:colOff>
      <xdr:row>0</xdr:row>
      <xdr:rowOff>28575</xdr:rowOff>
    </xdr:from>
    <xdr:to>
      <xdr:col>1</xdr:col>
      <xdr:colOff>1495425</xdr:colOff>
      <xdr:row>0</xdr:row>
      <xdr:rowOff>619125</xdr:rowOff>
    </xdr:to>
    <xdr:pic>
      <xdr:nvPicPr>
        <xdr:cNvPr id="3" name="Рисунок 2" descr="гербмономал"/>
        <xdr:cNvPicPr>
          <a:picLocks noChangeAspect="1" noChangeArrowheads="1"/>
        </xdr:cNvPicPr>
      </xdr:nvPicPr>
      <xdr:blipFill>
        <a:blip xmlns:r="http://schemas.openxmlformats.org/officeDocument/2006/relationships" r:embed="rId1" cstate="print">
          <a:lum bright="-12000" contrast="54000"/>
          <a:extLst>
            <a:ext uri="{28A0092B-C50C-407E-A947-70E740481C1C}">
              <a14:useLocalDpi xmlns:a14="http://schemas.microsoft.com/office/drawing/2010/main" val="0"/>
            </a:ext>
          </a:extLst>
        </a:blip>
        <a:srcRect/>
        <a:stretch>
          <a:fillRect/>
        </a:stretch>
      </xdr:blipFill>
      <xdr:spPr bwMode="auto">
        <a:xfrm>
          <a:off x="1619250" y="28575"/>
          <a:ext cx="457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1038225</xdr:colOff>
      <xdr:row>0</xdr:row>
      <xdr:rowOff>28575</xdr:rowOff>
    </xdr:from>
    <xdr:to>
      <xdr:col>1</xdr:col>
      <xdr:colOff>1495425</xdr:colOff>
      <xdr:row>0</xdr:row>
      <xdr:rowOff>619125</xdr:rowOff>
    </xdr:to>
    <xdr:pic>
      <xdr:nvPicPr>
        <xdr:cNvPr id="4" name="Рисунок 3" descr="гербмономал"/>
        <xdr:cNvPicPr>
          <a:picLocks noChangeAspect="1" noChangeArrowheads="1"/>
        </xdr:cNvPicPr>
      </xdr:nvPicPr>
      <xdr:blipFill>
        <a:blip xmlns:r="http://schemas.openxmlformats.org/officeDocument/2006/relationships" r:embed="rId1" cstate="print">
          <a:lum bright="-12000" contrast="54000"/>
          <a:extLst>
            <a:ext uri="{28A0092B-C50C-407E-A947-70E740481C1C}">
              <a14:useLocalDpi xmlns:a14="http://schemas.microsoft.com/office/drawing/2010/main" val="0"/>
            </a:ext>
          </a:extLst>
        </a:blip>
        <a:srcRect/>
        <a:stretch>
          <a:fillRect/>
        </a:stretch>
      </xdr:blipFill>
      <xdr:spPr bwMode="auto">
        <a:xfrm>
          <a:off x="1619250" y="28575"/>
          <a:ext cx="457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1038225</xdr:colOff>
      <xdr:row>0</xdr:row>
      <xdr:rowOff>28575</xdr:rowOff>
    </xdr:from>
    <xdr:to>
      <xdr:col>1</xdr:col>
      <xdr:colOff>1495425</xdr:colOff>
      <xdr:row>0</xdr:row>
      <xdr:rowOff>619125</xdr:rowOff>
    </xdr:to>
    <xdr:pic>
      <xdr:nvPicPr>
        <xdr:cNvPr id="2" name="Рисунок 2" descr="гербмономал"/>
        <xdr:cNvPicPr>
          <a:picLocks noChangeAspect="1" noChangeArrowheads="1"/>
        </xdr:cNvPicPr>
      </xdr:nvPicPr>
      <xdr:blipFill>
        <a:blip xmlns:r="http://schemas.openxmlformats.org/officeDocument/2006/relationships" r:embed="rId1" cstate="print">
          <a:lum bright="-12000" contrast="54000"/>
          <a:extLst>
            <a:ext uri="{28A0092B-C50C-407E-A947-70E740481C1C}">
              <a14:useLocalDpi xmlns:a14="http://schemas.microsoft.com/office/drawing/2010/main" val="0"/>
            </a:ext>
          </a:extLst>
        </a:blip>
        <a:srcRect/>
        <a:stretch>
          <a:fillRect/>
        </a:stretch>
      </xdr:blipFill>
      <xdr:spPr bwMode="auto">
        <a:xfrm>
          <a:off x="1619250" y="28575"/>
          <a:ext cx="457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1038225</xdr:colOff>
      <xdr:row>0</xdr:row>
      <xdr:rowOff>28575</xdr:rowOff>
    </xdr:from>
    <xdr:to>
      <xdr:col>1</xdr:col>
      <xdr:colOff>1495425</xdr:colOff>
      <xdr:row>0</xdr:row>
      <xdr:rowOff>619125</xdr:rowOff>
    </xdr:to>
    <xdr:pic>
      <xdr:nvPicPr>
        <xdr:cNvPr id="3" name="Рисунок 2" descr="гербмономал"/>
        <xdr:cNvPicPr>
          <a:picLocks noChangeAspect="1" noChangeArrowheads="1"/>
        </xdr:cNvPicPr>
      </xdr:nvPicPr>
      <xdr:blipFill>
        <a:blip xmlns:r="http://schemas.openxmlformats.org/officeDocument/2006/relationships" r:embed="rId1" cstate="print">
          <a:lum bright="-12000" contrast="54000"/>
          <a:extLst>
            <a:ext uri="{28A0092B-C50C-407E-A947-70E740481C1C}">
              <a14:useLocalDpi xmlns:a14="http://schemas.microsoft.com/office/drawing/2010/main" val="0"/>
            </a:ext>
          </a:extLst>
        </a:blip>
        <a:srcRect/>
        <a:stretch>
          <a:fillRect/>
        </a:stretch>
      </xdr:blipFill>
      <xdr:spPr bwMode="auto">
        <a:xfrm>
          <a:off x="1619250" y="28575"/>
          <a:ext cx="457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1038225</xdr:colOff>
      <xdr:row>0</xdr:row>
      <xdr:rowOff>28575</xdr:rowOff>
    </xdr:from>
    <xdr:to>
      <xdr:col>1</xdr:col>
      <xdr:colOff>1495425</xdr:colOff>
      <xdr:row>0</xdr:row>
      <xdr:rowOff>619125</xdr:rowOff>
    </xdr:to>
    <xdr:pic>
      <xdr:nvPicPr>
        <xdr:cNvPr id="4" name="Рисунок 3" descr="гербмономал"/>
        <xdr:cNvPicPr>
          <a:picLocks noChangeAspect="1" noChangeArrowheads="1"/>
        </xdr:cNvPicPr>
      </xdr:nvPicPr>
      <xdr:blipFill>
        <a:blip xmlns:r="http://schemas.openxmlformats.org/officeDocument/2006/relationships" r:embed="rId1" cstate="print">
          <a:lum bright="-12000" contrast="54000"/>
          <a:extLst>
            <a:ext uri="{28A0092B-C50C-407E-A947-70E740481C1C}">
              <a14:useLocalDpi xmlns:a14="http://schemas.microsoft.com/office/drawing/2010/main" val="0"/>
            </a:ext>
          </a:extLst>
        </a:blip>
        <a:srcRect/>
        <a:stretch>
          <a:fillRect/>
        </a:stretch>
      </xdr:blipFill>
      <xdr:spPr bwMode="auto">
        <a:xfrm>
          <a:off x="1619250" y="28575"/>
          <a:ext cx="457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1038225</xdr:colOff>
      <xdr:row>0</xdr:row>
      <xdr:rowOff>28575</xdr:rowOff>
    </xdr:from>
    <xdr:to>
      <xdr:col>1</xdr:col>
      <xdr:colOff>1495425</xdr:colOff>
      <xdr:row>0</xdr:row>
      <xdr:rowOff>619125</xdr:rowOff>
    </xdr:to>
    <xdr:pic>
      <xdr:nvPicPr>
        <xdr:cNvPr id="2" name="Рисунок 2" descr="гербмономал"/>
        <xdr:cNvPicPr>
          <a:picLocks noChangeAspect="1" noChangeArrowheads="1"/>
        </xdr:cNvPicPr>
      </xdr:nvPicPr>
      <xdr:blipFill>
        <a:blip xmlns:r="http://schemas.openxmlformats.org/officeDocument/2006/relationships" r:embed="rId1" cstate="print">
          <a:lum bright="-12000" contrast="54000"/>
          <a:extLst>
            <a:ext uri="{28A0092B-C50C-407E-A947-70E740481C1C}">
              <a14:useLocalDpi xmlns:a14="http://schemas.microsoft.com/office/drawing/2010/main" val="0"/>
            </a:ext>
          </a:extLst>
        </a:blip>
        <a:srcRect/>
        <a:stretch>
          <a:fillRect/>
        </a:stretch>
      </xdr:blipFill>
      <xdr:spPr bwMode="auto">
        <a:xfrm>
          <a:off x="1619250" y="28575"/>
          <a:ext cx="457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1038225</xdr:colOff>
      <xdr:row>0</xdr:row>
      <xdr:rowOff>28575</xdr:rowOff>
    </xdr:from>
    <xdr:to>
      <xdr:col>1</xdr:col>
      <xdr:colOff>1495425</xdr:colOff>
      <xdr:row>0</xdr:row>
      <xdr:rowOff>619125</xdr:rowOff>
    </xdr:to>
    <xdr:pic>
      <xdr:nvPicPr>
        <xdr:cNvPr id="3" name="Рисунок 2" descr="гербмономал"/>
        <xdr:cNvPicPr>
          <a:picLocks noChangeAspect="1" noChangeArrowheads="1"/>
        </xdr:cNvPicPr>
      </xdr:nvPicPr>
      <xdr:blipFill>
        <a:blip xmlns:r="http://schemas.openxmlformats.org/officeDocument/2006/relationships" r:embed="rId1" cstate="print">
          <a:lum bright="-12000" contrast="54000"/>
          <a:extLst>
            <a:ext uri="{28A0092B-C50C-407E-A947-70E740481C1C}">
              <a14:useLocalDpi xmlns:a14="http://schemas.microsoft.com/office/drawing/2010/main" val="0"/>
            </a:ext>
          </a:extLst>
        </a:blip>
        <a:srcRect/>
        <a:stretch>
          <a:fillRect/>
        </a:stretch>
      </xdr:blipFill>
      <xdr:spPr bwMode="auto">
        <a:xfrm>
          <a:off x="1619250" y="28575"/>
          <a:ext cx="457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1038225</xdr:colOff>
      <xdr:row>0</xdr:row>
      <xdr:rowOff>28575</xdr:rowOff>
    </xdr:from>
    <xdr:to>
      <xdr:col>1</xdr:col>
      <xdr:colOff>1495425</xdr:colOff>
      <xdr:row>0</xdr:row>
      <xdr:rowOff>619125</xdr:rowOff>
    </xdr:to>
    <xdr:pic>
      <xdr:nvPicPr>
        <xdr:cNvPr id="4" name="Рисунок 3" descr="гербмономал"/>
        <xdr:cNvPicPr>
          <a:picLocks noChangeAspect="1" noChangeArrowheads="1"/>
        </xdr:cNvPicPr>
      </xdr:nvPicPr>
      <xdr:blipFill>
        <a:blip xmlns:r="http://schemas.openxmlformats.org/officeDocument/2006/relationships" r:embed="rId1" cstate="print">
          <a:lum bright="-12000" contrast="54000"/>
          <a:extLst>
            <a:ext uri="{28A0092B-C50C-407E-A947-70E740481C1C}">
              <a14:useLocalDpi xmlns:a14="http://schemas.microsoft.com/office/drawing/2010/main" val="0"/>
            </a:ext>
          </a:extLst>
        </a:blip>
        <a:srcRect/>
        <a:stretch>
          <a:fillRect/>
        </a:stretch>
      </xdr:blipFill>
      <xdr:spPr bwMode="auto">
        <a:xfrm>
          <a:off x="1619250" y="28575"/>
          <a:ext cx="457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1038225</xdr:colOff>
      <xdr:row>0</xdr:row>
      <xdr:rowOff>28575</xdr:rowOff>
    </xdr:from>
    <xdr:to>
      <xdr:col>1</xdr:col>
      <xdr:colOff>1495425</xdr:colOff>
      <xdr:row>0</xdr:row>
      <xdr:rowOff>619125</xdr:rowOff>
    </xdr:to>
    <xdr:pic>
      <xdr:nvPicPr>
        <xdr:cNvPr id="2" name="Рисунок 2" descr="гербмономал"/>
        <xdr:cNvPicPr>
          <a:picLocks noChangeAspect="1" noChangeArrowheads="1"/>
        </xdr:cNvPicPr>
      </xdr:nvPicPr>
      <xdr:blipFill>
        <a:blip xmlns:r="http://schemas.openxmlformats.org/officeDocument/2006/relationships" r:embed="rId1" cstate="print">
          <a:lum bright="-12000" contrast="54000"/>
          <a:extLst>
            <a:ext uri="{28A0092B-C50C-407E-A947-70E740481C1C}">
              <a14:useLocalDpi xmlns:a14="http://schemas.microsoft.com/office/drawing/2010/main" val="0"/>
            </a:ext>
          </a:extLst>
        </a:blip>
        <a:srcRect/>
        <a:stretch>
          <a:fillRect/>
        </a:stretch>
      </xdr:blipFill>
      <xdr:spPr bwMode="auto">
        <a:xfrm>
          <a:off x="1619250" y="28575"/>
          <a:ext cx="457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1038225</xdr:colOff>
      <xdr:row>0</xdr:row>
      <xdr:rowOff>28575</xdr:rowOff>
    </xdr:from>
    <xdr:to>
      <xdr:col>1</xdr:col>
      <xdr:colOff>1495425</xdr:colOff>
      <xdr:row>0</xdr:row>
      <xdr:rowOff>619125</xdr:rowOff>
    </xdr:to>
    <xdr:pic>
      <xdr:nvPicPr>
        <xdr:cNvPr id="3" name="Рисунок 2" descr="гербмономал"/>
        <xdr:cNvPicPr>
          <a:picLocks noChangeAspect="1" noChangeArrowheads="1"/>
        </xdr:cNvPicPr>
      </xdr:nvPicPr>
      <xdr:blipFill>
        <a:blip xmlns:r="http://schemas.openxmlformats.org/officeDocument/2006/relationships" r:embed="rId1" cstate="print">
          <a:lum bright="-12000" contrast="54000"/>
          <a:extLst>
            <a:ext uri="{28A0092B-C50C-407E-A947-70E740481C1C}">
              <a14:useLocalDpi xmlns:a14="http://schemas.microsoft.com/office/drawing/2010/main" val="0"/>
            </a:ext>
          </a:extLst>
        </a:blip>
        <a:srcRect/>
        <a:stretch>
          <a:fillRect/>
        </a:stretch>
      </xdr:blipFill>
      <xdr:spPr bwMode="auto">
        <a:xfrm>
          <a:off x="1619250" y="28575"/>
          <a:ext cx="457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1038225</xdr:colOff>
      <xdr:row>0</xdr:row>
      <xdr:rowOff>28575</xdr:rowOff>
    </xdr:from>
    <xdr:to>
      <xdr:col>1</xdr:col>
      <xdr:colOff>1495425</xdr:colOff>
      <xdr:row>0</xdr:row>
      <xdr:rowOff>619125</xdr:rowOff>
    </xdr:to>
    <xdr:pic>
      <xdr:nvPicPr>
        <xdr:cNvPr id="4" name="Рисунок 3" descr="гербмономал"/>
        <xdr:cNvPicPr>
          <a:picLocks noChangeAspect="1" noChangeArrowheads="1"/>
        </xdr:cNvPicPr>
      </xdr:nvPicPr>
      <xdr:blipFill>
        <a:blip xmlns:r="http://schemas.openxmlformats.org/officeDocument/2006/relationships" r:embed="rId1" cstate="print">
          <a:lum bright="-12000" contrast="54000"/>
          <a:extLst>
            <a:ext uri="{28A0092B-C50C-407E-A947-70E740481C1C}">
              <a14:useLocalDpi xmlns:a14="http://schemas.microsoft.com/office/drawing/2010/main" val="0"/>
            </a:ext>
          </a:extLst>
        </a:blip>
        <a:srcRect/>
        <a:stretch>
          <a:fillRect/>
        </a:stretch>
      </xdr:blipFill>
      <xdr:spPr bwMode="auto">
        <a:xfrm>
          <a:off x="1619250" y="28575"/>
          <a:ext cx="457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1038225</xdr:colOff>
      <xdr:row>0</xdr:row>
      <xdr:rowOff>28575</xdr:rowOff>
    </xdr:from>
    <xdr:to>
      <xdr:col>1</xdr:col>
      <xdr:colOff>1495425</xdr:colOff>
      <xdr:row>0</xdr:row>
      <xdr:rowOff>619125</xdr:rowOff>
    </xdr:to>
    <xdr:pic>
      <xdr:nvPicPr>
        <xdr:cNvPr id="2" name="Рисунок 2" descr="гербмономал"/>
        <xdr:cNvPicPr>
          <a:picLocks noChangeAspect="1" noChangeArrowheads="1"/>
        </xdr:cNvPicPr>
      </xdr:nvPicPr>
      <xdr:blipFill>
        <a:blip xmlns:r="http://schemas.openxmlformats.org/officeDocument/2006/relationships" r:embed="rId1" cstate="print">
          <a:lum bright="-12000" contrast="54000"/>
          <a:extLst>
            <a:ext uri="{28A0092B-C50C-407E-A947-70E740481C1C}">
              <a14:useLocalDpi xmlns:a14="http://schemas.microsoft.com/office/drawing/2010/main" val="0"/>
            </a:ext>
          </a:extLst>
        </a:blip>
        <a:srcRect/>
        <a:stretch>
          <a:fillRect/>
        </a:stretch>
      </xdr:blipFill>
      <xdr:spPr bwMode="auto">
        <a:xfrm>
          <a:off x="1619250" y="28575"/>
          <a:ext cx="457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1038225</xdr:colOff>
      <xdr:row>0</xdr:row>
      <xdr:rowOff>28575</xdr:rowOff>
    </xdr:from>
    <xdr:to>
      <xdr:col>1</xdr:col>
      <xdr:colOff>1495425</xdr:colOff>
      <xdr:row>0</xdr:row>
      <xdr:rowOff>619125</xdr:rowOff>
    </xdr:to>
    <xdr:pic>
      <xdr:nvPicPr>
        <xdr:cNvPr id="3" name="Рисунок 2" descr="гербмономал"/>
        <xdr:cNvPicPr>
          <a:picLocks noChangeAspect="1" noChangeArrowheads="1"/>
        </xdr:cNvPicPr>
      </xdr:nvPicPr>
      <xdr:blipFill>
        <a:blip xmlns:r="http://schemas.openxmlformats.org/officeDocument/2006/relationships" r:embed="rId1" cstate="print">
          <a:lum bright="-12000" contrast="54000"/>
          <a:extLst>
            <a:ext uri="{28A0092B-C50C-407E-A947-70E740481C1C}">
              <a14:useLocalDpi xmlns:a14="http://schemas.microsoft.com/office/drawing/2010/main" val="0"/>
            </a:ext>
          </a:extLst>
        </a:blip>
        <a:srcRect/>
        <a:stretch>
          <a:fillRect/>
        </a:stretch>
      </xdr:blipFill>
      <xdr:spPr bwMode="auto">
        <a:xfrm>
          <a:off x="1619250" y="28575"/>
          <a:ext cx="457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1038225</xdr:colOff>
      <xdr:row>0</xdr:row>
      <xdr:rowOff>28575</xdr:rowOff>
    </xdr:from>
    <xdr:to>
      <xdr:col>1</xdr:col>
      <xdr:colOff>1495425</xdr:colOff>
      <xdr:row>0</xdr:row>
      <xdr:rowOff>619125</xdr:rowOff>
    </xdr:to>
    <xdr:pic>
      <xdr:nvPicPr>
        <xdr:cNvPr id="4" name="Рисунок 3" descr="гербмономал"/>
        <xdr:cNvPicPr>
          <a:picLocks noChangeAspect="1" noChangeArrowheads="1"/>
        </xdr:cNvPicPr>
      </xdr:nvPicPr>
      <xdr:blipFill>
        <a:blip xmlns:r="http://schemas.openxmlformats.org/officeDocument/2006/relationships" r:embed="rId1" cstate="print">
          <a:lum bright="-12000" contrast="54000"/>
          <a:extLst>
            <a:ext uri="{28A0092B-C50C-407E-A947-70E740481C1C}">
              <a14:useLocalDpi xmlns:a14="http://schemas.microsoft.com/office/drawing/2010/main" val="0"/>
            </a:ext>
          </a:extLst>
        </a:blip>
        <a:srcRect/>
        <a:stretch>
          <a:fillRect/>
        </a:stretch>
      </xdr:blipFill>
      <xdr:spPr bwMode="auto">
        <a:xfrm>
          <a:off x="1619250" y="28575"/>
          <a:ext cx="457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2;&#1086;&#1080;%20&#1076;&#1086;&#1082;&#1091;&#1084;&#1077;&#1085;&#1090;&#1099;\&#1041;&#1102;&#1076;&#1078;&#1077;&#1090;\&#1041;&#1102;&#1076;&#1078;&#1077;&#1090;%20&#1085;&#1072;%202015-2017%20&#1075;&#1086;&#1076;&#1099;\2%20&#1095;&#1090;&#1077;&#1085;&#1080;&#1077;\&#1058;&#1072;&#1073;&#1083;&#1080;&#1094;&#1099;,%20&#1088;&#1072;&#1089;&#1095;&#1077;&#1090;&#1099;%202%20&#1095;&#1090;&#1077;&#1085;&#1080;&#1077;%20&#1086;&#1090;%2020.12.2013%20&#8470;18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ые расходы"/>
      <sheetName val="ОМСУ"/>
      <sheetName val="Казенные"/>
      <sheetName val="объем субсидий"/>
      <sheetName val="ПНО"/>
      <sheetName val="Лист3"/>
      <sheetName val="прогноз конс.бюдж.14-16"/>
      <sheetName val="выписка"/>
      <sheetName val="ожид.исп."/>
      <sheetName val="Лист1"/>
      <sheetName val="Лист2"/>
      <sheetName val="П_1"/>
      <sheetName val="ГАД ОГВ"/>
      <sheetName val="ГАД ОМС"/>
      <sheetName val="АД ОМС"/>
      <sheetName val="П_2"/>
      <sheetName val="П_3"/>
      <sheetName val="П_4"/>
      <sheetName val="П_5"/>
      <sheetName val="П_6"/>
      <sheetName val="П_7"/>
      <sheetName val="П_8"/>
      <sheetName val="П_9"/>
      <sheetName val="Лист6"/>
      <sheetName val="П_10"/>
      <sheetName val="П_11"/>
      <sheetName val="П_12"/>
      <sheetName val="иные субсидии"/>
      <sheetName val="верхн. предел долга"/>
      <sheetName val="расчет % в область"/>
      <sheetName val="Согласование РАЙОНО ДОУ"/>
      <sheetName val="Согласование РАЙОНО ОУ"/>
      <sheetName val="Согласование РАЙОНО прочие"/>
      <sheetName val="Согласование адм."/>
      <sheetName val="БУ, АУ"/>
      <sheetName val="График поселений"/>
      <sheetName val="график в область"/>
      <sheetName val="расходы поселений"/>
      <sheetName val="доп.инф."/>
      <sheetName val="расчет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2">
          <cell r="C12">
            <v>0</v>
          </cell>
        </row>
        <row r="13">
          <cell r="C13">
            <v>0</v>
          </cell>
          <cell r="D13">
            <v>0</v>
          </cell>
          <cell r="E13">
            <v>0</v>
          </cell>
        </row>
        <row r="15">
          <cell r="C15">
            <v>0</v>
          </cell>
          <cell r="D15">
            <v>0</v>
          </cell>
          <cell r="E15">
            <v>0</v>
          </cell>
        </row>
        <row r="19">
          <cell r="C19">
            <v>0</v>
          </cell>
          <cell r="D19">
            <v>0</v>
          </cell>
          <cell r="E19">
            <v>0</v>
          </cell>
        </row>
      </sheetData>
      <sheetData sheetId="17" refreshError="1"/>
      <sheetData sheetId="18" refreshError="1"/>
      <sheetData sheetId="19" refreshError="1">
        <row r="11">
          <cell r="I11">
            <v>1436106</v>
          </cell>
        </row>
        <row r="26">
          <cell r="I26">
            <v>0</v>
          </cell>
        </row>
        <row r="32">
          <cell r="J32">
            <v>0</v>
          </cell>
          <cell r="K32">
            <v>0</v>
          </cell>
        </row>
        <row r="159">
          <cell r="I159">
            <v>573400</v>
          </cell>
          <cell r="J159">
            <v>573400</v>
          </cell>
          <cell r="K159">
            <v>573400</v>
          </cell>
        </row>
        <row r="198">
          <cell r="I198">
            <v>0</v>
          </cell>
        </row>
        <row r="218">
          <cell r="I218">
            <v>18000000</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6.bin"/><Relationship Id="rId1" Type="http://schemas.openxmlformats.org/officeDocument/2006/relationships/hyperlink" Target="mailto:rfo-skv@mail.ru"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7.bin"/><Relationship Id="rId1" Type="http://schemas.openxmlformats.org/officeDocument/2006/relationships/hyperlink" Target="mailto:rfo-skv@mail.ru"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8.bin"/><Relationship Id="rId1" Type="http://schemas.openxmlformats.org/officeDocument/2006/relationships/hyperlink" Target="mailto:rfo-skv@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9.bin"/><Relationship Id="rId1" Type="http://schemas.openxmlformats.org/officeDocument/2006/relationships/hyperlink" Target="mailto:rfo-skv@mail.ru"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20.bin"/><Relationship Id="rId1" Type="http://schemas.openxmlformats.org/officeDocument/2006/relationships/hyperlink" Target="mailto:rfo-skv@mail.ru"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21.bin"/><Relationship Id="rId1" Type="http://schemas.openxmlformats.org/officeDocument/2006/relationships/hyperlink" Target="mailto:rfo-skv@mail.ru"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mailto:rfo-skv@mail.ru"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mailto:rfo-skv@mail.ru"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mailto:rfo-skv@mail.ru"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mailto:rfo-skv@mail.ru"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mailto:rfo-skv@mail.ru"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2"/>
  <sheetViews>
    <sheetView workbookViewId="0">
      <selection activeCell="C5" sqref="C5"/>
    </sheetView>
  </sheetViews>
  <sheetFormatPr defaultColWidth="9.109375" defaultRowHeight="15.6" x14ac:dyDescent="0.3"/>
  <cols>
    <col min="1" max="1" width="15.6640625" style="1" customWidth="1"/>
    <col min="2" max="2" width="30.5546875" style="1" customWidth="1"/>
    <col min="3" max="3" width="74.44140625" style="1" customWidth="1"/>
    <col min="4" max="16384" width="9.109375" style="4"/>
  </cols>
  <sheetData>
    <row r="1" spans="1:3" x14ac:dyDescent="0.3">
      <c r="C1" s="2" t="s">
        <v>0</v>
      </c>
    </row>
    <row r="2" spans="1:3" x14ac:dyDescent="0.3">
      <c r="C2" s="2" t="s">
        <v>1</v>
      </c>
    </row>
    <row r="3" spans="1:3" x14ac:dyDescent="0.3">
      <c r="C3" s="2" t="s">
        <v>2</v>
      </c>
    </row>
    <row r="4" spans="1:3" x14ac:dyDescent="0.3">
      <c r="C4" s="2" t="s">
        <v>1077</v>
      </c>
    </row>
    <row r="5" spans="1:3" x14ac:dyDescent="0.3">
      <c r="A5" s="3" t="s">
        <v>3</v>
      </c>
    </row>
    <row r="6" spans="1:3" x14ac:dyDescent="0.3">
      <c r="A6" s="1147" t="s">
        <v>154</v>
      </c>
      <c r="B6" s="1147"/>
      <c r="C6" s="1147"/>
    </row>
    <row r="7" spans="1:3" x14ac:dyDescent="0.3">
      <c r="A7" s="277"/>
      <c r="B7" s="277"/>
      <c r="C7" s="277"/>
    </row>
    <row r="8" spans="1:3" x14ac:dyDescent="0.3">
      <c r="A8" s="227" t="s">
        <v>4</v>
      </c>
      <c r="B8" s="278" t="s">
        <v>5</v>
      </c>
      <c r="C8" s="278" t="s">
        <v>6</v>
      </c>
    </row>
    <row r="9" spans="1:3" x14ac:dyDescent="0.3">
      <c r="A9" s="1148" t="s">
        <v>7</v>
      </c>
      <c r="B9" s="1148"/>
      <c r="C9" s="1148"/>
    </row>
    <row r="10" spans="1:3" x14ac:dyDescent="0.3">
      <c r="A10" s="161">
        <v>182</v>
      </c>
      <c r="B10" s="162"/>
      <c r="C10" s="279" t="s">
        <v>8</v>
      </c>
    </row>
    <row r="11" spans="1:3" x14ac:dyDescent="0.3">
      <c r="A11" s="161">
        <v>182</v>
      </c>
      <c r="B11" s="162" t="s">
        <v>9</v>
      </c>
      <c r="C11" s="163" t="s">
        <v>10</v>
      </c>
    </row>
    <row r="12" spans="1:3" x14ac:dyDescent="0.3">
      <c r="A12" s="161">
        <v>182</v>
      </c>
      <c r="B12" s="162" t="s">
        <v>11</v>
      </c>
      <c r="C12" s="163" t="s">
        <v>12</v>
      </c>
    </row>
    <row r="13" spans="1:3" x14ac:dyDescent="0.3">
      <c r="A13" s="161">
        <v>182</v>
      </c>
      <c r="B13" s="162" t="s">
        <v>13</v>
      </c>
      <c r="C13" s="163" t="s">
        <v>14</v>
      </c>
    </row>
    <row r="14" spans="1:3" x14ac:dyDescent="0.3">
      <c r="A14" s="161">
        <v>182</v>
      </c>
      <c r="B14" s="162" t="s">
        <v>15</v>
      </c>
      <c r="C14" s="163" t="s">
        <v>16</v>
      </c>
    </row>
    <row r="15" spans="1:3" ht="31.2" x14ac:dyDescent="0.3">
      <c r="A15" s="161">
        <v>182</v>
      </c>
      <c r="B15" s="162" t="s">
        <v>17</v>
      </c>
      <c r="C15" s="163" t="s">
        <v>18</v>
      </c>
    </row>
    <row r="16" spans="1:3" ht="62.4" x14ac:dyDescent="0.3">
      <c r="A16" s="161">
        <v>182</v>
      </c>
      <c r="B16" s="162" t="s">
        <v>19</v>
      </c>
      <c r="C16" s="163" t="s">
        <v>20</v>
      </c>
    </row>
    <row r="17" spans="1:3" ht="62.4" x14ac:dyDescent="0.3">
      <c r="A17" s="161">
        <v>182</v>
      </c>
      <c r="B17" s="162" t="s">
        <v>21</v>
      </c>
      <c r="C17" s="163" t="s">
        <v>22</v>
      </c>
    </row>
    <row r="18" spans="1:3" ht="46.8" x14ac:dyDescent="0.3">
      <c r="A18" s="161">
        <v>182</v>
      </c>
      <c r="B18" s="162" t="s">
        <v>23</v>
      </c>
      <c r="C18" s="163" t="s">
        <v>24</v>
      </c>
    </row>
    <row r="19" spans="1:3" ht="31.2" x14ac:dyDescent="0.3">
      <c r="A19" s="161">
        <v>182</v>
      </c>
      <c r="B19" s="162" t="s">
        <v>25</v>
      </c>
      <c r="C19" s="163" t="s">
        <v>26</v>
      </c>
    </row>
    <row r="20" spans="1:3" ht="31.2" x14ac:dyDescent="0.3">
      <c r="A20" s="161">
        <v>182</v>
      </c>
      <c r="B20" s="162" t="s">
        <v>27</v>
      </c>
      <c r="C20" s="163" t="s">
        <v>28</v>
      </c>
    </row>
    <row r="21" spans="1:3" ht="62.4" x14ac:dyDescent="0.3">
      <c r="A21" s="161">
        <v>182</v>
      </c>
      <c r="B21" s="162" t="s">
        <v>29</v>
      </c>
      <c r="C21" s="163" t="s">
        <v>30</v>
      </c>
    </row>
    <row r="22" spans="1:3" ht="46.8" x14ac:dyDescent="0.3">
      <c r="A22" s="161">
        <v>182</v>
      </c>
      <c r="B22" s="162" t="s">
        <v>31</v>
      </c>
      <c r="C22" s="163" t="s">
        <v>32</v>
      </c>
    </row>
    <row r="23" spans="1:3" ht="46.8" x14ac:dyDescent="0.3">
      <c r="A23" s="161">
        <v>182</v>
      </c>
      <c r="B23" s="162" t="s">
        <v>33</v>
      </c>
      <c r="C23" s="163" t="s">
        <v>34</v>
      </c>
    </row>
    <row r="24" spans="1:3" ht="46.8" x14ac:dyDescent="0.3">
      <c r="A24" s="161">
        <v>182</v>
      </c>
      <c r="B24" s="162" t="s">
        <v>35</v>
      </c>
      <c r="C24" s="163" t="s">
        <v>36</v>
      </c>
    </row>
    <row r="25" spans="1:3" x14ac:dyDescent="0.3">
      <c r="A25" s="280" t="s">
        <v>37</v>
      </c>
      <c r="B25" s="162"/>
      <c r="C25" s="164" t="s">
        <v>38</v>
      </c>
    </row>
    <row r="26" spans="1:3" x14ac:dyDescent="0.3">
      <c r="A26" s="280" t="s">
        <v>37</v>
      </c>
      <c r="B26" s="162" t="s">
        <v>39</v>
      </c>
      <c r="C26" s="163" t="s">
        <v>40</v>
      </c>
    </row>
    <row r="27" spans="1:3" ht="31.2" x14ac:dyDescent="0.3">
      <c r="A27" s="280" t="s">
        <v>37</v>
      </c>
      <c r="B27" s="162" t="s">
        <v>41</v>
      </c>
      <c r="C27" s="163" t="s">
        <v>42</v>
      </c>
    </row>
    <row r="28" spans="1:3" x14ac:dyDescent="0.3">
      <c r="A28" s="280" t="s">
        <v>43</v>
      </c>
      <c r="B28" s="162"/>
      <c r="C28" s="164" t="s">
        <v>44</v>
      </c>
    </row>
    <row r="29" spans="1:3" ht="31.2" x14ac:dyDescent="0.3">
      <c r="A29" s="280" t="s">
        <v>43</v>
      </c>
      <c r="B29" s="162" t="s">
        <v>45</v>
      </c>
      <c r="C29" s="163" t="s">
        <v>46</v>
      </c>
    </row>
    <row r="30" spans="1:3" ht="31.2" x14ac:dyDescent="0.3">
      <c r="A30" s="280" t="s">
        <v>43</v>
      </c>
      <c r="B30" s="162" t="s">
        <v>47</v>
      </c>
      <c r="C30" s="163" t="s">
        <v>48</v>
      </c>
    </row>
    <row r="31" spans="1:3" x14ac:dyDescent="0.3">
      <c r="A31" s="161">
        <v>192</v>
      </c>
      <c r="B31" s="162"/>
      <c r="C31" s="164" t="s">
        <v>49</v>
      </c>
    </row>
    <row r="32" spans="1:3" ht="46.8" x14ac:dyDescent="0.3">
      <c r="A32" s="161">
        <v>192</v>
      </c>
      <c r="B32" s="162" t="s">
        <v>50</v>
      </c>
      <c r="C32" s="163" t="s">
        <v>51</v>
      </c>
    </row>
    <row r="33" spans="1:3" ht="31.2" x14ac:dyDescent="0.3">
      <c r="A33" s="161">
        <v>192</v>
      </c>
      <c r="B33" s="162" t="s">
        <v>45</v>
      </c>
      <c r="C33" s="163" t="s">
        <v>46</v>
      </c>
    </row>
    <row r="34" spans="1:3" x14ac:dyDescent="0.3">
      <c r="A34" s="161">
        <v>321</v>
      </c>
      <c r="B34" s="162"/>
      <c r="C34" s="164" t="s">
        <v>52</v>
      </c>
    </row>
    <row r="35" spans="1:3" x14ac:dyDescent="0.3">
      <c r="A35" s="161">
        <v>321</v>
      </c>
      <c r="B35" s="162" t="s">
        <v>53</v>
      </c>
      <c r="C35" s="163" t="s">
        <v>54</v>
      </c>
    </row>
    <row r="36" spans="1:3" x14ac:dyDescent="0.3">
      <c r="A36" s="161">
        <v>188</v>
      </c>
      <c r="B36" s="162"/>
      <c r="C36" s="164" t="s">
        <v>55</v>
      </c>
    </row>
    <row r="37" spans="1:3" ht="31.2" x14ac:dyDescent="0.3">
      <c r="A37" s="161">
        <v>188</v>
      </c>
      <c r="B37" s="162" t="s">
        <v>56</v>
      </c>
      <c r="C37" s="281" t="s">
        <v>57</v>
      </c>
    </row>
    <row r="38" spans="1:3" ht="31.2" x14ac:dyDescent="0.3">
      <c r="A38" s="161">
        <v>188</v>
      </c>
      <c r="B38" s="162" t="s">
        <v>45</v>
      </c>
      <c r="C38" s="163" t="s">
        <v>46</v>
      </c>
    </row>
    <row r="39" spans="1:3" ht="31.2" x14ac:dyDescent="0.3">
      <c r="A39" s="161">
        <v>141</v>
      </c>
      <c r="B39" s="162"/>
      <c r="C39" s="164" t="s">
        <v>58</v>
      </c>
    </row>
    <row r="40" spans="1:3" ht="31.2" x14ac:dyDescent="0.3">
      <c r="A40" s="161">
        <v>141</v>
      </c>
      <c r="B40" s="162" t="s">
        <v>41</v>
      </c>
      <c r="C40" s="163" t="s">
        <v>42</v>
      </c>
    </row>
    <row r="41" spans="1:3" ht="46.8" x14ac:dyDescent="0.3">
      <c r="A41" s="161">
        <v>141</v>
      </c>
      <c r="B41" s="162" t="s">
        <v>59</v>
      </c>
      <c r="C41" s="163" t="s">
        <v>60</v>
      </c>
    </row>
    <row r="42" spans="1:3" x14ac:dyDescent="0.3">
      <c r="A42" s="161">
        <v>100</v>
      </c>
      <c r="B42" s="162"/>
      <c r="C42" s="164" t="s">
        <v>61</v>
      </c>
    </row>
    <row r="43" spans="1:3" x14ac:dyDescent="0.3">
      <c r="A43" s="161">
        <v>100</v>
      </c>
      <c r="B43" s="162" t="s">
        <v>62</v>
      </c>
      <c r="C43" s="163" t="s">
        <v>63</v>
      </c>
    </row>
    <row r="44" spans="1:3" ht="31.2" x14ac:dyDescent="0.3">
      <c r="A44" s="161">
        <v>100</v>
      </c>
      <c r="B44" s="162" t="s">
        <v>64</v>
      </c>
      <c r="C44" s="163" t="s">
        <v>65</v>
      </c>
    </row>
    <row r="45" spans="1:3" ht="46.8" x14ac:dyDescent="0.3">
      <c r="A45" s="161">
        <v>100</v>
      </c>
      <c r="B45" s="162" t="s">
        <v>66</v>
      </c>
      <c r="C45" s="163" t="s">
        <v>67</v>
      </c>
    </row>
    <row r="46" spans="1:3" ht="46.8" x14ac:dyDescent="0.3">
      <c r="A46" s="161">
        <v>100</v>
      </c>
      <c r="B46" s="162" t="s">
        <v>68</v>
      </c>
      <c r="C46" s="163" t="s">
        <v>69</v>
      </c>
    </row>
    <row r="47" spans="1:3" ht="46.8" x14ac:dyDescent="0.3">
      <c r="A47" s="161">
        <v>100</v>
      </c>
      <c r="B47" s="162" t="s">
        <v>70</v>
      </c>
      <c r="C47" s="163" t="s">
        <v>71</v>
      </c>
    </row>
    <row r="48" spans="1:3" x14ac:dyDescent="0.3">
      <c r="A48" s="161">
        <v>161</v>
      </c>
      <c r="B48" s="162"/>
      <c r="C48" s="164" t="s">
        <v>72</v>
      </c>
    </row>
    <row r="49" spans="1:3" ht="46.8" x14ac:dyDescent="0.3">
      <c r="A49" s="161">
        <v>161</v>
      </c>
      <c r="B49" s="162" t="s">
        <v>73</v>
      </c>
      <c r="C49" s="5" t="s">
        <v>74</v>
      </c>
    </row>
    <row r="50" spans="1:3" x14ac:dyDescent="0.3">
      <c r="A50" s="1149" t="s">
        <v>75</v>
      </c>
      <c r="B50" s="1150"/>
      <c r="C50" s="1151"/>
    </row>
    <row r="51" spans="1:3" ht="31.2" x14ac:dyDescent="0.3">
      <c r="A51" s="280" t="s">
        <v>76</v>
      </c>
      <c r="B51" s="162"/>
      <c r="C51" s="164" t="s">
        <v>77</v>
      </c>
    </row>
    <row r="52" spans="1:3" ht="78" x14ac:dyDescent="0.3">
      <c r="A52" s="280" t="s">
        <v>76</v>
      </c>
      <c r="B52" s="163" t="s">
        <v>78</v>
      </c>
      <c r="C52" s="163" t="s">
        <v>79</v>
      </c>
    </row>
    <row r="53" spans="1:3" ht="31.2" x14ac:dyDescent="0.3">
      <c r="A53" s="280" t="s">
        <v>76</v>
      </c>
      <c r="B53" s="162" t="s">
        <v>45</v>
      </c>
      <c r="C53" s="163" t="s">
        <v>46</v>
      </c>
    </row>
    <row r="54" spans="1:3" x14ac:dyDescent="0.3">
      <c r="A54" s="161">
        <v>906</v>
      </c>
      <c r="B54" s="163"/>
      <c r="C54" s="164" t="s">
        <v>80</v>
      </c>
    </row>
    <row r="55" spans="1:3" ht="31.2" x14ac:dyDescent="0.3">
      <c r="A55" s="161">
        <v>906</v>
      </c>
      <c r="B55" s="162" t="s">
        <v>45</v>
      </c>
      <c r="C55" s="163" t="s">
        <v>46</v>
      </c>
    </row>
    <row r="56" spans="1:3" x14ac:dyDescent="0.3">
      <c r="A56" s="161">
        <v>117</v>
      </c>
      <c r="B56" s="162"/>
      <c r="C56" s="164" t="s">
        <v>81</v>
      </c>
    </row>
    <row r="57" spans="1:3" ht="31.2" x14ac:dyDescent="0.3">
      <c r="A57" s="161">
        <v>117</v>
      </c>
      <c r="B57" s="162" t="s">
        <v>45</v>
      </c>
      <c r="C57" s="163" t="s">
        <v>46</v>
      </c>
    </row>
    <row r="58" spans="1:3" ht="31.2" x14ac:dyDescent="0.3">
      <c r="A58" s="161">
        <v>927</v>
      </c>
      <c r="B58" s="162"/>
      <c r="C58" s="164" t="s">
        <v>82</v>
      </c>
    </row>
    <row r="59" spans="1:3" ht="31.2" x14ac:dyDescent="0.3">
      <c r="A59" s="161">
        <v>927</v>
      </c>
      <c r="B59" s="162" t="s">
        <v>47</v>
      </c>
      <c r="C59" s="163" t="s">
        <v>48</v>
      </c>
    </row>
    <row r="60" spans="1:3" x14ac:dyDescent="0.3">
      <c r="A60" s="161">
        <v>116</v>
      </c>
      <c r="B60" s="162"/>
      <c r="C60" s="164" t="s">
        <v>83</v>
      </c>
    </row>
    <row r="61" spans="1:3" ht="42" customHeight="1" x14ac:dyDescent="0.3">
      <c r="A61" s="161">
        <v>116</v>
      </c>
      <c r="B61" s="162" t="s">
        <v>45</v>
      </c>
      <c r="C61" s="163" t="s">
        <v>46</v>
      </c>
    </row>
    <row r="62" spans="1:3" x14ac:dyDescent="0.3">
      <c r="A62" s="161">
        <v>918</v>
      </c>
      <c r="B62" s="162"/>
      <c r="C62" s="164" t="s">
        <v>84</v>
      </c>
    </row>
    <row r="63" spans="1:3" ht="38.25" customHeight="1" x14ac:dyDescent="0.3">
      <c r="A63" s="161">
        <v>918</v>
      </c>
      <c r="B63" s="162" t="s">
        <v>45</v>
      </c>
      <c r="C63" s="163" t="s">
        <v>46</v>
      </c>
    </row>
    <row r="64" spans="1:3" x14ac:dyDescent="0.3">
      <c r="A64" s="1149" t="s">
        <v>85</v>
      </c>
      <c r="B64" s="1150"/>
      <c r="C64" s="1151"/>
    </row>
    <row r="65" spans="1:3" x14ac:dyDescent="0.3">
      <c r="A65" s="282" t="s">
        <v>86</v>
      </c>
      <c r="B65" s="283"/>
      <c r="C65" s="284" t="s">
        <v>87</v>
      </c>
    </row>
    <row r="66" spans="1:3" ht="62.4" x14ac:dyDescent="0.3">
      <c r="A66" s="280" t="s">
        <v>86</v>
      </c>
      <c r="B66" s="285" t="s">
        <v>88</v>
      </c>
      <c r="C66" s="286" t="s">
        <v>976</v>
      </c>
    </row>
    <row r="67" spans="1:3" x14ac:dyDescent="0.3">
      <c r="A67" s="280" t="s">
        <v>86</v>
      </c>
      <c r="B67" s="162" t="s">
        <v>89</v>
      </c>
      <c r="C67" s="162" t="s">
        <v>90</v>
      </c>
    </row>
    <row r="68" spans="1:3" x14ac:dyDescent="0.3">
      <c r="A68" s="280" t="s">
        <v>86</v>
      </c>
      <c r="B68" s="162" t="s">
        <v>977</v>
      </c>
      <c r="C68" s="162" t="s">
        <v>114</v>
      </c>
    </row>
    <row r="69" spans="1:3" x14ac:dyDescent="0.3">
      <c r="A69" s="282" t="s">
        <v>86</v>
      </c>
      <c r="B69" s="163" t="s">
        <v>91</v>
      </c>
      <c r="C69" s="163" t="s">
        <v>92</v>
      </c>
    </row>
    <row r="70" spans="1:3" x14ac:dyDescent="0.3">
      <c r="A70" s="280" t="s">
        <v>93</v>
      </c>
      <c r="B70" s="162"/>
      <c r="C70" s="279" t="s">
        <v>94</v>
      </c>
    </row>
    <row r="71" spans="1:3" ht="62.4" x14ac:dyDescent="0.3">
      <c r="A71" s="280" t="s">
        <v>93</v>
      </c>
      <c r="B71" s="162" t="s">
        <v>95</v>
      </c>
      <c r="C71" s="162" t="s">
        <v>96</v>
      </c>
    </row>
    <row r="72" spans="1:3" ht="62.4" x14ac:dyDescent="0.3">
      <c r="A72" s="280" t="s">
        <v>93</v>
      </c>
      <c r="B72" s="162" t="s">
        <v>97</v>
      </c>
      <c r="C72" s="162" t="s">
        <v>98</v>
      </c>
    </row>
    <row r="73" spans="1:3" ht="31.2" x14ac:dyDescent="0.3">
      <c r="A73" s="280" t="s">
        <v>93</v>
      </c>
      <c r="B73" s="162" t="s">
        <v>99</v>
      </c>
      <c r="C73" s="162" t="s">
        <v>100</v>
      </c>
    </row>
    <row r="74" spans="1:3" ht="31.2" x14ac:dyDescent="0.3">
      <c r="A74" s="280" t="s">
        <v>93</v>
      </c>
      <c r="B74" s="162" t="s">
        <v>101</v>
      </c>
      <c r="C74" s="162" t="s">
        <v>102</v>
      </c>
    </row>
    <row r="75" spans="1:3" ht="31.2" x14ac:dyDescent="0.3">
      <c r="A75" s="280" t="s">
        <v>93</v>
      </c>
      <c r="B75" s="162" t="s">
        <v>103</v>
      </c>
      <c r="C75" s="162" t="s">
        <v>104</v>
      </c>
    </row>
    <row r="76" spans="1:3" ht="31.2" x14ac:dyDescent="0.3">
      <c r="A76" s="280" t="s">
        <v>93</v>
      </c>
      <c r="B76" s="162" t="s">
        <v>105</v>
      </c>
      <c r="C76" s="162" t="s">
        <v>106</v>
      </c>
    </row>
    <row r="77" spans="1:3" x14ac:dyDescent="0.3">
      <c r="A77" s="280" t="s">
        <v>93</v>
      </c>
      <c r="B77" s="162" t="s">
        <v>107</v>
      </c>
      <c r="C77" s="162" t="s">
        <v>108</v>
      </c>
    </row>
    <row r="78" spans="1:3" ht="31.2" x14ac:dyDescent="0.3">
      <c r="A78" s="280" t="s">
        <v>93</v>
      </c>
      <c r="B78" s="162" t="s">
        <v>109</v>
      </c>
      <c r="C78" s="162" t="s">
        <v>110</v>
      </c>
    </row>
    <row r="79" spans="1:3" ht="31.2" x14ac:dyDescent="0.3">
      <c r="A79" s="280" t="s">
        <v>93</v>
      </c>
      <c r="B79" s="162" t="s">
        <v>111</v>
      </c>
      <c r="C79" s="162" t="s">
        <v>112</v>
      </c>
    </row>
    <row r="80" spans="1:3" x14ac:dyDescent="0.3">
      <c r="A80" s="280" t="s">
        <v>93</v>
      </c>
      <c r="B80" s="162" t="s">
        <v>89</v>
      </c>
      <c r="C80" s="162" t="s">
        <v>90</v>
      </c>
    </row>
    <row r="81" spans="1:3" x14ac:dyDescent="0.3">
      <c r="A81" s="280" t="s">
        <v>93</v>
      </c>
      <c r="B81" s="162" t="s">
        <v>113</v>
      </c>
      <c r="C81" s="162" t="s">
        <v>114</v>
      </c>
    </row>
    <row r="82" spans="1:3" ht="46.8" x14ac:dyDescent="0.3">
      <c r="A82" s="280" t="s">
        <v>93</v>
      </c>
      <c r="B82" s="162" t="s">
        <v>115</v>
      </c>
      <c r="C82" s="162" t="s">
        <v>116</v>
      </c>
    </row>
    <row r="83" spans="1:3" ht="31.2" x14ac:dyDescent="0.3">
      <c r="A83" s="280" t="s">
        <v>93</v>
      </c>
      <c r="B83" s="162" t="s">
        <v>117</v>
      </c>
      <c r="C83" s="162" t="s">
        <v>118</v>
      </c>
    </row>
    <row r="84" spans="1:3" ht="46.8" x14ac:dyDescent="0.3">
      <c r="A84" s="280" t="s">
        <v>93</v>
      </c>
      <c r="B84" s="162" t="s">
        <v>119</v>
      </c>
      <c r="C84" s="162" t="s">
        <v>120</v>
      </c>
    </row>
    <row r="85" spans="1:3" x14ac:dyDescent="0.3">
      <c r="A85" s="280" t="s">
        <v>93</v>
      </c>
      <c r="B85" s="163" t="s">
        <v>91</v>
      </c>
      <c r="C85" s="163" t="s">
        <v>92</v>
      </c>
    </row>
    <row r="86" spans="1:3" x14ac:dyDescent="0.3">
      <c r="A86" s="280" t="s">
        <v>121</v>
      </c>
      <c r="B86" s="163"/>
      <c r="C86" s="164" t="s">
        <v>122</v>
      </c>
    </row>
    <row r="87" spans="1:3" ht="62.4" x14ac:dyDescent="0.3">
      <c r="A87" s="280" t="s">
        <v>121</v>
      </c>
      <c r="B87" s="285" t="s">
        <v>88</v>
      </c>
      <c r="C87" s="287" t="s">
        <v>976</v>
      </c>
    </row>
    <row r="88" spans="1:3" x14ac:dyDescent="0.3">
      <c r="A88" s="280" t="s">
        <v>121</v>
      </c>
      <c r="B88" s="162" t="s">
        <v>89</v>
      </c>
      <c r="C88" s="162" t="s">
        <v>90</v>
      </c>
    </row>
    <row r="89" spans="1:3" x14ac:dyDescent="0.3">
      <c r="A89" s="280" t="s">
        <v>121</v>
      </c>
      <c r="B89" s="163" t="s">
        <v>91</v>
      </c>
      <c r="C89" s="163" t="s">
        <v>123</v>
      </c>
    </row>
    <row r="90" spans="1:3" x14ac:dyDescent="0.3">
      <c r="A90" s="280" t="s">
        <v>124</v>
      </c>
      <c r="B90" s="162"/>
      <c r="C90" s="279" t="s">
        <v>125</v>
      </c>
    </row>
    <row r="91" spans="1:3" ht="78" x14ac:dyDescent="0.3">
      <c r="A91" s="280" t="s">
        <v>124</v>
      </c>
      <c r="B91" s="162" t="s">
        <v>126</v>
      </c>
      <c r="C91" s="162" t="s">
        <v>127</v>
      </c>
    </row>
    <row r="92" spans="1:3" ht="62.4" x14ac:dyDescent="0.3">
      <c r="A92" s="280" t="s">
        <v>124</v>
      </c>
      <c r="B92" s="162" t="s">
        <v>128</v>
      </c>
      <c r="C92" s="162" t="s">
        <v>978</v>
      </c>
    </row>
    <row r="93" spans="1:3" ht="62.4" x14ac:dyDescent="0.3">
      <c r="A93" s="280" t="s">
        <v>124</v>
      </c>
      <c r="B93" s="162" t="s">
        <v>979</v>
      </c>
      <c r="C93" s="286" t="s">
        <v>980</v>
      </c>
    </row>
    <row r="94" spans="1:3" ht="62.4" x14ac:dyDescent="0.3">
      <c r="A94" s="280" t="s">
        <v>124</v>
      </c>
      <c r="B94" s="162" t="s">
        <v>129</v>
      </c>
      <c r="C94" s="162" t="s">
        <v>130</v>
      </c>
    </row>
    <row r="95" spans="1:3" ht="46.8" x14ac:dyDescent="0.3">
      <c r="A95" s="280" t="s">
        <v>124</v>
      </c>
      <c r="B95" s="162" t="s">
        <v>131</v>
      </c>
      <c r="C95" s="162" t="s">
        <v>132</v>
      </c>
    </row>
    <row r="96" spans="1:3" ht="46.8" x14ac:dyDescent="0.3">
      <c r="A96" s="280" t="s">
        <v>124</v>
      </c>
      <c r="B96" s="162" t="s">
        <v>133</v>
      </c>
      <c r="C96" s="162" t="s">
        <v>134</v>
      </c>
    </row>
    <row r="97" spans="1:3" ht="31.2" x14ac:dyDescent="0.3">
      <c r="A97" s="280" t="s">
        <v>124</v>
      </c>
      <c r="B97" s="162" t="s">
        <v>135</v>
      </c>
      <c r="C97" s="162" t="s">
        <v>136</v>
      </c>
    </row>
    <row r="98" spans="1:3" ht="62.4" x14ac:dyDescent="0.3">
      <c r="A98" s="280" t="s">
        <v>124</v>
      </c>
      <c r="B98" s="162" t="s">
        <v>137</v>
      </c>
      <c r="C98" s="162" t="s">
        <v>138</v>
      </c>
    </row>
    <row r="99" spans="1:3" ht="78" x14ac:dyDescent="0.3">
      <c r="A99" s="280" t="s">
        <v>124</v>
      </c>
      <c r="B99" s="162" t="s">
        <v>139</v>
      </c>
      <c r="C99" s="162" t="s">
        <v>140</v>
      </c>
    </row>
    <row r="100" spans="1:3" ht="46.8" x14ac:dyDescent="0.3">
      <c r="A100" s="280" t="s">
        <v>124</v>
      </c>
      <c r="B100" s="162" t="s">
        <v>141</v>
      </c>
      <c r="C100" s="162" t="s">
        <v>142</v>
      </c>
    </row>
    <row r="101" spans="1:3" ht="46.8" x14ac:dyDescent="0.3">
      <c r="A101" s="280" t="s">
        <v>124</v>
      </c>
      <c r="B101" s="162" t="s">
        <v>981</v>
      </c>
      <c r="C101" s="288" t="s">
        <v>982</v>
      </c>
    </row>
    <row r="102" spans="1:3" ht="31.2" x14ac:dyDescent="0.3">
      <c r="A102" s="280" t="s">
        <v>124</v>
      </c>
      <c r="B102" s="162" t="s">
        <v>143</v>
      </c>
      <c r="C102" s="162" t="s">
        <v>983</v>
      </c>
    </row>
    <row r="103" spans="1:3" ht="46.8" x14ac:dyDescent="0.3">
      <c r="A103" s="280" t="s">
        <v>124</v>
      </c>
      <c r="B103" s="162" t="s">
        <v>144</v>
      </c>
      <c r="C103" s="162" t="s">
        <v>145</v>
      </c>
    </row>
    <row r="104" spans="1:3" ht="31.2" x14ac:dyDescent="0.3">
      <c r="A104" s="280" t="s">
        <v>124</v>
      </c>
      <c r="B104" s="162" t="s">
        <v>146</v>
      </c>
      <c r="C104" s="162" t="s">
        <v>147</v>
      </c>
    </row>
    <row r="105" spans="1:3" x14ac:dyDescent="0.3">
      <c r="A105" s="280" t="s">
        <v>124</v>
      </c>
      <c r="B105" s="162" t="s">
        <v>89</v>
      </c>
      <c r="C105" s="162" t="s">
        <v>90</v>
      </c>
    </row>
    <row r="106" spans="1:3" ht="46.8" x14ac:dyDescent="0.3">
      <c r="A106" s="280" t="s">
        <v>124</v>
      </c>
      <c r="B106" s="162" t="s">
        <v>148</v>
      </c>
      <c r="C106" s="162" t="s">
        <v>149</v>
      </c>
    </row>
    <row r="107" spans="1:3" ht="46.8" x14ac:dyDescent="0.3">
      <c r="A107" s="280" t="s">
        <v>124</v>
      </c>
      <c r="B107" s="162" t="s">
        <v>984</v>
      </c>
      <c r="C107" s="289" t="s">
        <v>985</v>
      </c>
    </row>
    <row r="108" spans="1:3" ht="46.8" x14ac:dyDescent="0.3">
      <c r="A108" s="280" t="s">
        <v>124</v>
      </c>
      <c r="B108" s="162" t="s">
        <v>150</v>
      </c>
      <c r="C108" s="162" t="s">
        <v>986</v>
      </c>
    </row>
    <row r="109" spans="1:3" x14ac:dyDescent="0.3">
      <c r="A109" s="280" t="s">
        <v>124</v>
      </c>
      <c r="B109" s="162" t="s">
        <v>113</v>
      </c>
      <c r="C109" s="162" t="s">
        <v>114</v>
      </c>
    </row>
    <row r="110" spans="1:3" x14ac:dyDescent="0.3">
      <c r="A110" s="280" t="s">
        <v>124</v>
      </c>
      <c r="B110" s="162" t="s">
        <v>91</v>
      </c>
      <c r="C110" s="163" t="s">
        <v>92</v>
      </c>
    </row>
    <row r="112" spans="1:3" ht="36" customHeight="1" x14ac:dyDescent="0.3">
      <c r="A112" s="1152" t="s">
        <v>152</v>
      </c>
      <c r="B112" s="1152"/>
      <c r="C112" s="1152"/>
    </row>
  </sheetData>
  <mergeCells count="5">
    <mergeCell ref="A6:C6"/>
    <mergeCell ref="A9:C9"/>
    <mergeCell ref="A50:C50"/>
    <mergeCell ref="A112:C112"/>
    <mergeCell ref="A64:C64"/>
  </mergeCells>
  <pageMargins left="0.70866141732283472" right="0.11811023622047245" top="0.15748031496062992" bottom="0.15748031496062992" header="0.31496062992125984" footer="0.31496062992125984"/>
  <pageSetup paperSize="9" scale="77"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4"/>
  <sheetViews>
    <sheetView workbookViewId="0">
      <selection activeCell="B44" sqref="B44:H44"/>
    </sheetView>
  </sheetViews>
  <sheetFormatPr defaultRowHeight="15.6" x14ac:dyDescent="0.3"/>
  <cols>
    <col min="1" max="1" width="6.5546875" style="6" customWidth="1"/>
    <col min="2" max="2" width="4.6640625" style="1" customWidth="1"/>
    <col min="3" max="4" width="4.33203125" style="1" customWidth="1"/>
    <col min="5" max="5" width="6.6640625" style="1" customWidth="1"/>
    <col min="6" max="6" width="3.6640625" style="1" customWidth="1"/>
    <col min="7" max="7" width="5" style="1" customWidth="1"/>
    <col min="8" max="8" width="8.44140625" style="197" customWidth="1"/>
    <col min="9" max="9" width="69.6640625" style="1" customWidth="1"/>
    <col min="10" max="10" width="15.6640625" style="105" customWidth="1"/>
    <col min="11" max="12" width="15.6640625" style="6" customWidth="1"/>
    <col min="13" max="256" width="9.109375" style="6"/>
    <col min="257" max="257" width="6.5546875" style="6" customWidth="1"/>
    <col min="258" max="258" width="4.6640625" style="6" customWidth="1"/>
    <col min="259" max="260" width="4.33203125" style="6" customWidth="1"/>
    <col min="261" max="261" width="6.6640625" style="6" customWidth="1"/>
    <col min="262" max="262" width="3.6640625" style="6" customWidth="1"/>
    <col min="263" max="263" width="5" style="6" customWidth="1"/>
    <col min="264" max="264" width="8.44140625" style="6" customWidth="1"/>
    <col min="265" max="265" width="69.6640625" style="6" customWidth="1"/>
    <col min="266" max="268" width="15.6640625" style="6" customWidth="1"/>
    <col min="269" max="512" width="9.109375" style="6"/>
    <col min="513" max="513" width="6.5546875" style="6" customWidth="1"/>
    <col min="514" max="514" width="4.6640625" style="6" customWidth="1"/>
    <col min="515" max="516" width="4.33203125" style="6" customWidth="1"/>
    <col min="517" max="517" width="6.6640625" style="6" customWidth="1"/>
    <col min="518" max="518" width="3.6640625" style="6" customWidth="1"/>
    <col min="519" max="519" width="5" style="6" customWidth="1"/>
    <col min="520" max="520" width="8.44140625" style="6" customWidth="1"/>
    <col min="521" max="521" width="69.6640625" style="6" customWidth="1"/>
    <col min="522" max="524" width="15.6640625" style="6" customWidth="1"/>
    <col min="525" max="768" width="9.109375" style="6"/>
    <col min="769" max="769" width="6.5546875" style="6" customWidth="1"/>
    <col min="770" max="770" width="4.6640625" style="6" customWidth="1"/>
    <col min="771" max="772" width="4.33203125" style="6" customWidth="1"/>
    <col min="773" max="773" width="6.6640625" style="6" customWidth="1"/>
    <col min="774" max="774" width="3.6640625" style="6" customWidth="1"/>
    <col min="775" max="775" width="5" style="6" customWidth="1"/>
    <col min="776" max="776" width="8.44140625" style="6" customWidth="1"/>
    <col min="777" max="777" width="69.6640625" style="6" customWidth="1"/>
    <col min="778" max="780" width="15.6640625" style="6" customWidth="1"/>
    <col min="781" max="1024" width="9.109375" style="6"/>
    <col min="1025" max="1025" width="6.5546875" style="6" customWidth="1"/>
    <col min="1026" max="1026" width="4.6640625" style="6" customWidth="1"/>
    <col min="1027" max="1028" width="4.33203125" style="6" customWidth="1"/>
    <col min="1029" max="1029" width="6.6640625" style="6" customWidth="1"/>
    <col min="1030" max="1030" width="3.6640625" style="6" customWidth="1"/>
    <col min="1031" max="1031" width="5" style="6" customWidth="1"/>
    <col min="1032" max="1032" width="8.44140625" style="6" customWidth="1"/>
    <col min="1033" max="1033" width="69.6640625" style="6" customWidth="1"/>
    <col min="1034" max="1036" width="15.6640625" style="6" customWidth="1"/>
    <col min="1037" max="1280" width="9.109375" style="6"/>
    <col min="1281" max="1281" width="6.5546875" style="6" customWidth="1"/>
    <col min="1282" max="1282" width="4.6640625" style="6" customWidth="1"/>
    <col min="1283" max="1284" width="4.33203125" style="6" customWidth="1"/>
    <col min="1285" max="1285" width="6.6640625" style="6" customWidth="1"/>
    <col min="1286" max="1286" width="3.6640625" style="6" customWidth="1"/>
    <col min="1287" max="1287" width="5" style="6" customWidth="1"/>
    <col min="1288" max="1288" width="8.44140625" style="6" customWidth="1"/>
    <col min="1289" max="1289" width="69.6640625" style="6" customWidth="1"/>
    <col min="1290" max="1292" width="15.6640625" style="6" customWidth="1"/>
    <col min="1293" max="1536" width="9.109375" style="6"/>
    <col min="1537" max="1537" width="6.5546875" style="6" customWidth="1"/>
    <col min="1538" max="1538" width="4.6640625" style="6" customWidth="1"/>
    <col min="1539" max="1540" width="4.33203125" style="6" customWidth="1"/>
    <col min="1541" max="1541" width="6.6640625" style="6" customWidth="1"/>
    <col min="1542" max="1542" width="3.6640625" style="6" customWidth="1"/>
    <col min="1543" max="1543" width="5" style="6" customWidth="1"/>
    <col min="1544" max="1544" width="8.44140625" style="6" customWidth="1"/>
    <col min="1545" max="1545" width="69.6640625" style="6" customWidth="1"/>
    <col min="1546" max="1548" width="15.6640625" style="6" customWidth="1"/>
    <col min="1549" max="1792" width="9.109375" style="6"/>
    <col min="1793" max="1793" width="6.5546875" style="6" customWidth="1"/>
    <col min="1794" max="1794" width="4.6640625" style="6" customWidth="1"/>
    <col min="1795" max="1796" width="4.33203125" style="6" customWidth="1"/>
    <col min="1797" max="1797" width="6.6640625" style="6" customWidth="1"/>
    <col min="1798" max="1798" width="3.6640625" style="6" customWidth="1"/>
    <col min="1799" max="1799" width="5" style="6" customWidth="1"/>
    <col min="1800" max="1800" width="8.44140625" style="6" customWidth="1"/>
    <col min="1801" max="1801" width="69.6640625" style="6" customWidth="1"/>
    <col min="1802" max="1804" width="15.6640625" style="6" customWidth="1"/>
    <col min="1805" max="2048" width="9.109375" style="6"/>
    <col min="2049" max="2049" width="6.5546875" style="6" customWidth="1"/>
    <col min="2050" max="2050" width="4.6640625" style="6" customWidth="1"/>
    <col min="2051" max="2052" width="4.33203125" style="6" customWidth="1"/>
    <col min="2053" max="2053" width="6.6640625" style="6" customWidth="1"/>
    <col min="2054" max="2054" width="3.6640625" style="6" customWidth="1"/>
    <col min="2055" max="2055" width="5" style="6" customWidth="1"/>
    <col min="2056" max="2056" width="8.44140625" style="6" customWidth="1"/>
    <col min="2057" max="2057" width="69.6640625" style="6" customWidth="1"/>
    <col min="2058" max="2060" width="15.6640625" style="6" customWidth="1"/>
    <col min="2061" max="2304" width="9.109375" style="6"/>
    <col min="2305" max="2305" width="6.5546875" style="6" customWidth="1"/>
    <col min="2306" max="2306" width="4.6640625" style="6" customWidth="1"/>
    <col min="2307" max="2308" width="4.33203125" style="6" customWidth="1"/>
    <col min="2309" max="2309" width="6.6640625" style="6" customWidth="1"/>
    <col min="2310" max="2310" width="3.6640625" style="6" customWidth="1"/>
    <col min="2311" max="2311" width="5" style="6" customWidth="1"/>
    <col min="2312" max="2312" width="8.44140625" style="6" customWidth="1"/>
    <col min="2313" max="2313" width="69.6640625" style="6" customWidth="1"/>
    <col min="2314" max="2316" width="15.6640625" style="6" customWidth="1"/>
    <col min="2317" max="2560" width="9.109375" style="6"/>
    <col min="2561" max="2561" width="6.5546875" style="6" customWidth="1"/>
    <col min="2562" max="2562" width="4.6640625" style="6" customWidth="1"/>
    <col min="2563" max="2564" width="4.33203125" style="6" customWidth="1"/>
    <col min="2565" max="2565" width="6.6640625" style="6" customWidth="1"/>
    <col min="2566" max="2566" width="3.6640625" style="6" customWidth="1"/>
    <col min="2567" max="2567" width="5" style="6" customWidth="1"/>
    <col min="2568" max="2568" width="8.44140625" style="6" customWidth="1"/>
    <col min="2569" max="2569" width="69.6640625" style="6" customWidth="1"/>
    <col min="2570" max="2572" width="15.6640625" style="6" customWidth="1"/>
    <col min="2573" max="2816" width="9.109375" style="6"/>
    <col min="2817" max="2817" width="6.5546875" style="6" customWidth="1"/>
    <col min="2818" max="2818" width="4.6640625" style="6" customWidth="1"/>
    <col min="2819" max="2820" width="4.33203125" style="6" customWidth="1"/>
    <col min="2821" max="2821" width="6.6640625" style="6" customWidth="1"/>
    <col min="2822" max="2822" width="3.6640625" style="6" customWidth="1"/>
    <col min="2823" max="2823" width="5" style="6" customWidth="1"/>
    <col min="2824" max="2824" width="8.44140625" style="6" customWidth="1"/>
    <col min="2825" max="2825" width="69.6640625" style="6" customWidth="1"/>
    <col min="2826" max="2828" width="15.6640625" style="6" customWidth="1"/>
    <col min="2829" max="3072" width="9.109375" style="6"/>
    <col min="3073" max="3073" width="6.5546875" style="6" customWidth="1"/>
    <col min="3074" max="3074" width="4.6640625" style="6" customWidth="1"/>
    <col min="3075" max="3076" width="4.33203125" style="6" customWidth="1"/>
    <col min="3077" max="3077" width="6.6640625" style="6" customWidth="1"/>
    <col min="3078" max="3078" width="3.6640625" style="6" customWidth="1"/>
    <col min="3079" max="3079" width="5" style="6" customWidth="1"/>
    <col min="3080" max="3080" width="8.44140625" style="6" customWidth="1"/>
    <col min="3081" max="3081" width="69.6640625" style="6" customWidth="1"/>
    <col min="3082" max="3084" width="15.6640625" style="6" customWidth="1"/>
    <col min="3085" max="3328" width="9.109375" style="6"/>
    <col min="3329" max="3329" width="6.5546875" style="6" customWidth="1"/>
    <col min="3330" max="3330" width="4.6640625" style="6" customWidth="1"/>
    <col min="3331" max="3332" width="4.33203125" style="6" customWidth="1"/>
    <col min="3333" max="3333" width="6.6640625" style="6" customWidth="1"/>
    <col min="3334" max="3334" width="3.6640625" style="6" customWidth="1"/>
    <col min="3335" max="3335" width="5" style="6" customWidth="1"/>
    <col min="3336" max="3336" width="8.44140625" style="6" customWidth="1"/>
    <col min="3337" max="3337" width="69.6640625" style="6" customWidth="1"/>
    <col min="3338" max="3340" width="15.6640625" style="6" customWidth="1"/>
    <col min="3341" max="3584" width="9.109375" style="6"/>
    <col min="3585" max="3585" width="6.5546875" style="6" customWidth="1"/>
    <col min="3586" max="3586" width="4.6640625" style="6" customWidth="1"/>
    <col min="3587" max="3588" width="4.33203125" style="6" customWidth="1"/>
    <col min="3589" max="3589" width="6.6640625" style="6" customWidth="1"/>
    <col min="3590" max="3590" width="3.6640625" style="6" customWidth="1"/>
    <col min="3591" max="3591" width="5" style="6" customWidth="1"/>
    <col min="3592" max="3592" width="8.44140625" style="6" customWidth="1"/>
    <col min="3593" max="3593" width="69.6640625" style="6" customWidth="1"/>
    <col min="3594" max="3596" width="15.6640625" style="6" customWidth="1"/>
    <col min="3597" max="3840" width="9.109375" style="6"/>
    <col min="3841" max="3841" width="6.5546875" style="6" customWidth="1"/>
    <col min="3842" max="3842" width="4.6640625" style="6" customWidth="1"/>
    <col min="3843" max="3844" width="4.33203125" style="6" customWidth="1"/>
    <col min="3845" max="3845" width="6.6640625" style="6" customWidth="1"/>
    <col min="3846" max="3846" width="3.6640625" style="6" customWidth="1"/>
    <col min="3847" max="3847" width="5" style="6" customWidth="1"/>
    <col min="3848" max="3848" width="8.44140625" style="6" customWidth="1"/>
    <col min="3849" max="3849" width="69.6640625" style="6" customWidth="1"/>
    <col min="3850" max="3852" width="15.6640625" style="6" customWidth="1"/>
    <col min="3853" max="4096" width="9.109375" style="6"/>
    <col min="4097" max="4097" width="6.5546875" style="6" customWidth="1"/>
    <col min="4098" max="4098" width="4.6640625" style="6" customWidth="1"/>
    <col min="4099" max="4100" width="4.33203125" style="6" customWidth="1"/>
    <col min="4101" max="4101" width="6.6640625" style="6" customWidth="1"/>
    <col min="4102" max="4102" width="3.6640625" style="6" customWidth="1"/>
    <col min="4103" max="4103" width="5" style="6" customWidth="1"/>
    <col min="4104" max="4104" width="8.44140625" style="6" customWidth="1"/>
    <col min="4105" max="4105" width="69.6640625" style="6" customWidth="1"/>
    <col min="4106" max="4108" width="15.6640625" style="6" customWidth="1"/>
    <col min="4109" max="4352" width="9.109375" style="6"/>
    <col min="4353" max="4353" width="6.5546875" style="6" customWidth="1"/>
    <col min="4354" max="4354" width="4.6640625" style="6" customWidth="1"/>
    <col min="4355" max="4356" width="4.33203125" style="6" customWidth="1"/>
    <col min="4357" max="4357" width="6.6640625" style="6" customWidth="1"/>
    <col min="4358" max="4358" width="3.6640625" style="6" customWidth="1"/>
    <col min="4359" max="4359" width="5" style="6" customWidth="1"/>
    <col min="4360" max="4360" width="8.44140625" style="6" customWidth="1"/>
    <col min="4361" max="4361" width="69.6640625" style="6" customWidth="1"/>
    <col min="4362" max="4364" width="15.6640625" style="6" customWidth="1"/>
    <col min="4365" max="4608" width="9.109375" style="6"/>
    <col min="4609" max="4609" width="6.5546875" style="6" customWidth="1"/>
    <col min="4610" max="4610" width="4.6640625" style="6" customWidth="1"/>
    <col min="4611" max="4612" width="4.33203125" style="6" customWidth="1"/>
    <col min="4613" max="4613" width="6.6640625" style="6" customWidth="1"/>
    <col min="4614" max="4614" width="3.6640625" style="6" customWidth="1"/>
    <col min="4615" max="4615" width="5" style="6" customWidth="1"/>
    <col min="4616" max="4616" width="8.44140625" style="6" customWidth="1"/>
    <col min="4617" max="4617" width="69.6640625" style="6" customWidth="1"/>
    <col min="4618" max="4620" width="15.6640625" style="6" customWidth="1"/>
    <col min="4621" max="4864" width="9.109375" style="6"/>
    <col min="4865" max="4865" width="6.5546875" style="6" customWidth="1"/>
    <col min="4866" max="4866" width="4.6640625" style="6" customWidth="1"/>
    <col min="4867" max="4868" width="4.33203125" style="6" customWidth="1"/>
    <col min="4869" max="4869" width="6.6640625" style="6" customWidth="1"/>
    <col min="4870" max="4870" width="3.6640625" style="6" customWidth="1"/>
    <col min="4871" max="4871" width="5" style="6" customWidth="1"/>
    <col min="4872" max="4872" width="8.44140625" style="6" customWidth="1"/>
    <col min="4873" max="4873" width="69.6640625" style="6" customWidth="1"/>
    <col min="4874" max="4876" width="15.6640625" style="6" customWidth="1"/>
    <col min="4877" max="5120" width="9.109375" style="6"/>
    <col min="5121" max="5121" width="6.5546875" style="6" customWidth="1"/>
    <col min="5122" max="5122" width="4.6640625" style="6" customWidth="1"/>
    <col min="5123" max="5124" width="4.33203125" style="6" customWidth="1"/>
    <col min="5125" max="5125" width="6.6640625" style="6" customWidth="1"/>
    <col min="5126" max="5126" width="3.6640625" style="6" customWidth="1"/>
    <col min="5127" max="5127" width="5" style="6" customWidth="1"/>
    <col min="5128" max="5128" width="8.44140625" style="6" customWidth="1"/>
    <col min="5129" max="5129" width="69.6640625" style="6" customWidth="1"/>
    <col min="5130" max="5132" width="15.6640625" style="6" customWidth="1"/>
    <col min="5133" max="5376" width="9.109375" style="6"/>
    <col min="5377" max="5377" width="6.5546875" style="6" customWidth="1"/>
    <col min="5378" max="5378" width="4.6640625" style="6" customWidth="1"/>
    <col min="5379" max="5380" width="4.33203125" style="6" customWidth="1"/>
    <col min="5381" max="5381" width="6.6640625" style="6" customWidth="1"/>
    <col min="5382" max="5382" width="3.6640625" style="6" customWidth="1"/>
    <col min="5383" max="5383" width="5" style="6" customWidth="1"/>
    <col min="5384" max="5384" width="8.44140625" style="6" customWidth="1"/>
    <col min="5385" max="5385" width="69.6640625" style="6" customWidth="1"/>
    <col min="5386" max="5388" width="15.6640625" style="6" customWidth="1"/>
    <col min="5389" max="5632" width="9.109375" style="6"/>
    <col min="5633" max="5633" width="6.5546875" style="6" customWidth="1"/>
    <col min="5634" max="5634" width="4.6640625" style="6" customWidth="1"/>
    <col min="5635" max="5636" width="4.33203125" style="6" customWidth="1"/>
    <col min="5637" max="5637" width="6.6640625" style="6" customWidth="1"/>
    <col min="5638" max="5638" width="3.6640625" style="6" customWidth="1"/>
    <col min="5639" max="5639" width="5" style="6" customWidth="1"/>
    <col min="5640" max="5640" width="8.44140625" style="6" customWidth="1"/>
    <col min="5641" max="5641" width="69.6640625" style="6" customWidth="1"/>
    <col min="5642" max="5644" width="15.6640625" style="6" customWidth="1"/>
    <col min="5645" max="5888" width="9.109375" style="6"/>
    <col min="5889" max="5889" width="6.5546875" style="6" customWidth="1"/>
    <col min="5890" max="5890" width="4.6640625" style="6" customWidth="1"/>
    <col min="5891" max="5892" width="4.33203125" style="6" customWidth="1"/>
    <col min="5893" max="5893" width="6.6640625" style="6" customWidth="1"/>
    <col min="5894" max="5894" width="3.6640625" style="6" customWidth="1"/>
    <col min="5895" max="5895" width="5" style="6" customWidth="1"/>
    <col min="5896" max="5896" width="8.44140625" style="6" customWidth="1"/>
    <col min="5897" max="5897" width="69.6640625" style="6" customWidth="1"/>
    <col min="5898" max="5900" width="15.6640625" style="6" customWidth="1"/>
    <col min="5901" max="6144" width="9.109375" style="6"/>
    <col min="6145" max="6145" width="6.5546875" style="6" customWidth="1"/>
    <col min="6146" max="6146" width="4.6640625" style="6" customWidth="1"/>
    <col min="6147" max="6148" width="4.33203125" style="6" customWidth="1"/>
    <col min="6149" max="6149" width="6.6640625" style="6" customWidth="1"/>
    <col min="6150" max="6150" width="3.6640625" style="6" customWidth="1"/>
    <col min="6151" max="6151" width="5" style="6" customWidth="1"/>
    <col min="6152" max="6152" width="8.44140625" style="6" customWidth="1"/>
    <col min="6153" max="6153" width="69.6640625" style="6" customWidth="1"/>
    <col min="6154" max="6156" width="15.6640625" style="6" customWidth="1"/>
    <col min="6157" max="6400" width="9.109375" style="6"/>
    <col min="6401" max="6401" width="6.5546875" style="6" customWidth="1"/>
    <col min="6402" max="6402" width="4.6640625" style="6" customWidth="1"/>
    <col min="6403" max="6404" width="4.33203125" style="6" customWidth="1"/>
    <col min="6405" max="6405" width="6.6640625" style="6" customWidth="1"/>
    <col min="6406" max="6406" width="3.6640625" style="6" customWidth="1"/>
    <col min="6407" max="6407" width="5" style="6" customWidth="1"/>
    <col min="6408" max="6408" width="8.44140625" style="6" customWidth="1"/>
    <col min="6409" max="6409" width="69.6640625" style="6" customWidth="1"/>
    <col min="6410" max="6412" width="15.6640625" style="6" customWidth="1"/>
    <col min="6413" max="6656" width="9.109375" style="6"/>
    <col min="6657" max="6657" width="6.5546875" style="6" customWidth="1"/>
    <col min="6658" max="6658" width="4.6640625" style="6" customWidth="1"/>
    <col min="6659" max="6660" width="4.33203125" style="6" customWidth="1"/>
    <col min="6661" max="6661" width="6.6640625" style="6" customWidth="1"/>
    <col min="6662" max="6662" width="3.6640625" style="6" customWidth="1"/>
    <col min="6663" max="6663" width="5" style="6" customWidth="1"/>
    <col min="6664" max="6664" width="8.44140625" style="6" customWidth="1"/>
    <col min="6665" max="6665" width="69.6640625" style="6" customWidth="1"/>
    <col min="6666" max="6668" width="15.6640625" style="6" customWidth="1"/>
    <col min="6669" max="6912" width="9.109375" style="6"/>
    <col min="6913" max="6913" width="6.5546875" style="6" customWidth="1"/>
    <col min="6914" max="6914" width="4.6640625" style="6" customWidth="1"/>
    <col min="6915" max="6916" width="4.33203125" style="6" customWidth="1"/>
    <col min="6917" max="6917" width="6.6640625" style="6" customWidth="1"/>
    <col min="6918" max="6918" width="3.6640625" style="6" customWidth="1"/>
    <col min="6919" max="6919" width="5" style="6" customWidth="1"/>
    <col min="6920" max="6920" width="8.44140625" style="6" customWidth="1"/>
    <col min="6921" max="6921" width="69.6640625" style="6" customWidth="1"/>
    <col min="6922" max="6924" width="15.6640625" style="6" customWidth="1"/>
    <col min="6925" max="7168" width="9.109375" style="6"/>
    <col min="7169" max="7169" width="6.5546875" style="6" customWidth="1"/>
    <col min="7170" max="7170" width="4.6640625" style="6" customWidth="1"/>
    <col min="7171" max="7172" width="4.33203125" style="6" customWidth="1"/>
    <col min="7173" max="7173" width="6.6640625" style="6" customWidth="1"/>
    <col min="7174" max="7174" width="3.6640625" style="6" customWidth="1"/>
    <col min="7175" max="7175" width="5" style="6" customWidth="1"/>
    <col min="7176" max="7176" width="8.44140625" style="6" customWidth="1"/>
    <col min="7177" max="7177" width="69.6640625" style="6" customWidth="1"/>
    <col min="7178" max="7180" width="15.6640625" style="6" customWidth="1"/>
    <col min="7181" max="7424" width="9.109375" style="6"/>
    <col min="7425" max="7425" width="6.5546875" style="6" customWidth="1"/>
    <col min="7426" max="7426" width="4.6640625" style="6" customWidth="1"/>
    <col min="7427" max="7428" width="4.33203125" style="6" customWidth="1"/>
    <col min="7429" max="7429" width="6.6640625" style="6" customWidth="1"/>
    <col min="7430" max="7430" width="3.6640625" style="6" customWidth="1"/>
    <col min="7431" max="7431" width="5" style="6" customWidth="1"/>
    <col min="7432" max="7432" width="8.44140625" style="6" customWidth="1"/>
    <col min="7433" max="7433" width="69.6640625" style="6" customWidth="1"/>
    <col min="7434" max="7436" width="15.6640625" style="6" customWidth="1"/>
    <col min="7437" max="7680" width="9.109375" style="6"/>
    <col min="7681" max="7681" width="6.5546875" style="6" customWidth="1"/>
    <col min="7682" max="7682" width="4.6640625" style="6" customWidth="1"/>
    <col min="7683" max="7684" width="4.33203125" style="6" customWidth="1"/>
    <col min="7685" max="7685" width="6.6640625" style="6" customWidth="1"/>
    <col min="7686" max="7686" width="3.6640625" style="6" customWidth="1"/>
    <col min="7687" max="7687" width="5" style="6" customWidth="1"/>
    <col min="7688" max="7688" width="8.44140625" style="6" customWidth="1"/>
    <col min="7689" max="7689" width="69.6640625" style="6" customWidth="1"/>
    <col min="7690" max="7692" width="15.6640625" style="6" customWidth="1"/>
    <col min="7693" max="7936" width="9.109375" style="6"/>
    <col min="7937" max="7937" width="6.5546875" style="6" customWidth="1"/>
    <col min="7938" max="7938" width="4.6640625" style="6" customWidth="1"/>
    <col min="7939" max="7940" width="4.33203125" style="6" customWidth="1"/>
    <col min="7941" max="7941" width="6.6640625" style="6" customWidth="1"/>
    <col min="7942" max="7942" width="3.6640625" style="6" customWidth="1"/>
    <col min="7943" max="7943" width="5" style="6" customWidth="1"/>
    <col min="7944" max="7944" width="8.44140625" style="6" customWidth="1"/>
    <col min="7945" max="7945" width="69.6640625" style="6" customWidth="1"/>
    <col min="7946" max="7948" width="15.6640625" style="6" customWidth="1"/>
    <col min="7949" max="8192" width="9.109375" style="6"/>
    <col min="8193" max="8193" width="6.5546875" style="6" customWidth="1"/>
    <col min="8194" max="8194" width="4.6640625" style="6" customWidth="1"/>
    <col min="8195" max="8196" width="4.33203125" style="6" customWidth="1"/>
    <col min="8197" max="8197" width="6.6640625" style="6" customWidth="1"/>
    <col min="8198" max="8198" width="3.6640625" style="6" customWidth="1"/>
    <col min="8199" max="8199" width="5" style="6" customWidth="1"/>
    <col min="8200" max="8200" width="8.44140625" style="6" customWidth="1"/>
    <col min="8201" max="8201" width="69.6640625" style="6" customWidth="1"/>
    <col min="8202" max="8204" width="15.6640625" style="6" customWidth="1"/>
    <col min="8205" max="8448" width="9.109375" style="6"/>
    <col min="8449" max="8449" width="6.5546875" style="6" customWidth="1"/>
    <col min="8450" max="8450" width="4.6640625" style="6" customWidth="1"/>
    <col min="8451" max="8452" width="4.33203125" style="6" customWidth="1"/>
    <col min="8453" max="8453" width="6.6640625" style="6" customWidth="1"/>
    <col min="8454" max="8454" width="3.6640625" style="6" customWidth="1"/>
    <col min="8455" max="8455" width="5" style="6" customWidth="1"/>
    <col min="8456" max="8456" width="8.44140625" style="6" customWidth="1"/>
    <col min="8457" max="8457" width="69.6640625" style="6" customWidth="1"/>
    <col min="8458" max="8460" width="15.6640625" style="6" customWidth="1"/>
    <col min="8461" max="8704" width="9.109375" style="6"/>
    <col min="8705" max="8705" width="6.5546875" style="6" customWidth="1"/>
    <col min="8706" max="8706" width="4.6640625" style="6" customWidth="1"/>
    <col min="8707" max="8708" width="4.33203125" style="6" customWidth="1"/>
    <col min="8709" max="8709" width="6.6640625" style="6" customWidth="1"/>
    <col min="8710" max="8710" width="3.6640625" style="6" customWidth="1"/>
    <col min="8711" max="8711" width="5" style="6" customWidth="1"/>
    <col min="8712" max="8712" width="8.44140625" style="6" customWidth="1"/>
    <col min="8713" max="8713" width="69.6640625" style="6" customWidth="1"/>
    <col min="8714" max="8716" width="15.6640625" style="6" customWidth="1"/>
    <col min="8717" max="8960" width="9.109375" style="6"/>
    <col min="8961" max="8961" width="6.5546875" style="6" customWidth="1"/>
    <col min="8962" max="8962" width="4.6640625" style="6" customWidth="1"/>
    <col min="8963" max="8964" width="4.33203125" style="6" customWidth="1"/>
    <col min="8965" max="8965" width="6.6640625" style="6" customWidth="1"/>
    <col min="8966" max="8966" width="3.6640625" style="6" customWidth="1"/>
    <col min="8967" max="8967" width="5" style="6" customWidth="1"/>
    <col min="8968" max="8968" width="8.44140625" style="6" customWidth="1"/>
    <col min="8969" max="8969" width="69.6640625" style="6" customWidth="1"/>
    <col min="8970" max="8972" width="15.6640625" style="6" customWidth="1"/>
    <col min="8973" max="9216" width="9.109375" style="6"/>
    <col min="9217" max="9217" width="6.5546875" style="6" customWidth="1"/>
    <col min="9218" max="9218" width="4.6640625" style="6" customWidth="1"/>
    <col min="9219" max="9220" width="4.33203125" style="6" customWidth="1"/>
    <col min="9221" max="9221" width="6.6640625" style="6" customWidth="1"/>
    <col min="9222" max="9222" width="3.6640625" style="6" customWidth="1"/>
    <col min="9223" max="9223" width="5" style="6" customWidth="1"/>
    <col min="9224" max="9224" width="8.44140625" style="6" customWidth="1"/>
    <col min="9225" max="9225" width="69.6640625" style="6" customWidth="1"/>
    <col min="9226" max="9228" width="15.6640625" style="6" customWidth="1"/>
    <col min="9229" max="9472" width="9.109375" style="6"/>
    <col min="9473" max="9473" width="6.5546875" style="6" customWidth="1"/>
    <col min="9474" max="9474" width="4.6640625" style="6" customWidth="1"/>
    <col min="9475" max="9476" width="4.33203125" style="6" customWidth="1"/>
    <col min="9477" max="9477" width="6.6640625" style="6" customWidth="1"/>
    <col min="9478" max="9478" width="3.6640625" style="6" customWidth="1"/>
    <col min="9479" max="9479" width="5" style="6" customWidth="1"/>
    <col min="9480" max="9480" width="8.44140625" style="6" customWidth="1"/>
    <col min="9481" max="9481" width="69.6640625" style="6" customWidth="1"/>
    <col min="9482" max="9484" width="15.6640625" style="6" customWidth="1"/>
    <col min="9485" max="9728" width="9.109375" style="6"/>
    <col min="9729" max="9729" width="6.5546875" style="6" customWidth="1"/>
    <col min="9730" max="9730" width="4.6640625" style="6" customWidth="1"/>
    <col min="9731" max="9732" width="4.33203125" style="6" customWidth="1"/>
    <col min="9733" max="9733" width="6.6640625" style="6" customWidth="1"/>
    <col min="9734" max="9734" width="3.6640625" style="6" customWidth="1"/>
    <col min="9735" max="9735" width="5" style="6" customWidth="1"/>
    <col min="9736" max="9736" width="8.44140625" style="6" customWidth="1"/>
    <col min="9737" max="9737" width="69.6640625" style="6" customWidth="1"/>
    <col min="9738" max="9740" width="15.6640625" style="6" customWidth="1"/>
    <col min="9741" max="9984" width="9.109375" style="6"/>
    <col min="9985" max="9985" width="6.5546875" style="6" customWidth="1"/>
    <col min="9986" max="9986" width="4.6640625" style="6" customWidth="1"/>
    <col min="9987" max="9988" width="4.33203125" style="6" customWidth="1"/>
    <col min="9989" max="9989" width="6.6640625" style="6" customWidth="1"/>
    <col min="9990" max="9990" width="3.6640625" style="6" customWidth="1"/>
    <col min="9991" max="9991" width="5" style="6" customWidth="1"/>
    <col min="9992" max="9992" width="8.44140625" style="6" customWidth="1"/>
    <col min="9993" max="9993" width="69.6640625" style="6" customWidth="1"/>
    <col min="9994" max="9996" width="15.6640625" style="6" customWidth="1"/>
    <col min="9997" max="10240" width="9.109375" style="6"/>
    <col min="10241" max="10241" width="6.5546875" style="6" customWidth="1"/>
    <col min="10242" max="10242" width="4.6640625" style="6" customWidth="1"/>
    <col min="10243" max="10244" width="4.33203125" style="6" customWidth="1"/>
    <col min="10245" max="10245" width="6.6640625" style="6" customWidth="1"/>
    <col min="10246" max="10246" width="3.6640625" style="6" customWidth="1"/>
    <col min="10247" max="10247" width="5" style="6" customWidth="1"/>
    <col min="10248" max="10248" width="8.44140625" style="6" customWidth="1"/>
    <col min="10249" max="10249" width="69.6640625" style="6" customWidth="1"/>
    <col min="10250" max="10252" width="15.6640625" style="6" customWidth="1"/>
    <col min="10253" max="10496" width="9.109375" style="6"/>
    <col min="10497" max="10497" width="6.5546875" style="6" customWidth="1"/>
    <col min="10498" max="10498" width="4.6640625" style="6" customWidth="1"/>
    <col min="10499" max="10500" width="4.33203125" style="6" customWidth="1"/>
    <col min="10501" max="10501" width="6.6640625" style="6" customWidth="1"/>
    <col min="10502" max="10502" width="3.6640625" style="6" customWidth="1"/>
    <col min="10503" max="10503" width="5" style="6" customWidth="1"/>
    <col min="10504" max="10504" width="8.44140625" style="6" customWidth="1"/>
    <col min="10505" max="10505" width="69.6640625" style="6" customWidth="1"/>
    <col min="10506" max="10508" width="15.6640625" style="6" customWidth="1"/>
    <col min="10509" max="10752" width="9.109375" style="6"/>
    <col min="10753" max="10753" width="6.5546875" style="6" customWidth="1"/>
    <col min="10754" max="10754" width="4.6640625" style="6" customWidth="1"/>
    <col min="10755" max="10756" width="4.33203125" style="6" customWidth="1"/>
    <col min="10757" max="10757" width="6.6640625" style="6" customWidth="1"/>
    <col min="10758" max="10758" width="3.6640625" style="6" customWidth="1"/>
    <col min="10759" max="10759" width="5" style="6" customWidth="1"/>
    <col min="10760" max="10760" width="8.44140625" style="6" customWidth="1"/>
    <col min="10761" max="10761" width="69.6640625" style="6" customWidth="1"/>
    <col min="10762" max="10764" width="15.6640625" style="6" customWidth="1"/>
    <col min="10765" max="11008" width="9.109375" style="6"/>
    <col min="11009" max="11009" width="6.5546875" style="6" customWidth="1"/>
    <col min="11010" max="11010" width="4.6640625" style="6" customWidth="1"/>
    <col min="11011" max="11012" width="4.33203125" style="6" customWidth="1"/>
    <col min="11013" max="11013" width="6.6640625" style="6" customWidth="1"/>
    <col min="11014" max="11014" width="3.6640625" style="6" customWidth="1"/>
    <col min="11015" max="11015" width="5" style="6" customWidth="1"/>
    <col min="11016" max="11016" width="8.44140625" style="6" customWidth="1"/>
    <col min="11017" max="11017" width="69.6640625" style="6" customWidth="1"/>
    <col min="11018" max="11020" width="15.6640625" style="6" customWidth="1"/>
    <col min="11021" max="11264" width="9.109375" style="6"/>
    <col min="11265" max="11265" width="6.5546875" style="6" customWidth="1"/>
    <col min="11266" max="11266" width="4.6640625" style="6" customWidth="1"/>
    <col min="11267" max="11268" width="4.33203125" style="6" customWidth="1"/>
    <col min="11269" max="11269" width="6.6640625" style="6" customWidth="1"/>
    <col min="11270" max="11270" width="3.6640625" style="6" customWidth="1"/>
    <col min="11271" max="11271" width="5" style="6" customWidth="1"/>
    <col min="11272" max="11272" width="8.44140625" style="6" customWidth="1"/>
    <col min="11273" max="11273" width="69.6640625" style="6" customWidth="1"/>
    <col min="11274" max="11276" width="15.6640625" style="6" customWidth="1"/>
    <col min="11277" max="11520" width="9.109375" style="6"/>
    <col min="11521" max="11521" width="6.5546875" style="6" customWidth="1"/>
    <col min="11522" max="11522" width="4.6640625" style="6" customWidth="1"/>
    <col min="11523" max="11524" width="4.33203125" style="6" customWidth="1"/>
    <col min="11525" max="11525" width="6.6640625" style="6" customWidth="1"/>
    <col min="11526" max="11526" width="3.6640625" style="6" customWidth="1"/>
    <col min="11527" max="11527" width="5" style="6" customWidth="1"/>
    <col min="11528" max="11528" width="8.44140625" style="6" customWidth="1"/>
    <col min="11529" max="11529" width="69.6640625" style="6" customWidth="1"/>
    <col min="11530" max="11532" width="15.6640625" style="6" customWidth="1"/>
    <col min="11533" max="11776" width="9.109375" style="6"/>
    <col min="11777" max="11777" width="6.5546875" style="6" customWidth="1"/>
    <col min="11778" max="11778" width="4.6640625" style="6" customWidth="1"/>
    <col min="11779" max="11780" width="4.33203125" style="6" customWidth="1"/>
    <col min="11781" max="11781" width="6.6640625" style="6" customWidth="1"/>
    <col min="11782" max="11782" width="3.6640625" style="6" customWidth="1"/>
    <col min="11783" max="11783" width="5" style="6" customWidth="1"/>
    <col min="11784" max="11784" width="8.44140625" style="6" customWidth="1"/>
    <col min="11785" max="11785" width="69.6640625" style="6" customWidth="1"/>
    <col min="11786" max="11788" width="15.6640625" style="6" customWidth="1"/>
    <col min="11789" max="12032" width="9.109375" style="6"/>
    <col min="12033" max="12033" width="6.5546875" style="6" customWidth="1"/>
    <col min="12034" max="12034" width="4.6640625" style="6" customWidth="1"/>
    <col min="12035" max="12036" width="4.33203125" style="6" customWidth="1"/>
    <col min="12037" max="12037" width="6.6640625" style="6" customWidth="1"/>
    <col min="12038" max="12038" width="3.6640625" style="6" customWidth="1"/>
    <col min="12039" max="12039" width="5" style="6" customWidth="1"/>
    <col min="12040" max="12040" width="8.44140625" style="6" customWidth="1"/>
    <col min="12041" max="12041" width="69.6640625" style="6" customWidth="1"/>
    <col min="12042" max="12044" width="15.6640625" style="6" customWidth="1"/>
    <col min="12045" max="12288" width="9.109375" style="6"/>
    <col min="12289" max="12289" width="6.5546875" style="6" customWidth="1"/>
    <col min="12290" max="12290" width="4.6640625" style="6" customWidth="1"/>
    <col min="12291" max="12292" width="4.33203125" style="6" customWidth="1"/>
    <col min="12293" max="12293" width="6.6640625" style="6" customWidth="1"/>
    <col min="12294" max="12294" width="3.6640625" style="6" customWidth="1"/>
    <col min="12295" max="12295" width="5" style="6" customWidth="1"/>
    <col min="12296" max="12296" width="8.44140625" style="6" customWidth="1"/>
    <col min="12297" max="12297" width="69.6640625" style="6" customWidth="1"/>
    <col min="12298" max="12300" width="15.6640625" style="6" customWidth="1"/>
    <col min="12301" max="12544" width="9.109375" style="6"/>
    <col min="12545" max="12545" width="6.5546875" style="6" customWidth="1"/>
    <col min="12546" max="12546" width="4.6640625" style="6" customWidth="1"/>
    <col min="12547" max="12548" width="4.33203125" style="6" customWidth="1"/>
    <col min="12549" max="12549" width="6.6640625" style="6" customWidth="1"/>
    <col min="12550" max="12550" width="3.6640625" style="6" customWidth="1"/>
    <col min="12551" max="12551" width="5" style="6" customWidth="1"/>
    <col min="12552" max="12552" width="8.44140625" style="6" customWidth="1"/>
    <col min="12553" max="12553" width="69.6640625" style="6" customWidth="1"/>
    <col min="12554" max="12556" width="15.6640625" style="6" customWidth="1"/>
    <col min="12557" max="12800" width="9.109375" style="6"/>
    <col min="12801" max="12801" width="6.5546875" style="6" customWidth="1"/>
    <col min="12802" max="12802" width="4.6640625" style="6" customWidth="1"/>
    <col min="12803" max="12804" width="4.33203125" style="6" customWidth="1"/>
    <col min="12805" max="12805" width="6.6640625" style="6" customWidth="1"/>
    <col min="12806" max="12806" width="3.6640625" style="6" customWidth="1"/>
    <col min="12807" max="12807" width="5" style="6" customWidth="1"/>
    <col min="12808" max="12808" width="8.44140625" style="6" customWidth="1"/>
    <col min="12809" max="12809" width="69.6640625" style="6" customWidth="1"/>
    <col min="12810" max="12812" width="15.6640625" style="6" customWidth="1"/>
    <col min="12813" max="13056" width="9.109375" style="6"/>
    <col min="13057" max="13057" width="6.5546875" style="6" customWidth="1"/>
    <col min="13058" max="13058" width="4.6640625" style="6" customWidth="1"/>
    <col min="13059" max="13060" width="4.33203125" style="6" customWidth="1"/>
    <col min="13061" max="13061" width="6.6640625" style="6" customWidth="1"/>
    <col min="13062" max="13062" width="3.6640625" style="6" customWidth="1"/>
    <col min="13063" max="13063" width="5" style="6" customWidth="1"/>
    <col min="13064" max="13064" width="8.44140625" style="6" customWidth="1"/>
    <col min="13065" max="13065" width="69.6640625" style="6" customWidth="1"/>
    <col min="13066" max="13068" width="15.6640625" style="6" customWidth="1"/>
    <col min="13069" max="13312" width="9.109375" style="6"/>
    <col min="13313" max="13313" width="6.5546875" style="6" customWidth="1"/>
    <col min="13314" max="13314" width="4.6640625" style="6" customWidth="1"/>
    <col min="13315" max="13316" width="4.33203125" style="6" customWidth="1"/>
    <col min="13317" max="13317" width="6.6640625" style="6" customWidth="1"/>
    <col min="13318" max="13318" width="3.6640625" style="6" customWidth="1"/>
    <col min="13319" max="13319" width="5" style="6" customWidth="1"/>
    <col min="13320" max="13320" width="8.44140625" style="6" customWidth="1"/>
    <col min="13321" max="13321" width="69.6640625" style="6" customWidth="1"/>
    <col min="13322" max="13324" width="15.6640625" style="6" customWidth="1"/>
    <col min="13325" max="13568" width="9.109375" style="6"/>
    <col min="13569" max="13569" width="6.5546875" style="6" customWidth="1"/>
    <col min="13570" max="13570" width="4.6640625" style="6" customWidth="1"/>
    <col min="13571" max="13572" width="4.33203125" style="6" customWidth="1"/>
    <col min="13573" max="13573" width="6.6640625" style="6" customWidth="1"/>
    <col min="13574" max="13574" width="3.6640625" style="6" customWidth="1"/>
    <col min="13575" max="13575" width="5" style="6" customWidth="1"/>
    <col min="13576" max="13576" width="8.44140625" style="6" customWidth="1"/>
    <col min="13577" max="13577" width="69.6640625" style="6" customWidth="1"/>
    <col min="13578" max="13580" width="15.6640625" style="6" customWidth="1"/>
    <col min="13581" max="13824" width="9.109375" style="6"/>
    <col min="13825" max="13825" width="6.5546875" style="6" customWidth="1"/>
    <col min="13826" max="13826" width="4.6640625" style="6" customWidth="1"/>
    <col min="13827" max="13828" width="4.33203125" style="6" customWidth="1"/>
    <col min="13829" max="13829" width="6.6640625" style="6" customWidth="1"/>
    <col min="13830" max="13830" width="3.6640625" style="6" customWidth="1"/>
    <col min="13831" max="13831" width="5" style="6" customWidth="1"/>
    <col min="13832" max="13832" width="8.44140625" style="6" customWidth="1"/>
    <col min="13833" max="13833" width="69.6640625" style="6" customWidth="1"/>
    <col min="13834" max="13836" width="15.6640625" style="6" customWidth="1"/>
    <col min="13837" max="14080" width="9.109375" style="6"/>
    <col min="14081" max="14081" width="6.5546875" style="6" customWidth="1"/>
    <col min="14082" max="14082" width="4.6640625" style="6" customWidth="1"/>
    <col min="14083" max="14084" width="4.33203125" style="6" customWidth="1"/>
    <col min="14085" max="14085" width="6.6640625" style="6" customWidth="1"/>
    <col min="14086" max="14086" width="3.6640625" style="6" customWidth="1"/>
    <col min="14087" max="14087" width="5" style="6" customWidth="1"/>
    <col min="14088" max="14088" width="8.44140625" style="6" customWidth="1"/>
    <col min="14089" max="14089" width="69.6640625" style="6" customWidth="1"/>
    <col min="14090" max="14092" width="15.6640625" style="6" customWidth="1"/>
    <col min="14093" max="14336" width="9.109375" style="6"/>
    <col min="14337" max="14337" width="6.5546875" style="6" customWidth="1"/>
    <col min="14338" max="14338" width="4.6640625" style="6" customWidth="1"/>
    <col min="14339" max="14340" width="4.33203125" style="6" customWidth="1"/>
    <col min="14341" max="14341" width="6.6640625" style="6" customWidth="1"/>
    <col min="14342" max="14342" width="3.6640625" style="6" customWidth="1"/>
    <col min="14343" max="14343" width="5" style="6" customWidth="1"/>
    <col min="14344" max="14344" width="8.44140625" style="6" customWidth="1"/>
    <col min="14345" max="14345" width="69.6640625" style="6" customWidth="1"/>
    <col min="14346" max="14348" width="15.6640625" style="6" customWidth="1"/>
    <col min="14349" max="14592" width="9.109375" style="6"/>
    <col min="14593" max="14593" width="6.5546875" style="6" customWidth="1"/>
    <col min="14594" max="14594" width="4.6640625" style="6" customWidth="1"/>
    <col min="14595" max="14596" width="4.33203125" style="6" customWidth="1"/>
    <col min="14597" max="14597" width="6.6640625" style="6" customWidth="1"/>
    <col min="14598" max="14598" width="3.6640625" style="6" customWidth="1"/>
    <col min="14599" max="14599" width="5" style="6" customWidth="1"/>
    <col min="14600" max="14600" width="8.44140625" style="6" customWidth="1"/>
    <col min="14601" max="14601" width="69.6640625" style="6" customWidth="1"/>
    <col min="14602" max="14604" width="15.6640625" style="6" customWidth="1"/>
    <col min="14605" max="14848" width="9.109375" style="6"/>
    <col min="14849" max="14849" width="6.5546875" style="6" customWidth="1"/>
    <col min="14850" max="14850" width="4.6640625" style="6" customWidth="1"/>
    <col min="14851" max="14852" width="4.33203125" style="6" customWidth="1"/>
    <col min="14853" max="14853" width="6.6640625" style="6" customWidth="1"/>
    <col min="14854" max="14854" width="3.6640625" style="6" customWidth="1"/>
    <col min="14855" max="14855" width="5" style="6" customWidth="1"/>
    <col min="14856" max="14856" width="8.44140625" style="6" customWidth="1"/>
    <col min="14857" max="14857" width="69.6640625" style="6" customWidth="1"/>
    <col min="14858" max="14860" width="15.6640625" style="6" customWidth="1"/>
    <col min="14861" max="15104" width="9.109375" style="6"/>
    <col min="15105" max="15105" width="6.5546875" style="6" customWidth="1"/>
    <col min="15106" max="15106" width="4.6640625" style="6" customWidth="1"/>
    <col min="15107" max="15108" width="4.33203125" style="6" customWidth="1"/>
    <col min="15109" max="15109" width="6.6640625" style="6" customWidth="1"/>
    <col min="15110" max="15110" width="3.6640625" style="6" customWidth="1"/>
    <col min="15111" max="15111" width="5" style="6" customWidth="1"/>
    <col min="15112" max="15112" width="8.44140625" style="6" customWidth="1"/>
    <col min="15113" max="15113" width="69.6640625" style="6" customWidth="1"/>
    <col min="15114" max="15116" width="15.6640625" style="6" customWidth="1"/>
    <col min="15117" max="15360" width="9.109375" style="6"/>
    <col min="15361" max="15361" width="6.5546875" style="6" customWidth="1"/>
    <col min="15362" max="15362" width="4.6640625" style="6" customWidth="1"/>
    <col min="15363" max="15364" width="4.33203125" style="6" customWidth="1"/>
    <col min="15365" max="15365" width="6.6640625" style="6" customWidth="1"/>
    <col min="15366" max="15366" width="3.6640625" style="6" customWidth="1"/>
    <col min="15367" max="15367" width="5" style="6" customWidth="1"/>
    <col min="15368" max="15368" width="8.44140625" style="6" customWidth="1"/>
    <col min="15369" max="15369" width="69.6640625" style="6" customWidth="1"/>
    <col min="15370" max="15372" width="15.6640625" style="6" customWidth="1"/>
    <col min="15373" max="15616" width="9.109375" style="6"/>
    <col min="15617" max="15617" width="6.5546875" style="6" customWidth="1"/>
    <col min="15618" max="15618" width="4.6640625" style="6" customWidth="1"/>
    <col min="15619" max="15620" width="4.33203125" style="6" customWidth="1"/>
    <col min="15621" max="15621" width="6.6640625" style="6" customWidth="1"/>
    <col min="15622" max="15622" width="3.6640625" style="6" customWidth="1"/>
    <col min="15623" max="15623" width="5" style="6" customWidth="1"/>
    <col min="15624" max="15624" width="8.44140625" style="6" customWidth="1"/>
    <col min="15625" max="15625" width="69.6640625" style="6" customWidth="1"/>
    <col min="15626" max="15628" width="15.6640625" style="6" customWidth="1"/>
    <col min="15629" max="15872" width="9.109375" style="6"/>
    <col min="15873" max="15873" width="6.5546875" style="6" customWidth="1"/>
    <col min="15874" max="15874" width="4.6640625" style="6" customWidth="1"/>
    <col min="15875" max="15876" width="4.33203125" style="6" customWidth="1"/>
    <col min="15877" max="15877" width="6.6640625" style="6" customWidth="1"/>
    <col min="15878" max="15878" width="3.6640625" style="6" customWidth="1"/>
    <col min="15879" max="15879" width="5" style="6" customWidth="1"/>
    <col min="15880" max="15880" width="8.44140625" style="6" customWidth="1"/>
    <col min="15881" max="15881" width="69.6640625" style="6" customWidth="1"/>
    <col min="15882" max="15884" width="15.6640625" style="6" customWidth="1"/>
    <col min="15885" max="16128" width="9.109375" style="6"/>
    <col min="16129" max="16129" width="6.5546875" style="6" customWidth="1"/>
    <col min="16130" max="16130" width="4.6640625" style="6" customWidth="1"/>
    <col min="16131" max="16132" width="4.33203125" style="6" customWidth="1"/>
    <col min="16133" max="16133" width="6.6640625" style="6" customWidth="1"/>
    <col min="16134" max="16134" width="3.6640625" style="6" customWidth="1"/>
    <col min="16135" max="16135" width="5" style="6" customWidth="1"/>
    <col min="16136" max="16136" width="8.44140625" style="6" customWidth="1"/>
    <col min="16137" max="16137" width="69.6640625" style="6" customWidth="1"/>
    <col min="16138" max="16140" width="15.6640625" style="6" customWidth="1"/>
    <col min="16141" max="16384" width="9.109375" style="6"/>
  </cols>
  <sheetData>
    <row r="1" spans="1:12" x14ac:dyDescent="0.3">
      <c r="A1" s="1218" t="s">
        <v>1069</v>
      </c>
      <c r="B1" s="1218"/>
      <c r="C1" s="1218"/>
      <c r="D1" s="1218"/>
      <c r="E1" s="1218"/>
      <c r="F1" s="1218"/>
      <c r="G1" s="1218"/>
      <c r="H1" s="1218"/>
      <c r="I1" s="1218"/>
      <c r="J1" s="1218"/>
      <c r="K1" s="1218"/>
      <c r="L1" s="1218"/>
    </row>
    <row r="2" spans="1:12" x14ac:dyDescent="0.3">
      <c r="A2" s="1153" t="s">
        <v>972</v>
      </c>
      <c r="B2" s="1153"/>
      <c r="C2" s="1153"/>
      <c r="D2" s="1153"/>
      <c r="E2" s="1153"/>
      <c r="F2" s="1153"/>
      <c r="G2" s="1153"/>
      <c r="H2" s="1153"/>
      <c r="I2" s="1153"/>
      <c r="J2" s="1153"/>
      <c r="K2" s="1153"/>
      <c r="L2" s="1153"/>
    </row>
    <row r="4" spans="1:12" x14ac:dyDescent="0.3">
      <c r="A4" s="1201" t="s">
        <v>937</v>
      </c>
      <c r="B4" s="1201"/>
      <c r="C4" s="1201"/>
      <c r="D4" s="1201"/>
      <c r="E4" s="1201"/>
      <c r="F4" s="1201"/>
      <c r="G4" s="1201"/>
      <c r="H4" s="1201"/>
      <c r="I4" s="1201"/>
      <c r="J4" s="1201"/>
      <c r="K4" s="1201"/>
      <c r="L4" s="1201"/>
    </row>
    <row r="5" spans="1:12" x14ac:dyDescent="0.3">
      <c r="A5" s="1202" t="s">
        <v>407</v>
      </c>
      <c r="B5" s="1205" t="s">
        <v>281</v>
      </c>
      <c r="C5" s="1206"/>
      <c r="D5" s="1206"/>
      <c r="E5" s="1206"/>
      <c r="F5" s="1206"/>
      <c r="G5" s="1206"/>
      <c r="H5" s="1207"/>
      <c r="I5" s="1154" t="s">
        <v>6</v>
      </c>
      <c r="J5" s="1158" t="s">
        <v>938</v>
      </c>
      <c r="K5" s="1159"/>
      <c r="L5" s="1160"/>
    </row>
    <row r="6" spans="1:12" x14ac:dyDescent="0.3">
      <c r="A6" s="1203"/>
      <c r="B6" s="1208"/>
      <c r="C6" s="1209"/>
      <c r="D6" s="1209"/>
      <c r="E6" s="1209"/>
      <c r="F6" s="1209"/>
      <c r="G6" s="1209"/>
      <c r="H6" s="1210"/>
      <c r="I6" s="1155"/>
      <c r="J6" s="319">
        <v>2015</v>
      </c>
      <c r="K6" s="122">
        <v>2016</v>
      </c>
      <c r="L6" s="122">
        <v>2017</v>
      </c>
    </row>
    <row r="7" spans="1:12" ht="15" customHeight="1" x14ac:dyDescent="0.3">
      <c r="A7" s="198"/>
      <c r="B7" s="199" t="s">
        <v>93</v>
      </c>
      <c r="C7" s="199" t="s">
        <v>1073</v>
      </c>
      <c r="D7" s="199" t="s">
        <v>294</v>
      </c>
      <c r="E7" s="199" t="s">
        <v>1074</v>
      </c>
      <c r="F7" s="199" t="s">
        <v>317</v>
      </c>
      <c r="G7" s="199" t="s">
        <v>317</v>
      </c>
      <c r="H7" s="199" t="s">
        <v>470</v>
      </c>
      <c r="I7" s="112" t="s">
        <v>1071</v>
      </c>
      <c r="J7" s="114">
        <v>-9116373.6099999994</v>
      </c>
      <c r="K7" s="114">
        <v>0</v>
      </c>
      <c r="L7" s="114">
        <v>0</v>
      </c>
    </row>
    <row r="8" spans="1:12" hidden="1" x14ac:dyDescent="0.3">
      <c r="A8" s="198"/>
      <c r="B8" s="199"/>
      <c r="C8" s="199"/>
      <c r="D8" s="199"/>
      <c r="E8" s="199"/>
      <c r="F8" s="199"/>
      <c r="G8" s="199"/>
      <c r="H8" s="199"/>
      <c r="I8" s="187"/>
      <c r="J8" s="114"/>
      <c r="K8" s="114"/>
      <c r="L8" s="114"/>
    </row>
    <row r="9" spans="1:12" hidden="1" x14ac:dyDescent="0.3">
      <c r="A9" s="198"/>
      <c r="B9" s="199"/>
      <c r="C9" s="199"/>
      <c r="D9" s="199"/>
      <c r="E9" s="199"/>
      <c r="F9" s="199"/>
      <c r="G9" s="199"/>
      <c r="H9" s="199"/>
      <c r="I9" s="186"/>
      <c r="J9" s="114"/>
      <c r="K9" s="114"/>
      <c r="L9" s="114"/>
    </row>
    <row r="10" spans="1:12" hidden="1" x14ac:dyDescent="0.3">
      <c r="A10" s="198"/>
      <c r="B10" s="199"/>
      <c r="C10" s="199"/>
      <c r="D10" s="199"/>
      <c r="E10" s="199"/>
      <c r="F10" s="199"/>
      <c r="G10" s="199"/>
      <c r="H10" s="199"/>
      <c r="I10" s="187"/>
      <c r="J10" s="114"/>
      <c r="K10" s="114"/>
      <c r="L10" s="114"/>
    </row>
    <row r="11" spans="1:12" hidden="1" x14ac:dyDescent="0.3">
      <c r="A11" s="198"/>
      <c r="B11" s="199"/>
      <c r="C11" s="199"/>
      <c r="D11" s="199"/>
      <c r="E11" s="199"/>
      <c r="F11" s="199"/>
      <c r="G11" s="199"/>
      <c r="H11" s="199"/>
      <c r="I11" s="181"/>
      <c r="J11" s="114"/>
      <c r="K11" s="114"/>
      <c r="L11" s="114"/>
    </row>
    <row r="12" spans="1:12" hidden="1" x14ac:dyDescent="0.3">
      <c r="A12" s="198"/>
      <c r="B12" s="199"/>
      <c r="C12" s="199"/>
      <c r="D12" s="199"/>
      <c r="E12" s="199"/>
      <c r="F12" s="199"/>
      <c r="G12" s="199"/>
      <c r="H12" s="199"/>
      <c r="I12" s="181"/>
      <c r="J12" s="114"/>
      <c r="K12" s="114"/>
      <c r="L12" s="114"/>
    </row>
    <row r="13" spans="1:12" hidden="1" x14ac:dyDescent="0.3">
      <c r="A13" s="198"/>
      <c r="B13" s="199"/>
      <c r="C13" s="199"/>
      <c r="D13" s="199"/>
      <c r="E13" s="199"/>
      <c r="F13" s="199"/>
      <c r="G13" s="199"/>
      <c r="H13" s="199"/>
      <c r="I13" s="181"/>
      <c r="J13" s="114"/>
      <c r="K13" s="114"/>
      <c r="L13" s="114"/>
    </row>
    <row r="14" spans="1:12" hidden="1" x14ac:dyDescent="0.3">
      <c r="A14" s="198"/>
      <c r="B14" s="199"/>
      <c r="C14" s="199"/>
      <c r="D14" s="199"/>
      <c r="E14" s="199"/>
      <c r="F14" s="199"/>
      <c r="G14" s="199"/>
      <c r="H14" s="199"/>
      <c r="I14" s="181"/>
      <c r="J14" s="114"/>
      <c r="K14" s="114"/>
      <c r="L14" s="114"/>
    </row>
    <row r="15" spans="1:12" hidden="1" x14ac:dyDescent="0.3">
      <c r="A15" s="198"/>
      <c r="B15" s="199"/>
      <c r="C15" s="199"/>
      <c r="D15" s="199"/>
      <c r="E15" s="199"/>
      <c r="F15" s="199"/>
      <c r="G15" s="199"/>
      <c r="H15" s="199"/>
      <c r="I15" s="181"/>
      <c r="J15" s="114"/>
      <c r="K15" s="114"/>
      <c r="L15" s="114"/>
    </row>
    <row r="16" spans="1:12" hidden="1" x14ac:dyDescent="0.3">
      <c r="A16" s="198"/>
      <c r="B16" s="199"/>
      <c r="C16" s="199"/>
      <c r="D16" s="199"/>
      <c r="E16" s="199"/>
      <c r="F16" s="199"/>
      <c r="G16" s="199"/>
      <c r="H16" s="199"/>
      <c r="I16" s="181"/>
      <c r="J16" s="114"/>
      <c r="K16" s="114"/>
      <c r="L16" s="114"/>
    </row>
    <row r="17" spans="1:12" hidden="1" x14ac:dyDescent="0.3">
      <c r="A17" s="198"/>
      <c r="B17" s="201"/>
      <c r="C17" s="201"/>
      <c r="D17" s="201"/>
      <c r="E17" s="201"/>
      <c r="F17" s="201"/>
      <c r="G17" s="201"/>
      <c r="H17" s="201"/>
      <c r="I17" s="306"/>
      <c r="J17" s="114"/>
      <c r="K17" s="114"/>
      <c r="L17" s="114"/>
    </row>
    <row r="18" spans="1:12" hidden="1" x14ac:dyDescent="0.3">
      <c r="A18" s="202"/>
      <c r="B18" s="203"/>
      <c r="C18" s="203"/>
      <c r="D18" s="203"/>
      <c r="E18" s="203"/>
      <c r="F18" s="203"/>
      <c r="G18" s="203"/>
      <c r="H18" s="203"/>
      <c r="I18" s="200"/>
      <c r="J18" s="204"/>
      <c r="K18" s="128"/>
      <c r="L18" s="128"/>
    </row>
    <row r="19" spans="1:12" hidden="1" x14ac:dyDescent="0.3">
      <c r="A19" s="205"/>
      <c r="B19" s="203"/>
      <c r="C19" s="203"/>
      <c r="D19" s="203"/>
      <c r="E19" s="203"/>
      <c r="F19" s="203"/>
      <c r="G19" s="203"/>
      <c r="H19" s="203"/>
      <c r="I19" s="200"/>
      <c r="J19" s="204"/>
      <c r="K19" s="128"/>
      <c r="L19" s="128"/>
    </row>
    <row r="20" spans="1:12" hidden="1" x14ac:dyDescent="0.3">
      <c r="A20" s="206"/>
      <c r="B20" s="203"/>
      <c r="C20" s="203"/>
      <c r="D20" s="203"/>
      <c r="E20" s="203"/>
      <c r="F20" s="203"/>
      <c r="G20" s="203"/>
      <c r="H20" s="203"/>
      <c r="I20" s="200"/>
      <c r="J20" s="207"/>
      <c r="K20" s="128"/>
      <c r="L20" s="128"/>
    </row>
    <row r="21" spans="1:12" hidden="1" x14ac:dyDescent="0.3">
      <c r="A21" s="206"/>
      <c r="B21" s="203"/>
      <c r="C21" s="203"/>
      <c r="D21" s="203"/>
      <c r="E21" s="203"/>
      <c r="F21" s="203"/>
      <c r="G21" s="203"/>
      <c r="H21" s="203"/>
      <c r="I21" s="208"/>
      <c r="J21" s="204"/>
      <c r="K21" s="209"/>
      <c r="L21" s="209"/>
    </row>
    <row r="22" spans="1:12" hidden="1" x14ac:dyDescent="0.3">
      <c r="A22" s="206"/>
      <c r="B22" s="203"/>
      <c r="C22" s="203"/>
      <c r="D22" s="203"/>
      <c r="E22" s="203"/>
      <c r="F22" s="203"/>
      <c r="G22" s="203"/>
      <c r="H22" s="203"/>
      <c r="I22" s="208"/>
      <c r="J22" s="207"/>
      <c r="K22" s="128"/>
      <c r="L22" s="128"/>
    </row>
    <row r="23" spans="1:12" hidden="1" x14ac:dyDescent="0.3">
      <c r="A23" s="206"/>
      <c r="B23" s="203"/>
      <c r="C23" s="203"/>
      <c r="D23" s="203"/>
      <c r="E23" s="203"/>
      <c r="F23" s="203"/>
      <c r="G23" s="203"/>
      <c r="H23" s="203"/>
      <c r="I23" s="210"/>
      <c r="J23" s="207"/>
      <c r="K23" s="128"/>
      <c r="L23" s="128"/>
    </row>
    <row r="24" spans="1:12" hidden="1" x14ac:dyDescent="0.3">
      <c r="A24" s="206"/>
      <c r="B24" s="203"/>
      <c r="C24" s="203"/>
      <c r="D24" s="203"/>
      <c r="E24" s="203"/>
      <c r="F24" s="203"/>
      <c r="G24" s="203"/>
      <c r="H24" s="203"/>
      <c r="I24" s="208"/>
      <c r="J24" s="207"/>
      <c r="K24" s="128"/>
      <c r="L24" s="128"/>
    </row>
    <row r="25" spans="1:12" hidden="1" x14ac:dyDescent="0.3">
      <c r="A25" s="206"/>
      <c r="B25" s="203"/>
      <c r="C25" s="203"/>
      <c r="D25" s="203"/>
      <c r="E25" s="203"/>
      <c r="F25" s="203"/>
      <c r="G25" s="203"/>
      <c r="H25" s="203"/>
      <c r="I25" s="208"/>
      <c r="J25" s="207"/>
      <c r="K25" s="128"/>
      <c r="L25" s="128"/>
    </row>
    <row r="26" spans="1:12" hidden="1" x14ac:dyDescent="0.3">
      <c r="A26" s="206"/>
      <c r="B26" s="203"/>
      <c r="C26" s="203"/>
      <c r="D26" s="203"/>
      <c r="E26" s="203"/>
      <c r="F26" s="203"/>
      <c r="G26" s="203"/>
      <c r="H26" s="203"/>
      <c r="I26" s="200"/>
      <c r="J26" s="207"/>
      <c r="K26" s="128"/>
      <c r="L26" s="128"/>
    </row>
    <row r="27" spans="1:12" hidden="1" x14ac:dyDescent="0.3">
      <c r="A27" s="206"/>
      <c r="B27" s="203"/>
      <c r="C27" s="203"/>
      <c r="D27" s="203"/>
      <c r="E27" s="203"/>
      <c r="F27" s="203"/>
      <c r="G27" s="203"/>
      <c r="H27" s="203"/>
      <c r="I27" s="208"/>
      <c r="J27" s="207"/>
      <c r="K27" s="128"/>
      <c r="L27" s="128"/>
    </row>
    <row r="28" spans="1:12" hidden="1" x14ac:dyDescent="0.3">
      <c r="A28" s="206"/>
      <c r="B28" s="203"/>
      <c r="C28" s="203"/>
      <c r="D28" s="203"/>
      <c r="E28" s="203"/>
      <c r="F28" s="203"/>
      <c r="G28" s="203"/>
      <c r="H28" s="203"/>
      <c r="I28" s="208"/>
      <c r="J28" s="207"/>
      <c r="K28" s="128"/>
      <c r="L28" s="128"/>
    </row>
    <row r="29" spans="1:12" hidden="1" x14ac:dyDescent="0.3">
      <c r="A29" s="206"/>
      <c r="B29" s="203"/>
      <c r="C29" s="203"/>
      <c r="D29" s="203"/>
      <c r="E29" s="203"/>
      <c r="F29" s="203"/>
      <c r="G29" s="203"/>
      <c r="H29" s="203"/>
      <c r="I29" s="200"/>
      <c r="J29" s="207"/>
      <c r="K29" s="128"/>
      <c r="L29" s="128"/>
    </row>
    <row r="30" spans="1:12" hidden="1" x14ac:dyDescent="0.3">
      <c r="A30" s="206"/>
      <c r="B30" s="211"/>
      <c r="C30" s="211"/>
      <c r="D30" s="211"/>
      <c r="E30" s="211"/>
      <c r="F30" s="211"/>
      <c r="G30" s="211"/>
      <c r="H30" s="211"/>
      <c r="I30" s="212"/>
      <c r="J30" s="207"/>
      <c r="K30" s="128"/>
      <c r="L30" s="128"/>
    </row>
    <row r="31" spans="1:12" hidden="1" x14ac:dyDescent="0.3">
      <c r="A31" s="206"/>
      <c r="B31" s="203"/>
      <c r="C31" s="203"/>
      <c r="D31" s="203"/>
      <c r="E31" s="203"/>
      <c r="F31" s="203"/>
      <c r="G31" s="203"/>
      <c r="H31" s="203"/>
      <c r="I31" s="208"/>
      <c r="J31" s="207"/>
      <c r="K31" s="128"/>
      <c r="L31" s="128"/>
    </row>
    <row r="32" spans="1:12" hidden="1" x14ac:dyDescent="0.3">
      <c r="A32" s="206"/>
      <c r="B32" s="203"/>
      <c r="C32" s="203"/>
      <c r="D32" s="203"/>
      <c r="E32" s="203"/>
      <c r="F32" s="203"/>
      <c r="G32" s="203"/>
      <c r="H32" s="203"/>
      <c r="I32" s="208"/>
      <c r="J32" s="207"/>
      <c r="K32" s="128"/>
      <c r="L32" s="128"/>
    </row>
    <row r="33" spans="1:12" hidden="1" x14ac:dyDescent="0.3">
      <c r="A33" s="206"/>
      <c r="B33" s="203"/>
      <c r="C33" s="203"/>
      <c r="D33" s="203"/>
      <c r="E33" s="203"/>
      <c r="F33" s="203"/>
      <c r="G33" s="203"/>
      <c r="H33" s="203"/>
      <c r="I33" s="208"/>
      <c r="J33" s="207"/>
      <c r="K33" s="128"/>
      <c r="L33" s="128"/>
    </row>
    <row r="34" spans="1:12" hidden="1" x14ac:dyDescent="0.3">
      <c r="A34" s="206"/>
      <c r="B34" s="213"/>
      <c r="C34" s="213"/>
      <c r="D34" s="213"/>
      <c r="E34" s="213"/>
      <c r="F34" s="213"/>
      <c r="G34" s="213"/>
      <c r="H34" s="214"/>
      <c r="I34" s="215"/>
      <c r="J34" s="207"/>
      <c r="K34" s="128"/>
      <c r="L34" s="128"/>
    </row>
    <row r="35" spans="1:12" x14ac:dyDescent="0.3">
      <c r="A35" s="206"/>
      <c r="B35" s="216"/>
      <c r="C35" s="217"/>
      <c r="D35" s="217"/>
      <c r="E35" s="217"/>
      <c r="F35" s="217"/>
      <c r="G35" s="217"/>
      <c r="H35" s="218"/>
      <c r="I35" s="219"/>
      <c r="J35" s="207"/>
      <c r="K35" s="128"/>
      <c r="L35" s="128"/>
    </row>
    <row r="36" spans="1:12" x14ac:dyDescent="0.3">
      <c r="A36" s="206"/>
      <c r="B36" s="216"/>
      <c r="C36" s="217"/>
      <c r="D36" s="217"/>
      <c r="E36" s="217"/>
      <c r="F36" s="217"/>
      <c r="G36" s="217"/>
      <c r="H36" s="218"/>
      <c r="I36" s="220"/>
      <c r="J36" s="207"/>
      <c r="K36" s="128"/>
      <c r="L36" s="128"/>
    </row>
    <row r="37" spans="1:12" x14ac:dyDescent="0.3">
      <c r="A37" s="206"/>
      <c r="B37" s="203"/>
      <c r="C37" s="203"/>
      <c r="D37" s="203"/>
      <c r="E37" s="203"/>
      <c r="F37" s="203"/>
      <c r="G37" s="203"/>
      <c r="H37" s="203"/>
      <c r="I37" s="200"/>
      <c r="J37" s="125"/>
      <c r="K37" s="128"/>
      <c r="L37" s="128"/>
    </row>
    <row r="38" spans="1:12" x14ac:dyDescent="0.3">
      <c r="A38" s="126"/>
      <c r="B38" s="1212" t="s">
        <v>939</v>
      </c>
      <c r="C38" s="1212"/>
      <c r="D38" s="1212"/>
      <c r="E38" s="1212"/>
      <c r="F38" s="1212"/>
      <c r="G38" s="1212"/>
      <c r="H38" s="1212"/>
      <c r="I38" s="1212"/>
      <c r="J38" s="116">
        <f>SUM(J7:J36)</f>
        <v>-9116373.6099999994</v>
      </c>
      <c r="K38" s="116">
        <v>0</v>
      </c>
      <c r="L38" s="116">
        <f>SUM(L7:L36)</f>
        <v>0</v>
      </c>
    </row>
    <row r="39" spans="1:12" x14ac:dyDescent="0.3">
      <c r="B39" s="197"/>
      <c r="C39" s="197"/>
      <c r="D39" s="197"/>
      <c r="E39" s="197"/>
      <c r="F39" s="197"/>
      <c r="G39" s="197"/>
    </row>
    <row r="40" spans="1:12" x14ac:dyDescent="0.3">
      <c r="B40" s="1201" t="s">
        <v>940</v>
      </c>
      <c r="C40" s="1201"/>
      <c r="D40" s="1201"/>
      <c r="E40" s="1201"/>
      <c r="F40" s="1201"/>
      <c r="G40" s="1201"/>
      <c r="H40" s="1201"/>
      <c r="I40" s="1201"/>
      <c r="J40" s="1201"/>
    </row>
    <row r="41" spans="1:12" x14ac:dyDescent="0.3">
      <c r="A41" s="1213" t="s">
        <v>407</v>
      </c>
      <c r="B41" s="1205" t="s">
        <v>281</v>
      </c>
      <c r="C41" s="1206"/>
      <c r="D41" s="1206"/>
      <c r="E41" s="1206"/>
      <c r="F41" s="1206"/>
      <c r="G41" s="1206"/>
      <c r="H41" s="1207"/>
      <c r="I41" s="1154" t="s">
        <v>6</v>
      </c>
      <c r="J41" s="1158" t="s">
        <v>938</v>
      </c>
      <c r="K41" s="1159"/>
      <c r="L41" s="1160"/>
    </row>
    <row r="42" spans="1:12" x14ac:dyDescent="0.3">
      <c r="A42" s="1214"/>
      <c r="B42" s="1208"/>
      <c r="C42" s="1209"/>
      <c r="D42" s="1209"/>
      <c r="E42" s="1209"/>
      <c r="F42" s="1209"/>
      <c r="G42" s="1209"/>
      <c r="H42" s="1210"/>
      <c r="I42" s="1155"/>
      <c r="J42" s="319">
        <v>2015</v>
      </c>
      <c r="K42" s="122">
        <v>2016</v>
      </c>
      <c r="L42" s="122">
        <v>2017</v>
      </c>
    </row>
    <row r="43" spans="1:12" x14ac:dyDescent="0.3">
      <c r="A43" s="206"/>
      <c r="B43" s="1204"/>
      <c r="C43" s="1204"/>
      <c r="D43" s="1204"/>
      <c r="E43" s="1204"/>
      <c r="F43" s="1204"/>
      <c r="G43" s="1204"/>
      <c r="H43" s="1204"/>
      <c r="I43" s="208"/>
      <c r="J43" s="114"/>
      <c r="K43" s="128"/>
      <c r="L43" s="128"/>
    </row>
    <row r="44" spans="1:12" ht="31.2" x14ac:dyDescent="0.3">
      <c r="A44" s="206"/>
      <c r="B44" s="1215" t="s">
        <v>497</v>
      </c>
      <c r="C44" s="1216"/>
      <c r="D44" s="1216"/>
      <c r="E44" s="1216"/>
      <c r="F44" s="1216"/>
      <c r="G44" s="1216"/>
      <c r="H44" s="1217"/>
      <c r="I44" s="91" t="s">
        <v>1078</v>
      </c>
      <c r="J44" s="114">
        <v>49873254.969999999</v>
      </c>
      <c r="K44" s="128">
        <v>0</v>
      </c>
      <c r="L44" s="128">
        <v>0</v>
      </c>
    </row>
    <row r="45" spans="1:12" ht="0.75" customHeight="1" x14ac:dyDescent="0.3">
      <c r="A45" s="206"/>
      <c r="B45" s="1215"/>
      <c r="C45" s="1216"/>
      <c r="D45" s="1216"/>
      <c r="E45" s="1216"/>
      <c r="F45" s="1216"/>
      <c r="G45" s="1216"/>
      <c r="H45" s="1217"/>
      <c r="I45" s="208"/>
      <c r="J45" s="114"/>
      <c r="K45" s="128"/>
      <c r="L45" s="128"/>
    </row>
    <row r="46" spans="1:12" hidden="1" x14ac:dyDescent="0.3">
      <c r="A46" s="206"/>
      <c r="B46" s="1215"/>
      <c r="C46" s="1216"/>
      <c r="D46" s="1216"/>
      <c r="E46" s="1216"/>
      <c r="F46" s="1216"/>
      <c r="G46" s="1216"/>
      <c r="H46" s="1217"/>
      <c r="I46" s="208"/>
      <c r="J46" s="114"/>
      <c r="K46" s="126"/>
      <c r="L46" s="126"/>
    </row>
    <row r="47" spans="1:12" hidden="1" x14ac:dyDescent="0.3">
      <c r="A47" s="126"/>
      <c r="B47" s="1215"/>
      <c r="C47" s="1216"/>
      <c r="D47" s="1216"/>
      <c r="E47" s="1216"/>
      <c r="F47" s="1216"/>
      <c r="G47" s="1216"/>
      <c r="H47" s="1216"/>
      <c r="I47" s="91"/>
      <c r="J47" s="114"/>
      <c r="K47" s="126"/>
      <c r="L47" s="126"/>
    </row>
    <row r="48" spans="1:12" x14ac:dyDescent="0.3">
      <c r="A48" s="126"/>
      <c r="B48" s="1176" t="s">
        <v>941</v>
      </c>
      <c r="C48" s="1177"/>
      <c r="D48" s="1177"/>
      <c r="E48" s="1177"/>
      <c r="F48" s="1177"/>
      <c r="G48" s="1177"/>
      <c r="H48" s="1177"/>
      <c r="I48" s="1178"/>
      <c r="J48" s="116">
        <f>SUM(J43:J47)</f>
        <v>49873254.969999999</v>
      </c>
      <c r="K48" s="116">
        <f>SUM(K43:K47)</f>
        <v>0</v>
      </c>
      <c r="L48" s="116">
        <f>SUM(L43:L47)</f>
        <v>0</v>
      </c>
    </row>
    <row r="49" spans="1:12" x14ac:dyDescent="0.3">
      <c r="B49" s="197"/>
      <c r="C49" s="197"/>
      <c r="D49" s="197"/>
      <c r="E49" s="197"/>
      <c r="F49" s="197"/>
      <c r="G49" s="197"/>
    </row>
    <row r="50" spans="1:12" x14ac:dyDescent="0.3">
      <c r="B50" s="197"/>
      <c r="C50" s="197"/>
      <c r="D50" s="197"/>
      <c r="E50" s="197"/>
      <c r="F50" s="197"/>
      <c r="G50" s="197"/>
    </row>
    <row r="51" spans="1:12" x14ac:dyDescent="0.3">
      <c r="B51" s="1201" t="s">
        <v>942</v>
      </c>
      <c r="C51" s="1201"/>
      <c r="D51" s="1201"/>
      <c r="E51" s="1201"/>
      <c r="F51" s="1201"/>
      <c r="G51" s="1201"/>
      <c r="H51" s="1201"/>
      <c r="I51" s="1201"/>
      <c r="J51" s="1201"/>
    </row>
    <row r="52" spans="1:12" x14ac:dyDescent="0.3">
      <c r="A52" s="1202" t="s">
        <v>407</v>
      </c>
      <c r="B52" s="1204" t="s">
        <v>943</v>
      </c>
      <c r="C52" s="1204" t="s">
        <v>331</v>
      </c>
      <c r="D52" s="1204" t="s">
        <v>574</v>
      </c>
      <c r="E52" s="1205" t="s">
        <v>482</v>
      </c>
      <c r="F52" s="1206"/>
      <c r="G52" s="1207"/>
      <c r="H52" s="1204" t="s">
        <v>510</v>
      </c>
      <c r="I52" s="1211" t="s">
        <v>6</v>
      </c>
      <c r="J52" s="1158" t="s">
        <v>938</v>
      </c>
      <c r="K52" s="1159"/>
      <c r="L52" s="1160"/>
    </row>
    <row r="53" spans="1:12" x14ac:dyDescent="0.3">
      <c r="A53" s="1203"/>
      <c r="B53" s="1204"/>
      <c r="C53" s="1204"/>
      <c r="D53" s="1204"/>
      <c r="E53" s="1208"/>
      <c r="F53" s="1209"/>
      <c r="G53" s="1210"/>
      <c r="H53" s="1204"/>
      <c r="I53" s="1211"/>
      <c r="J53" s="319">
        <v>2015</v>
      </c>
      <c r="K53" s="122">
        <v>2016</v>
      </c>
      <c r="L53" s="122">
        <v>2017</v>
      </c>
    </row>
    <row r="54" spans="1:12" x14ac:dyDescent="0.3">
      <c r="A54" s="221"/>
      <c r="B54" s="1183" t="s">
        <v>944</v>
      </c>
      <c r="C54" s="1183"/>
      <c r="D54" s="1183"/>
      <c r="E54" s="1183"/>
      <c r="F54" s="1183"/>
      <c r="G54" s="1183"/>
      <c r="H54" s="1183"/>
      <c r="I54" s="1184"/>
      <c r="J54" s="222">
        <f>SUM(J55:J70)</f>
        <v>0</v>
      </c>
      <c r="K54" s="222">
        <f>SUM(K60:K68)</f>
        <v>0</v>
      </c>
      <c r="L54" s="222">
        <f>SUM(L60:L68)</f>
        <v>0</v>
      </c>
    </row>
    <row r="55" spans="1:12" x14ac:dyDescent="0.3">
      <c r="A55" s="320"/>
      <c r="B55" s="275"/>
      <c r="C55" s="275"/>
      <c r="D55" s="275"/>
      <c r="E55" s="275"/>
      <c r="F55" s="275"/>
      <c r="G55" s="275"/>
      <c r="H55" s="275"/>
      <c r="I55" s="184"/>
      <c r="J55" s="114"/>
      <c r="K55" s="114"/>
      <c r="L55" s="114"/>
    </row>
    <row r="56" spans="1:12" x14ac:dyDescent="0.3">
      <c r="A56" s="320"/>
      <c r="B56" s="275"/>
      <c r="C56" s="275"/>
      <c r="D56" s="275"/>
      <c r="E56" s="275"/>
      <c r="F56" s="275"/>
      <c r="G56" s="275"/>
      <c r="H56" s="276"/>
      <c r="I56" s="274"/>
      <c r="J56" s="114"/>
      <c r="K56" s="114"/>
      <c r="L56" s="114"/>
    </row>
    <row r="57" spans="1:12" ht="15" customHeight="1" x14ac:dyDescent="0.3">
      <c r="A57" s="320"/>
      <c r="B57" s="199"/>
      <c r="C57" s="199"/>
      <c r="D57" s="199"/>
      <c r="E57" s="199"/>
      <c r="F57" s="199"/>
      <c r="G57" s="199"/>
      <c r="H57" s="225"/>
      <c r="I57" s="200"/>
      <c r="J57" s="114"/>
      <c r="K57" s="114"/>
      <c r="L57" s="114"/>
    </row>
    <row r="58" spans="1:12" hidden="1" x14ac:dyDescent="0.3">
      <c r="A58" s="320"/>
      <c r="B58" s="199"/>
      <c r="C58" s="199"/>
      <c r="D58" s="199"/>
      <c r="E58" s="199"/>
      <c r="F58" s="199"/>
      <c r="G58" s="199"/>
      <c r="H58" s="199"/>
      <c r="I58" s="274"/>
      <c r="J58" s="114"/>
      <c r="K58" s="114"/>
      <c r="L58" s="114"/>
    </row>
    <row r="59" spans="1:12" hidden="1" x14ac:dyDescent="0.3">
      <c r="A59" s="221"/>
      <c r="B59" s="199"/>
      <c r="C59" s="199"/>
      <c r="D59" s="199"/>
      <c r="E59" s="199"/>
      <c r="F59" s="199"/>
      <c r="G59" s="199"/>
      <c r="H59" s="199"/>
      <c r="I59" s="186"/>
      <c r="J59" s="114"/>
      <c r="K59" s="114"/>
      <c r="L59" s="114"/>
    </row>
    <row r="60" spans="1:12" s="1" customFormat="1" x14ac:dyDescent="0.3">
      <c r="A60" s="206"/>
      <c r="B60" s="199"/>
      <c r="C60" s="199"/>
      <c r="D60" s="199"/>
      <c r="E60" s="199"/>
      <c r="F60" s="199"/>
      <c r="G60" s="199"/>
      <c r="H60" s="224"/>
      <c r="I60" s="181"/>
      <c r="J60" s="114"/>
      <c r="K60" s="154"/>
      <c r="L60" s="154"/>
    </row>
    <row r="61" spans="1:12" s="1" customFormat="1" hidden="1" x14ac:dyDescent="0.3">
      <c r="A61" s="206"/>
      <c r="B61" s="199"/>
      <c r="C61" s="199"/>
      <c r="D61" s="199"/>
      <c r="E61" s="199"/>
      <c r="F61" s="199"/>
      <c r="G61" s="199"/>
      <c r="H61" s="199"/>
      <c r="I61" s="181"/>
      <c r="J61" s="114"/>
      <c r="K61" s="154"/>
      <c r="L61" s="154"/>
    </row>
    <row r="62" spans="1:12" hidden="1" x14ac:dyDescent="0.3">
      <c r="A62" s="206"/>
      <c r="B62" s="199"/>
      <c r="C62" s="199"/>
      <c r="D62" s="199"/>
      <c r="E62" s="199"/>
      <c r="F62" s="199"/>
      <c r="G62" s="199"/>
      <c r="H62" s="224"/>
      <c r="I62" s="181"/>
      <c r="J62" s="114"/>
      <c r="K62" s="128"/>
      <c r="L62" s="128"/>
    </row>
    <row r="63" spans="1:12" hidden="1" x14ac:dyDescent="0.3">
      <c r="A63" s="206"/>
      <c r="B63" s="199"/>
      <c r="C63" s="199"/>
      <c r="D63" s="199"/>
      <c r="E63" s="199"/>
      <c r="F63" s="199"/>
      <c r="G63" s="199"/>
      <c r="H63" s="199"/>
      <c r="I63" s="181"/>
      <c r="J63" s="114"/>
      <c r="K63" s="128"/>
      <c r="L63" s="128"/>
    </row>
    <row r="64" spans="1:12" hidden="1" x14ac:dyDescent="0.3">
      <c r="A64" s="206"/>
      <c r="B64" s="199"/>
      <c r="C64" s="199"/>
      <c r="D64" s="199"/>
      <c r="E64" s="199"/>
      <c r="F64" s="199"/>
      <c r="G64" s="199"/>
      <c r="H64" s="199"/>
      <c r="I64" s="200"/>
      <c r="J64" s="114"/>
      <c r="K64" s="128"/>
      <c r="L64" s="128"/>
    </row>
    <row r="65" spans="1:12" hidden="1" x14ac:dyDescent="0.3">
      <c r="A65" s="226"/>
      <c r="B65" s="199"/>
      <c r="C65" s="199"/>
      <c r="D65" s="199"/>
      <c r="E65" s="199"/>
      <c r="F65" s="199"/>
      <c r="G65" s="199"/>
      <c r="H65" s="199"/>
      <c r="I65" s="200"/>
      <c r="J65" s="114"/>
      <c r="K65" s="128"/>
      <c r="L65" s="128"/>
    </row>
    <row r="66" spans="1:12" hidden="1" x14ac:dyDescent="0.3">
      <c r="A66" s="122"/>
      <c r="B66" s="199"/>
      <c r="C66" s="199"/>
      <c r="D66" s="199"/>
      <c r="E66" s="199"/>
      <c r="F66" s="199"/>
      <c r="G66" s="199"/>
      <c r="H66" s="199"/>
      <c r="I66" s="200"/>
      <c r="J66" s="114"/>
      <c r="K66" s="128"/>
      <c r="L66" s="128"/>
    </row>
    <row r="67" spans="1:12" hidden="1" x14ac:dyDescent="0.3">
      <c r="A67" s="122"/>
      <c r="B67" s="199"/>
      <c r="C67" s="199"/>
      <c r="D67" s="199"/>
      <c r="E67" s="199"/>
      <c r="F67" s="199"/>
      <c r="G67" s="199"/>
      <c r="H67" s="199"/>
      <c r="I67" s="200"/>
      <c r="J67" s="114"/>
      <c r="K67" s="128"/>
      <c r="L67" s="128"/>
    </row>
    <row r="68" spans="1:12" s="1" customFormat="1" hidden="1" x14ac:dyDescent="0.3">
      <c r="A68" s="323"/>
      <c r="B68" s="199"/>
      <c r="C68" s="199"/>
      <c r="D68" s="199"/>
      <c r="E68" s="199"/>
      <c r="F68" s="199"/>
      <c r="G68" s="199"/>
      <c r="H68" s="199"/>
      <c r="I68" s="200"/>
      <c r="J68" s="114"/>
      <c r="K68" s="154"/>
      <c r="L68" s="154"/>
    </row>
    <row r="69" spans="1:12" s="1" customFormat="1" hidden="1" x14ac:dyDescent="0.3">
      <c r="A69" s="323"/>
      <c r="B69" s="199"/>
      <c r="C69" s="199"/>
      <c r="D69" s="199"/>
      <c r="E69" s="199"/>
      <c r="F69" s="199"/>
      <c r="G69" s="199"/>
      <c r="H69" s="199"/>
      <c r="I69" s="200"/>
      <c r="J69" s="114"/>
      <c r="K69" s="154"/>
      <c r="L69" s="154"/>
    </row>
    <row r="70" spans="1:12" s="1" customFormat="1" x14ac:dyDescent="0.3">
      <c r="A70" s="323"/>
      <c r="B70" s="199"/>
      <c r="C70" s="199"/>
      <c r="D70" s="199"/>
      <c r="E70" s="199"/>
      <c r="F70" s="199"/>
      <c r="G70" s="199"/>
      <c r="H70" s="199"/>
      <c r="I70" s="200"/>
      <c r="J70" s="114"/>
      <c r="K70" s="154"/>
      <c r="L70" s="154"/>
    </row>
    <row r="71" spans="1:12" s="1" customFormat="1" x14ac:dyDescent="0.3">
      <c r="A71" s="323"/>
      <c r="B71" s="1185" t="s">
        <v>945</v>
      </c>
      <c r="C71" s="1186"/>
      <c r="D71" s="1186"/>
      <c r="E71" s="1186"/>
      <c r="F71" s="1186"/>
      <c r="G71" s="1186"/>
      <c r="H71" s="1186"/>
      <c r="I71" s="1187"/>
      <c r="J71" s="116">
        <f>J72</f>
        <v>0</v>
      </c>
      <c r="K71" s="116">
        <f>K72</f>
        <v>0</v>
      </c>
      <c r="L71" s="116">
        <f>L72</f>
        <v>0</v>
      </c>
    </row>
    <row r="72" spans="1:12" s="1" customFormat="1" x14ac:dyDescent="0.3">
      <c r="A72" s="227"/>
      <c r="B72" s="228"/>
      <c r="C72" s="228"/>
      <c r="D72" s="228"/>
      <c r="E72" s="199"/>
      <c r="F72" s="199"/>
      <c r="G72" s="199"/>
      <c r="H72" s="199"/>
      <c r="I72" s="200"/>
      <c r="J72" s="114"/>
      <c r="K72" s="154"/>
      <c r="L72" s="154"/>
    </row>
    <row r="73" spans="1:12" s="1" customFormat="1" x14ac:dyDescent="0.3">
      <c r="A73" s="99"/>
      <c r="B73" s="142"/>
      <c r="C73" s="142"/>
      <c r="D73" s="142"/>
      <c r="E73" s="142"/>
      <c r="F73" s="142"/>
      <c r="G73" s="142"/>
      <c r="H73" s="113"/>
      <c r="I73" s="112"/>
      <c r="J73" s="114"/>
      <c r="K73" s="154"/>
      <c r="L73" s="154"/>
    </row>
    <row r="74" spans="1:12" s="1" customFormat="1" x14ac:dyDescent="0.3">
      <c r="A74" s="229"/>
      <c r="B74" s="1188" t="s">
        <v>946</v>
      </c>
      <c r="C74" s="1189"/>
      <c r="D74" s="1189"/>
      <c r="E74" s="1189"/>
      <c r="F74" s="1189"/>
      <c r="G74" s="1189"/>
      <c r="H74" s="1189"/>
      <c r="I74" s="1190"/>
      <c r="J74" s="222">
        <f>SUM(J76:J93)</f>
        <v>0</v>
      </c>
      <c r="K74" s="222">
        <f>SUM(K76:K93)</f>
        <v>0</v>
      </c>
      <c r="L74" s="222">
        <f>SUM(L76:L93)</f>
        <v>0</v>
      </c>
    </row>
    <row r="75" spans="1:12" s="1" customFormat="1" x14ac:dyDescent="0.3">
      <c r="A75" s="229"/>
      <c r="B75" s="301"/>
      <c r="C75" s="260"/>
      <c r="D75" s="260"/>
      <c r="E75" s="260"/>
      <c r="F75" s="260"/>
      <c r="G75" s="260"/>
      <c r="H75" s="260"/>
      <c r="I75" s="260"/>
      <c r="J75" s="116"/>
      <c r="K75" s="116"/>
      <c r="L75" s="116"/>
    </row>
    <row r="76" spans="1:12" s="1" customFormat="1" x14ac:dyDescent="0.3">
      <c r="A76" s="230"/>
      <c r="B76" s="297"/>
      <c r="C76" s="297"/>
      <c r="D76" s="297"/>
      <c r="E76" s="297"/>
      <c r="F76" s="297"/>
      <c r="G76" s="298"/>
      <c r="H76" s="297"/>
      <c r="I76" s="299"/>
      <c r="J76" s="234"/>
      <c r="K76" s="300"/>
      <c r="L76" s="300"/>
    </row>
    <row r="77" spans="1:12" s="1" customFormat="1" x14ac:dyDescent="0.3">
      <c r="A77" s="230"/>
      <c r="B77" s="228"/>
      <c r="C77" s="228"/>
      <c r="D77" s="228"/>
      <c r="E77" s="228"/>
      <c r="F77" s="228"/>
      <c r="G77" s="199"/>
      <c r="H77" s="228"/>
      <c r="I77" s="293"/>
      <c r="J77" s="114"/>
      <c r="K77" s="154"/>
      <c r="L77" s="154"/>
    </row>
    <row r="78" spans="1:12" s="1" customFormat="1" hidden="1" x14ac:dyDescent="0.3">
      <c r="A78" s="230"/>
      <c r="B78" s="199"/>
      <c r="C78" s="199"/>
      <c r="D78" s="199"/>
      <c r="E78" s="199"/>
      <c r="F78" s="199"/>
      <c r="G78" s="199"/>
      <c r="H78" s="199"/>
      <c r="I78" s="181"/>
      <c r="J78" s="114"/>
      <c r="K78" s="114"/>
      <c r="L78" s="114"/>
    </row>
    <row r="79" spans="1:12" s="1" customFormat="1" hidden="1" x14ac:dyDescent="0.3">
      <c r="A79" s="230"/>
      <c r="B79" s="199"/>
      <c r="C79" s="199"/>
      <c r="D79" s="199"/>
      <c r="E79" s="199"/>
      <c r="F79" s="199"/>
      <c r="G79" s="199"/>
      <c r="H79" s="199"/>
      <c r="I79" s="181"/>
      <c r="J79" s="114"/>
      <c r="K79" s="114"/>
      <c r="L79" s="114"/>
    </row>
    <row r="80" spans="1:12" s="1" customFormat="1" hidden="1" x14ac:dyDescent="0.3">
      <c r="A80" s="230"/>
      <c r="B80" s="228"/>
      <c r="C80" s="228"/>
      <c r="D80" s="228"/>
      <c r="E80" s="228"/>
      <c r="F80" s="228"/>
      <c r="G80" s="199"/>
      <c r="H80" s="228"/>
      <c r="I80" s="181"/>
      <c r="J80" s="114"/>
      <c r="K80" s="154"/>
      <c r="L80" s="154"/>
    </row>
    <row r="81" spans="1:12" s="1" customFormat="1" hidden="1" x14ac:dyDescent="0.3">
      <c r="A81" s="230"/>
      <c r="B81" s="228"/>
      <c r="C81" s="228"/>
      <c r="D81" s="228"/>
      <c r="E81" s="228"/>
      <c r="F81" s="228"/>
      <c r="G81" s="228"/>
      <c r="H81" s="231"/>
      <c r="I81" s="181"/>
      <c r="J81" s="114"/>
      <c r="K81" s="154"/>
      <c r="L81" s="154"/>
    </row>
    <row r="82" spans="1:12" s="1" customFormat="1" hidden="1" x14ac:dyDescent="0.3">
      <c r="A82" s="230"/>
      <c r="B82" s="228"/>
      <c r="C82" s="228"/>
      <c r="D82" s="228"/>
      <c r="E82" s="228"/>
      <c r="F82" s="228"/>
      <c r="G82" s="199"/>
      <c r="H82" s="228"/>
      <c r="I82" s="295"/>
      <c r="J82" s="114"/>
      <c r="K82" s="154"/>
      <c r="L82" s="154"/>
    </row>
    <row r="83" spans="1:12" s="1" customFormat="1" hidden="1" x14ac:dyDescent="0.3">
      <c r="A83" s="230"/>
      <c r="B83" s="228"/>
      <c r="C83" s="228"/>
      <c r="D83" s="228"/>
      <c r="E83" s="228"/>
      <c r="F83" s="228"/>
      <c r="G83" s="199"/>
      <c r="H83" s="228"/>
      <c r="I83" s="186"/>
      <c r="J83" s="114"/>
      <c r="K83" s="154"/>
      <c r="L83" s="154"/>
    </row>
    <row r="84" spans="1:12" s="1" customFormat="1" hidden="1" x14ac:dyDescent="0.3">
      <c r="A84" s="230"/>
      <c r="B84" s="228"/>
      <c r="C84" s="228"/>
      <c r="D84" s="228"/>
      <c r="E84" s="228"/>
      <c r="F84" s="228"/>
      <c r="G84" s="199"/>
      <c r="H84" s="228"/>
      <c r="I84" s="181"/>
      <c r="J84" s="114"/>
      <c r="K84" s="154"/>
      <c r="L84" s="154"/>
    </row>
    <row r="85" spans="1:12" s="1" customFormat="1" hidden="1" x14ac:dyDescent="0.3">
      <c r="A85" s="227"/>
      <c r="B85" s="228"/>
      <c r="C85" s="228"/>
      <c r="D85" s="228"/>
      <c r="E85" s="228"/>
      <c r="F85" s="228"/>
      <c r="G85" s="228"/>
      <c r="H85" s="231"/>
      <c r="I85" s="181"/>
      <c r="J85" s="114"/>
      <c r="K85" s="154"/>
      <c r="L85" s="154"/>
    </row>
    <row r="86" spans="1:12" s="1" customFormat="1" hidden="1" x14ac:dyDescent="0.3">
      <c r="A86" s="227"/>
      <c r="B86" s="228"/>
      <c r="C86" s="228"/>
      <c r="D86" s="228"/>
      <c r="E86" s="228"/>
      <c r="F86" s="228"/>
      <c r="G86" s="228"/>
      <c r="H86" s="231"/>
      <c r="I86" s="232"/>
      <c r="J86" s="114"/>
      <c r="K86" s="154"/>
      <c r="L86" s="154"/>
    </row>
    <row r="87" spans="1:12" s="1" customFormat="1" hidden="1" x14ac:dyDescent="0.3">
      <c r="A87" s="233"/>
      <c r="B87" s="228"/>
      <c r="C87" s="228"/>
      <c r="D87" s="228"/>
      <c r="E87" s="228"/>
      <c r="F87" s="228"/>
      <c r="G87" s="228"/>
      <c r="H87" s="231"/>
      <c r="I87" s="232"/>
      <c r="J87" s="234"/>
      <c r="K87" s="154"/>
      <c r="L87" s="154"/>
    </row>
    <row r="88" spans="1:12" s="1" customFormat="1" hidden="1" x14ac:dyDescent="0.3">
      <c r="A88" s="227"/>
      <c r="B88" s="228"/>
      <c r="C88" s="228"/>
      <c r="D88" s="228"/>
      <c r="E88" s="228"/>
      <c r="F88" s="228"/>
      <c r="G88" s="228"/>
      <c r="H88" s="231"/>
      <c r="I88" s="232"/>
      <c r="J88" s="114"/>
      <c r="K88" s="154"/>
      <c r="L88" s="154"/>
    </row>
    <row r="89" spans="1:12" s="1" customFormat="1" hidden="1" x14ac:dyDescent="0.3">
      <c r="A89" s="227"/>
      <c r="B89" s="228"/>
      <c r="C89" s="228"/>
      <c r="D89" s="228"/>
      <c r="E89" s="228"/>
      <c r="F89" s="228"/>
      <c r="G89" s="228"/>
      <c r="H89" s="231"/>
      <c r="I89" s="232"/>
      <c r="J89" s="114"/>
      <c r="K89" s="154"/>
      <c r="L89" s="154"/>
    </row>
    <row r="90" spans="1:12" s="1" customFormat="1" hidden="1" x14ac:dyDescent="0.3">
      <c r="A90" s="227"/>
      <c r="B90" s="228"/>
      <c r="C90" s="228"/>
      <c r="D90" s="228"/>
      <c r="E90" s="228"/>
      <c r="F90" s="228"/>
      <c r="G90" s="228"/>
      <c r="H90" s="231"/>
      <c r="I90" s="232"/>
      <c r="J90" s="114"/>
      <c r="K90" s="154"/>
      <c r="L90" s="154"/>
    </row>
    <row r="91" spans="1:12" s="1" customFormat="1" hidden="1" x14ac:dyDescent="0.3">
      <c r="A91" s="230"/>
      <c r="B91" s="235"/>
      <c r="C91" s="235"/>
      <c r="D91" s="235"/>
      <c r="E91" s="235"/>
      <c r="F91" s="235"/>
      <c r="G91" s="235"/>
      <c r="H91" s="235"/>
      <c r="I91" s="232"/>
      <c r="J91" s="114"/>
      <c r="K91" s="154"/>
      <c r="L91" s="154"/>
    </row>
    <row r="92" spans="1:12" s="1" customFormat="1" hidden="1" x14ac:dyDescent="0.3">
      <c r="A92" s="230"/>
      <c r="B92" s="228"/>
      <c r="C92" s="228"/>
      <c r="D92" s="228"/>
      <c r="E92" s="228"/>
      <c r="F92" s="228"/>
      <c r="G92" s="228"/>
      <c r="H92" s="228"/>
      <c r="I92" s="232"/>
      <c r="J92" s="114"/>
      <c r="K92" s="154"/>
      <c r="L92" s="154"/>
    </row>
    <row r="93" spans="1:12" s="1" customFormat="1" hidden="1" x14ac:dyDescent="0.3">
      <c r="A93" s="236"/>
      <c r="B93" s="228"/>
      <c r="C93" s="228"/>
      <c r="D93" s="228"/>
      <c r="E93" s="228"/>
      <c r="F93" s="228"/>
      <c r="G93" s="228"/>
      <c r="H93" s="228"/>
      <c r="I93" s="200"/>
      <c r="J93" s="204"/>
      <c r="K93" s="114"/>
      <c r="L93" s="114"/>
    </row>
    <row r="94" spans="1:12" s="1" customFormat="1" x14ac:dyDescent="0.3">
      <c r="A94" s="236"/>
      <c r="B94" s="237"/>
      <c r="C94" s="238"/>
      <c r="D94" s="238"/>
      <c r="E94" s="238"/>
      <c r="F94" s="238"/>
      <c r="G94" s="238"/>
      <c r="H94" s="238"/>
      <c r="I94" s="239"/>
      <c r="J94" s="240"/>
      <c r="K94" s="241"/>
      <c r="L94" s="241"/>
    </row>
    <row r="95" spans="1:12" s="1" customFormat="1" x14ac:dyDescent="0.3">
      <c r="A95" s="229"/>
      <c r="B95" s="1191" t="s">
        <v>947</v>
      </c>
      <c r="C95" s="1192"/>
      <c r="D95" s="1192"/>
      <c r="E95" s="1192"/>
      <c r="F95" s="1192"/>
      <c r="G95" s="1192"/>
      <c r="H95" s="1192"/>
      <c r="I95" s="1193"/>
      <c r="J95" s="222">
        <f>J96+J97+J98+J99+J100+J101+J102+J103+J104+J105</f>
        <v>0</v>
      </c>
      <c r="K95" s="222">
        <f>K96+K97+K98+K99+K100+K101+K102+K103+K104+K105</f>
        <v>0</v>
      </c>
      <c r="L95" s="222">
        <f>L96+L97+L98+L99+L100+L101+L102+L103+L104+L105</f>
        <v>0</v>
      </c>
    </row>
    <row r="96" spans="1:12" s="248" customFormat="1" x14ac:dyDescent="0.3">
      <c r="A96" s="242"/>
      <c r="B96" s="243"/>
      <c r="C96" s="243"/>
      <c r="D96" s="243"/>
      <c r="E96" s="243"/>
      <c r="F96" s="243"/>
      <c r="G96" s="243"/>
      <c r="H96" s="244"/>
      <c r="I96" s="296"/>
      <c r="J96" s="114"/>
      <c r="K96" s="247"/>
      <c r="L96" s="294"/>
    </row>
    <row r="97" spans="1:12" s="248" customFormat="1" x14ac:dyDescent="0.3">
      <c r="A97" s="242"/>
      <c r="B97" s="199"/>
      <c r="C97" s="199"/>
      <c r="D97" s="199"/>
      <c r="E97" s="199"/>
      <c r="F97" s="199"/>
      <c r="G97" s="199"/>
      <c r="H97" s="225"/>
      <c r="I97" s="296"/>
      <c r="J97" s="114"/>
      <c r="K97" s="247"/>
      <c r="L97" s="247"/>
    </row>
    <row r="98" spans="1:12" s="248" customFormat="1" x14ac:dyDescent="0.3">
      <c r="A98" s="242"/>
      <c r="B98" s="199"/>
      <c r="C98" s="199"/>
      <c r="D98" s="199"/>
      <c r="E98" s="199"/>
      <c r="F98" s="199"/>
      <c r="G98" s="199"/>
      <c r="H98" s="225"/>
      <c r="I98" s="181"/>
      <c r="J98" s="114"/>
      <c r="K98" s="247"/>
      <c r="L98" s="247"/>
    </row>
    <row r="99" spans="1:12" s="248" customFormat="1" ht="0.75" customHeight="1" x14ac:dyDescent="0.3">
      <c r="A99" s="242"/>
      <c r="B99" s="199"/>
      <c r="C99" s="199"/>
      <c r="D99" s="199"/>
      <c r="E99" s="199"/>
      <c r="F99" s="199"/>
      <c r="G99" s="199"/>
      <c r="H99" s="225"/>
      <c r="I99" s="181"/>
      <c r="J99" s="114"/>
      <c r="K99" s="247"/>
      <c r="L99" s="247"/>
    </row>
    <row r="100" spans="1:12" s="248" customFormat="1" hidden="1" x14ac:dyDescent="0.3">
      <c r="A100" s="242"/>
      <c r="B100" s="199"/>
      <c r="C100" s="199"/>
      <c r="D100" s="199"/>
      <c r="E100" s="199"/>
      <c r="F100" s="199"/>
      <c r="G100" s="199"/>
      <c r="H100" s="225"/>
      <c r="I100" s="181"/>
      <c r="J100" s="114"/>
      <c r="K100" s="247"/>
      <c r="L100" s="247"/>
    </row>
    <row r="101" spans="1:12" s="248" customFormat="1" hidden="1" x14ac:dyDescent="0.3">
      <c r="A101" s="242"/>
      <c r="B101" s="199"/>
      <c r="C101" s="199"/>
      <c r="D101" s="199"/>
      <c r="E101" s="199"/>
      <c r="F101" s="199"/>
      <c r="G101" s="199"/>
      <c r="H101" s="225"/>
      <c r="I101" s="181"/>
      <c r="J101" s="114"/>
      <c r="K101" s="247"/>
      <c r="L101" s="247"/>
    </row>
    <row r="102" spans="1:12" s="248" customFormat="1" hidden="1" x14ac:dyDescent="0.3">
      <c r="A102" s="242"/>
      <c r="B102" s="199"/>
      <c r="C102" s="199"/>
      <c r="D102" s="199"/>
      <c r="E102" s="199"/>
      <c r="F102" s="199"/>
      <c r="G102" s="199"/>
      <c r="H102" s="225"/>
      <c r="I102" s="295"/>
      <c r="J102" s="114"/>
      <c r="K102" s="247"/>
      <c r="L102" s="247"/>
    </row>
    <row r="103" spans="1:12" s="248" customFormat="1" hidden="1" x14ac:dyDescent="0.3">
      <c r="A103" s="242"/>
      <c r="B103" s="199"/>
      <c r="C103" s="199"/>
      <c r="D103" s="199"/>
      <c r="E103" s="199"/>
      <c r="F103" s="199"/>
      <c r="G103" s="199"/>
      <c r="H103" s="225"/>
      <c r="I103" s="181"/>
      <c r="J103" s="114"/>
      <c r="K103" s="247"/>
      <c r="L103" s="247"/>
    </row>
    <row r="104" spans="1:12" s="248" customFormat="1" hidden="1" x14ac:dyDescent="0.3">
      <c r="A104" s="242"/>
      <c r="B104" s="199"/>
      <c r="C104" s="199"/>
      <c r="D104" s="199"/>
      <c r="E104" s="199"/>
      <c r="F104" s="199"/>
      <c r="G104" s="199"/>
      <c r="H104" s="225"/>
      <c r="I104" s="181"/>
      <c r="J104" s="114"/>
      <c r="K104" s="247"/>
      <c r="L104" s="247"/>
    </row>
    <row r="105" spans="1:12" s="248" customFormat="1" hidden="1" x14ac:dyDescent="0.3">
      <c r="A105" s="249"/>
      <c r="B105" s="199"/>
      <c r="C105" s="199"/>
      <c r="D105" s="199"/>
      <c r="E105" s="199"/>
      <c r="F105" s="199"/>
      <c r="G105" s="199"/>
      <c r="H105" s="225"/>
      <c r="I105" s="181"/>
      <c r="J105" s="114"/>
      <c r="K105" s="247"/>
      <c r="L105" s="247"/>
    </row>
    <row r="106" spans="1:12" hidden="1" x14ac:dyDescent="0.3">
      <c r="A106" s="206"/>
      <c r="B106" s="199"/>
      <c r="C106" s="199"/>
      <c r="D106" s="199"/>
      <c r="E106" s="199"/>
      <c r="F106" s="199"/>
      <c r="G106" s="199"/>
      <c r="H106" s="225"/>
      <c r="I106" s="200"/>
      <c r="J106" s="114"/>
      <c r="K106" s="128"/>
      <c r="L106" s="128"/>
    </row>
    <row r="107" spans="1:12" x14ac:dyDescent="0.3">
      <c r="A107" s="206"/>
      <c r="B107" s="199"/>
      <c r="C107" s="199"/>
      <c r="D107" s="199"/>
      <c r="E107" s="199"/>
      <c r="F107" s="199"/>
      <c r="G107" s="250"/>
      <c r="H107" s="225"/>
      <c r="I107" s="200"/>
      <c r="J107" s="114"/>
      <c r="K107" s="128"/>
      <c r="L107" s="128"/>
    </row>
    <row r="108" spans="1:12" x14ac:dyDescent="0.3">
      <c r="A108" s="126"/>
      <c r="B108" s="199"/>
      <c r="C108" s="199"/>
      <c r="D108" s="199"/>
      <c r="E108" s="199"/>
      <c r="F108" s="199"/>
      <c r="G108" s="225"/>
      <c r="H108" s="225"/>
      <c r="I108" s="200"/>
      <c r="J108" s="114"/>
      <c r="K108" s="128"/>
      <c r="L108" s="128"/>
    </row>
    <row r="109" spans="1:12" x14ac:dyDescent="0.3">
      <c r="A109" s="126"/>
      <c r="B109" s="1185" t="s">
        <v>948</v>
      </c>
      <c r="C109" s="1186"/>
      <c r="D109" s="1186"/>
      <c r="E109" s="1186"/>
      <c r="F109" s="1186"/>
      <c r="G109" s="1186"/>
      <c r="H109" s="1186"/>
      <c r="I109" s="1187"/>
      <c r="J109" s="116">
        <f>J110</f>
        <v>0</v>
      </c>
      <c r="K109" s="116">
        <f>K110</f>
        <v>0</v>
      </c>
      <c r="L109" s="116">
        <f>L110</f>
        <v>0</v>
      </c>
    </row>
    <row r="110" spans="1:12" x14ac:dyDescent="0.3">
      <c r="A110" s="206"/>
      <c r="B110" s="199"/>
      <c r="C110" s="199"/>
      <c r="D110" s="199"/>
      <c r="E110" s="199"/>
      <c r="F110" s="199"/>
      <c r="G110" s="199"/>
      <c r="H110" s="225"/>
      <c r="I110" s="200"/>
      <c r="J110" s="204"/>
      <c r="K110" s="247"/>
      <c r="L110" s="247"/>
    </row>
    <row r="111" spans="1:12" x14ac:dyDescent="0.3">
      <c r="A111" s="126"/>
      <c r="B111" s="251"/>
      <c r="C111" s="99"/>
      <c r="D111" s="99"/>
      <c r="E111" s="99"/>
      <c r="F111" s="99"/>
      <c r="G111" s="99"/>
      <c r="H111" s="147"/>
      <c r="I111" s="99"/>
      <c r="J111" s="114"/>
      <c r="K111" s="128"/>
      <c r="L111" s="128"/>
    </row>
    <row r="112" spans="1:12" x14ac:dyDescent="0.3">
      <c r="A112" s="221"/>
      <c r="B112" s="1194" t="s">
        <v>949</v>
      </c>
      <c r="C112" s="1194"/>
      <c r="D112" s="1194"/>
      <c r="E112" s="1194"/>
      <c r="F112" s="1194"/>
      <c r="G112" s="1194"/>
      <c r="H112" s="1194"/>
      <c r="I112" s="1194"/>
      <c r="J112" s="222">
        <f>SUM(J113:J151)</f>
        <v>34549808.850000001</v>
      </c>
      <c r="K112" s="222">
        <f>SUM(K114:K151)</f>
        <v>0</v>
      </c>
      <c r="L112" s="222">
        <f>SUM(L114:L151)</f>
        <v>0</v>
      </c>
    </row>
    <row r="113" spans="1:13" ht="31.2" x14ac:dyDescent="0.3">
      <c r="A113" s="198">
        <v>1</v>
      </c>
      <c r="B113" s="199" t="s">
        <v>121</v>
      </c>
      <c r="C113" s="199" t="s">
        <v>339</v>
      </c>
      <c r="D113" s="199" t="s">
        <v>300</v>
      </c>
      <c r="E113" s="199" t="s">
        <v>316</v>
      </c>
      <c r="F113" s="199" t="s">
        <v>318</v>
      </c>
      <c r="G113" s="199" t="s">
        <v>1052</v>
      </c>
      <c r="H113" s="199" t="s">
        <v>162</v>
      </c>
      <c r="I113" s="181" t="s">
        <v>873</v>
      </c>
      <c r="J113" s="114">
        <v>-1635414</v>
      </c>
      <c r="K113" s="240">
        <v>0</v>
      </c>
      <c r="L113" s="240">
        <v>0</v>
      </c>
    </row>
    <row r="114" spans="1:13" ht="31.2" x14ac:dyDescent="0.3">
      <c r="A114" s="198"/>
      <c r="B114" s="199" t="s">
        <v>121</v>
      </c>
      <c r="C114" s="199" t="s">
        <v>339</v>
      </c>
      <c r="D114" s="199" t="s">
        <v>300</v>
      </c>
      <c r="E114" s="199" t="s">
        <v>316</v>
      </c>
      <c r="F114" s="199" t="s">
        <v>318</v>
      </c>
      <c r="G114" s="199" t="s">
        <v>1052</v>
      </c>
      <c r="H114" s="199" t="s">
        <v>586</v>
      </c>
      <c r="I114" s="181" t="s">
        <v>873</v>
      </c>
      <c r="J114" s="114">
        <v>-114777.15</v>
      </c>
      <c r="K114" s="128">
        <v>0</v>
      </c>
      <c r="L114" s="128">
        <v>0</v>
      </c>
    </row>
    <row r="115" spans="1:13" ht="31.2" x14ac:dyDescent="0.3">
      <c r="A115" s="198"/>
      <c r="B115" s="199" t="s">
        <v>86</v>
      </c>
      <c r="C115" s="199" t="s">
        <v>339</v>
      </c>
      <c r="D115" s="199" t="s">
        <v>290</v>
      </c>
      <c r="E115" s="199" t="s">
        <v>304</v>
      </c>
      <c r="F115" s="199" t="s">
        <v>289</v>
      </c>
      <c r="G115" s="199" t="s">
        <v>1065</v>
      </c>
      <c r="H115" s="199" t="s">
        <v>586</v>
      </c>
      <c r="I115" s="181" t="s">
        <v>1070</v>
      </c>
      <c r="J115" s="114">
        <v>36300000</v>
      </c>
      <c r="K115" s="128">
        <v>0</v>
      </c>
      <c r="L115" s="128">
        <v>0</v>
      </c>
    </row>
    <row r="116" spans="1:13" x14ac:dyDescent="0.3">
      <c r="A116" s="198"/>
      <c r="B116" s="199"/>
      <c r="C116" s="199"/>
      <c r="D116" s="199"/>
      <c r="E116" s="199"/>
      <c r="F116" s="199"/>
      <c r="G116" s="199"/>
      <c r="H116" s="199"/>
      <c r="I116" s="186"/>
      <c r="J116" s="114"/>
      <c r="K116" s="128"/>
      <c r="L116" s="128"/>
    </row>
    <row r="117" spans="1:13" hidden="1" x14ac:dyDescent="0.3">
      <c r="A117" s="198"/>
      <c r="B117" s="199"/>
      <c r="C117" s="199"/>
      <c r="D117" s="199"/>
      <c r="E117" s="199"/>
      <c r="F117" s="199"/>
      <c r="G117" s="199"/>
      <c r="H117" s="199"/>
      <c r="I117" s="187"/>
      <c r="J117" s="114"/>
      <c r="K117" s="128"/>
      <c r="L117" s="128"/>
    </row>
    <row r="118" spans="1:13" hidden="1" x14ac:dyDescent="0.3">
      <c r="A118" s="198"/>
      <c r="B118" s="199"/>
      <c r="C118" s="199"/>
      <c r="D118" s="199"/>
      <c r="E118" s="199"/>
      <c r="F118" s="199"/>
      <c r="G118" s="199"/>
      <c r="H118" s="199"/>
      <c r="I118" s="181"/>
      <c r="J118" s="114"/>
      <c r="K118" s="128"/>
      <c r="L118" s="128"/>
    </row>
    <row r="119" spans="1:13" hidden="1" x14ac:dyDescent="0.3">
      <c r="A119" s="198"/>
      <c r="B119" s="199"/>
      <c r="C119" s="199"/>
      <c r="D119" s="199"/>
      <c r="E119" s="199"/>
      <c r="F119" s="199"/>
      <c r="G119" s="199"/>
      <c r="H119" s="199"/>
      <c r="I119" s="181"/>
      <c r="J119" s="114"/>
      <c r="K119" s="128"/>
      <c r="L119" s="128"/>
    </row>
    <row r="120" spans="1:13" hidden="1" x14ac:dyDescent="0.3">
      <c r="A120" s="198"/>
      <c r="B120" s="199"/>
      <c r="C120" s="199"/>
      <c r="D120" s="199"/>
      <c r="E120" s="199"/>
      <c r="F120" s="199"/>
      <c r="G120" s="199"/>
      <c r="H120" s="199"/>
      <c r="I120" s="181"/>
      <c r="J120" s="114"/>
      <c r="K120" s="128"/>
      <c r="L120" s="128"/>
    </row>
    <row r="121" spans="1:13" ht="16.2" hidden="1" thickBot="1" x14ac:dyDescent="0.35">
      <c r="A121" s="198"/>
      <c r="B121" s="199"/>
      <c r="C121" s="199"/>
      <c r="D121" s="199"/>
      <c r="E121" s="199"/>
      <c r="F121" s="199"/>
      <c r="G121" s="199"/>
      <c r="H121" s="199"/>
      <c r="I121" s="317"/>
      <c r="J121" s="114"/>
      <c r="K121" s="128"/>
      <c r="L121" s="128"/>
      <c r="M121" s="6" t="s">
        <v>1067</v>
      </c>
    </row>
    <row r="122" spans="1:13" x14ac:dyDescent="0.3">
      <c r="A122" s="198"/>
      <c r="B122" s="199"/>
      <c r="C122" s="199"/>
      <c r="D122" s="199"/>
      <c r="E122" s="199"/>
      <c r="F122" s="199"/>
      <c r="G122" s="199"/>
      <c r="H122" s="199"/>
      <c r="I122" s="200"/>
      <c r="J122" s="114"/>
      <c r="K122" s="114"/>
      <c r="L122" s="114"/>
    </row>
    <row r="123" spans="1:13" ht="0.75" customHeight="1" x14ac:dyDescent="0.3">
      <c r="A123" s="198"/>
      <c r="B123" s="199"/>
      <c r="C123" s="199"/>
      <c r="D123" s="199"/>
      <c r="E123" s="199"/>
      <c r="F123" s="199"/>
      <c r="G123" s="199"/>
      <c r="H123" s="199"/>
      <c r="I123" s="200"/>
      <c r="J123" s="114"/>
      <c r="K123" s="114"/>
      <c r="L123" s="114"/>
    </row>
    <row r="124" spans="1:13" hidden="1" x14ac:dyDescent="0.3">
      <c r="A124" s="198"/>
      <c r="B124" s="199"/>
      <c r="C124" s="199"/>
      <c r="D124" s="199"/>
      <c r="E124" s="199"/>
      <c r="F124" s="199"/>
      <c r="G124" s="199"/>
      <c r="H124" s="199"/>
      <c r="I124" s="200"/>
      <c r="J124" s="114"/>
      <c r="K124" s="114"/>
      <c r="L124" s="114"/>
    </row>
    <row r="125" spans="1:13" hidden="1" x14ac:dyDescent="0.3">
      <c r="A125" s="198"/>
      <c r="B125" s="199"/>
      <c r="C125" s="199"/>
      <c r="D125" s="199"/>
      <c r="E125" s="199"/>
      <c r="F125" s="199"/>
      <c r="G125" s="199"/>
      <c r="H125" s="199"/>
      <c r="I125" s="200"/>
      <c r="J125" s="114"/>
      <c r="K125" s="114"/>
      <c r="L125" s="114"/>
    </row>
    <row r="126" spans="1:13" hidden="1" x14ac:dyDescent="0.3">
      <c r="A126" s="198"/>
      <c r="B126" s="199"/>
      <c r="C126" s="199"/>
      <c r="D126" s="199"/>
      <c r="E126" s="199"/>
      <c r="F126" s="199"/>
      <c r="G126" s="199"/>
      <c r="H126" s="199"/>
      <c r="I126" s="200"/>
      <c r="J126" s="114"/>
      <c r="K126" s="128"/>
      <c r="L126" s="128"/>
    </row>
    <row r="127" spans="1:13" hidden="1" x14ac:dyDescent="0.3">
      <c r="A127" s="252"/>
      <c r="B127" s="199"/>
      <c r="C127" s="199"/>
      <c r="D127" s="199"/>
      <c r="E127" s="199"/>
      <c r="F127" s="199"/>
      <c r="G127" s="199"/>
      <c r="H127" s="199"/>
      <c r="I127" s="200"/>
      <c r="J127" s="114"/>
      <c r="K127" s="128"/>
      <c r="L127" s="128"/>
    </row>
    <row r="128" spans="1:13" hidden="1" x14ac:dyDescent="0.3">
      <c r="A128" s="206"/>
      <c r="B128" s="199"/>
      <c r="C128" s="199"/>
      <c r="D128" s="199"/>
      <c r="E128" s="199"/>
      <c r="F128" s="199"/>
      <c r="G128" s="199"/>
      <c r="H128" s="199"/>
      <c r="I128" s="200"/>
      <c r="J128" s="114"/>
      <c r="K128" s="128"/>
      <c r="L128" s="128"/>
    </row>
    <row r="129" spans="1:12" hidden="1" x14ac:dyDescent="0.3">
      <c r="A129" s="206"/>
      <c r="B129" s="199"/>
      <c r="C129" s="199"/>
      <c r="D129" s="199"/>
      <c r="E129" s="199"/>
      <c r="F129" s="199"/>
      <c r="G129" s="199"/>
      <c r="H129" s="199"/>
      <c r="I129" s="200"/>
      <c r="J129" s="114"/>
      <c r="K129" s="247"/>
      <c r="L129" s="247"/>
    </row>
    <row r="130" spans="1:12" hidden="1" x14ac:dyDescent="0.3">
      <c r="A130" s="206"/>
      <c r="B130" s="199"/>
      <c r="C130" s="199"/>
      <c r="D130" s="199"/>
      <c r="E130" s="199"/>
      <c r="F130" s="199"/>
      <c r="G130" s="199"/>
      <c r="H130" s="199"/>
      <c r="I130" s="253"/>
      <c r="J130" s="114"/>
      <c r="K130" s="128"/>
      <c r="L130" s="128"/>
    </row>
    <row r="131" spans="1:12" hidden="1" x14ac:dyDescent="0.3">
      <c r="A131" s="198"/>
      <c r="B131" s="199"/>
      <c r="C131" s="199"/>
      <c r="D131" s="199"/>
      <c r="E131" s="199"/>
      <c r="F131" s="199"/>
      <c r="G131" s="199"/>
      <c r="H131" s="199"/>
      <c r="I131" s="200"/>
      <c r="J131" s="114"/>
      <c r="K131" s="247"/>
      <c r="L131" s="247"/>
    </row>
    <row r="132" spans="1:12" hidden="1" x14ac:dyDescent="0.3">
      <c r="A132" s="198"/>
      <c r="B132" s="199"/>
      <c r="C132" s="199"/>
      <c r="D132" s="199"/>
      <c r="E132" s="199"/>
      <c r="F132" s="199"/>
      <c r="G132" s="199"/>
      <c r="H132" s="199"/>
      <c r="I132" s="200"/>
      <c r="J132" s="114"/>
      <c r="K132" s="247"/>
      <c r="L132" s="247"/>
    </row>
    <row r="133" spans="1:12" hidden="1" x14ac:dyDescent="0.3">
      <c r="A133" s="198"/>
      <c r="B133" s="199"/>
      <c r="C133" s="199"/>
      <c r="D133" s="199"/>
      <c r="E133" s="199"/>
      <c r="F133" s="199"/>
      <c r="G133" s="199"/>
      <c r="H133" s="225"/>
      <c r="I133" s="200"/>
      <c r="J133" s="114"/>
      <c r="K133" s="128"/>
      <c r="L133" s="128"/>
    </row>
    <row r="134" spans="1:12" hidden="1" x14ac:dyDescent="0.3">
      <c r="A134" s="198"/>
      <c r="B134" s="199"/>
      <c r="C134" s="199"/>
      <c r="D134" s="199"/>
      <c r="E134" s="199"/>
      <c r="F134" s="199"/>
      <c r="G134" s="199"/>
      <c r="H134" s="199"/>
      <c r="I134" s="200"/>
      <c r="J134" s="114"/>
      <c r="K134" s="128"/>
      <c r="L134" s="128"/>
    </row>
    <row r="135" spans="1:12" hidden="1" x14ac:dyDescent="0.3">
      <c r="A135" s="198"/>
      <c r="B135" s="199"/>
      <c r="C135" s="199"/>
      <c r="D135" s="199"/>
      <c r="E135" s="199"/>
      <c r="F135" s="199"/>
      <c r="G135" s="199"/>
      <c r="H135" s="225"/>
      <c r="I135" s="200"/>
      <c r="J135" s="114"/>
      <c r="K135" s="128"/>
      <c r="L135" s="128"/>
    </row>
    <row r="136" spans="1:12" hidden="1" x14ac:dyDescent="0.3">
      <c r="A136" s="206"/>
      <c r="B136" s="199"/>
      <c r="C136" s="199"/>
      <c r="D136" s="199"/>
      <c r="E136" s="199"/>
      <c r="F136" s="199"/>
      <c r="G136" s="199"/>
      <c r="H136" s="199"/>
      <c r="I136" s="200"/>
      <c r="J136" s="114"/>
      <c r="K136" s="128"/>
      <c r="L136" s="128"/>
    </row>
    <row r="137" spans="1:12" hidden="1" x14ac:dyDescent="0.3">
      <c r="A137" s="198"/>
      <c r="B137" s="199"/>
      <c r="C137" s="199"/>
      <c r="D137" s="199"/>
      <c r="E137" s="199"/>
      <c r="F137" s="199"/>
      <c r="G137" s="199"/>
      <c r="H137" s="199"/>
      <c r="I137" s="200"/>
      <c r="J137" s="114"/>
      <c r="K137" s="128"/>
      <c r="L137" s="128"/>
    </row>
    <row r="138" spans="1:12" hidden="1" x14ac:dyDescent="0.3">
      <c r="A138" s="198"/>
      <c r="B138" s="199"/>
      <c r="C138" s="199"/>
      <c r="D138" s="199"/>
      <c r="E138" s="199"/>
      <c r="F138" s="199"/>
      <c r="G138" s="199"/>
      <c r="H138" s="199"/>
      <c r="I138" s="200"/>
      <c r="J138" s="114"/>
      <c r="K138" s="128"/>
      <c r="L138" s="128"/>
    </row>
    <row r="139" spans="1:12" hidden="1" x14ac:dyDescent="0.3">
      <c r="A139" s="198"/>
      <c r="B139" s="199"/>
      <c r="C139" s="199"/>
      <c r="D139" s="199"/>
      <c r="E139" s="199"/>
      <c r="F139" s="199"/>
      <c r="G139" s="199"/>
      <c r="H139" s="199"/>
      <c r="I139" s="200"/>
      <c r="J139" s="114"/>
      <c r="K139" s="128"/>
      <c r="L139" s="128"/>
    </row>
    <row r="140" spans="1:12" hidden="1" x14ac:dyDescent="0.3">
      <c r="A140" s="198"/>
      <c r="B140" s="199"/>
      <c r="C140" s="199"/>
      <c r="D140" s="199"/>
      <c r="E140" s="199"/>
      <c r="F140" s="199"/>
      <c r="G140" s="199"/>
      <c r="H140" s="199"/>
      <c r="I140" s="200"/>
      <c r="J140" s="114"/>
      <c r="K140" s="128"/>
      <c r="L140" s="128"/>
    </row>
    <row r="141" spans="1:12" hidden="1" x14ac:dyDescent="0.3">
      <c r="A141" s="198"/>
      <c r="B141" s="199"/>
      <c r="C141" s="199"/>
      <c r="D141" s="199"/>
      <c r="E141" s="199"/>
      <c r="F141" s="199"/>
      <c r="G141" s="199"/>
      <c r="H141" s="199"/>
      <c r="I141" s="200"/>
      <c r="J141" s="114"/>
      <c r="K141" s="128"/>
      <c r="L141" s="128"/>
    </row>
    <row r="142" spans="1:12" hidden="1" x14ac:dyDescent="0.3">
      <c r="A142" s="198"/>
      <c r="B142" s="199"/>
      <c r="C142" s="199"/>
      <c r="D142" s="199"/>
      <c r="E142" s="199"/>
      <c r="F142" s="199"/>
      <c r="G142" s="199"/>
      <c r="H142" s="199"/>
      <c r="I142" s="200"/>
      <c r="J142" s="114"/>
      <c r="K142" s="128"/>
      <c r="L142" s="128"/>
    </row>
    <row r="143" spans="1:12" hidden="1" x14ac:dyDescent="0.3">
      <c r="A143" s="206"/>
      <c r="B143" s="199"/>
      <c r="C143" s="199"/>
      <c r="D143" s="199"/>
      <c r="E143" s="199"/>
      <c r="F143" s="199"/>
      <c r="G143" s="199"/>
      <c r="H143" s="199"/>
      <c r="I143" s="200"/>
      <c r="J143" s="114"/>
      <c r="K143" s="128"/>
      <c r="L143" s="128"/>
    </row>
    <row r="144" spans="1:12" hidden="1" x14ac:dyDescent="0.3">
      <c r="A144" s="206"/>
      <c r="B144" s="199"/>
      <c r="C144" s="199"/>
      <c r="D144" s="199"/>
      <c r="E144" s="199"/>
      <c r="F144" s="199"/>
      <c r="G144" s="199"/>
      <c r="H144" s="199"/>
      <c r="I144" s="200"/>
      <c r="J144" s="114"/>
      <c r="K144" s="128"/>
      <c r="L144" s="128"/>
    </row>
    <row r="145" spans="1:12" hidden="1" x14ac:dyDescent="0.3">
      <c r="A145" s="206"/>
      <c r="B145" s="199"/>
      <c r="C145" s="199"/>
      <c r="D145" s="199"/>
      <c r="E145" s="199"/>
      <c r="F145" s="199"/>
      <c r="G145" s="199"/>
      <c r="H145" s="199"/>
      <c r="I145" s="200"/>
      <c r="J145" s="114"/>
      <c r="K145" s="128"/>
      <c r="L145" s="128"/>
    </row>
    <row r="146" spans="1:12" hidden="1" x14ac:dyDescent="0.3">
      <c r="A146" s="206"/>
      <c r="B146" s="199"/>
      <c r="C146" s="199"/>
      <c r="D146" s="199"/>
      <c r="E146" s="199"/>
      <c r="F146" s="199"/>
      <c r="G146" s="199"/>
      <c r="H146" s="199"/>
      <c r="I146" s="200"/>
      <c r="J146" s="114"/>
      <c r="K146" s="128"/>
      <c r="L146" s="128"/>
    </row>
    <row r="147" spans="1:12" hidden="1" x14ac:dyDescent="0.3">
      <c r="A147" s="206"/>
      <c r="B147" s="199"/>
      <c r="C147" s="199"/>
      <c r="D147" s="199"/>
      <c r="E147" s="199"/>
      <c r="F147" s="199"/>
      <c r="G147" s="199"/>
      <c r="H147" s="199"/>
      <c r="I147" s="200"/>
      <c r="J147" s="114"/>
      <c r="K147" s="128"/>
      <c r="L147" s="128"/>
    </row>
    <row r="148" spans="1:12" hidden="1" x14ac:dyDescent="0.3">
      <c r="A148" s="198"/>
      <c r="B148" s="199"/>
      <c r="C148" s="199"/>
      <c r="D148" s="199"/>
      <c r="E148" s="199"/>
      <c r="F148" s="199"/>
      <c r="G148" s="199"/>
      <c r="H148" s="199"/>
      <c r="I148" s="200"/>
      <c r="J148" s="114"/>
      <c r="K148" s="128"/>
      <c r="L148" s="128"/>
    </row>
    <row r="149" spans="1:12" hidden="1" x14ac:dyDescent="0.3">
      <c r="A149" s="198"/>
      <c r="B149" s="199"/>
      <c r="C149" s="199"/>
      <c r="D149" s="199"/>
      <c r="E149" s="199"/>
      <c r="F149" s="199"/>
      <c r="G149" s="199"/>
      <c r="H149" s="250"/>
      <c r="I149" s="200"/>
      <c r="J149" s="114"/>
      <c r="K149" s="128"/>
      <c r="L149" s="128"/>
    </row>
    <row r="150" spans="1:12" hidden="1" x14ac:dyDescent="0.3">
      <c r="A150" s="198"/>
      <c r="B150" s="199"/>
      <c r="C150" s="199"/>
      <c r="D150" s="199"/>
      <c r="E150" s="199"/>
      <c r="F150" s="199"/>
      <c r="G150" s="199"/>
      <c r="H150" s="199"/>
      <c r="I150" s="200"/>
      <c r="J150" s="114"/>
      <c r="K150" s="128"/>
      <c r="L150" s="128"/>
    </row>
    <row r="151" spans="1:12" hidden="1" x14ac:dyDescent="0.3">
      <c r="A151" s="198"/>
      <c r="B151" s="199"/>
      <c r="C151" s="199"/>
      <c r="D151" s="199"/>
      <c r="E151" s="199"/>
      <c r="F151" s="199"/>
      <c r="G151" s="199"/>
      <c r="H151" s="250"/>
      <c r="I151" s="200"/>
      <c r="J151" s="114"/>
      <c r="K151" s="128"/>
      <c r="L151" s="128"/>
    </row>
    <row r="152" spans="1:12" x14ac:dyDescent="0.3">
      <c r="A152" s="126"/>
      <c r="B152" s="1195" t="s">
        <v>950</v>
      </c>
      <c r="C152" s="1196"/>
      <c r="D152" s="1196"/>
      <c r="E152" s="1196"/>
      <c r="F152" s="1196"/>
      <c r="G152" s="1196"/>
      <c r="H152" s="1196"/>
      <c r="I152" s="1197"/>
      <c r="J152" s="116">
        <f>J162+J163</f>
        <v>0</v>
      </c>
      <c r="K152" s="116">
        <f>K153+K154+K155+K156+K157+K160+K158+K159</f>
        <v>0</v>
      </c>
      <c r="L152" s="116">
        <f>L153+L154+L155+L156+L157+L160+L158+L159</f>
        <v>0</v>
      </c>
    </row>
    <row r="153" spans="1:12" x14ac:dyDescent="0.3">
      <c r="A153" s="206"/>
      <c r="B153" s="199"/>
      <c r="C153" s="199"/>
      <c r="D153" s="199"/>
      <c r="E153" s="199"/>
      <c r="F153" s="199"/>
      <c r="G153" s="199"/>
      <c r="H153" s="199"/>
      <c r="I153" s="200"/>
      <c r="J153" s="114"/>
      <c r="K153" s="128"/>
      <c r="L153" s="128"/>
    </row>
    <row r="154" spans="1:12" x14ac:dyDescent="0.3">
      <c r="A154" s="206"/>
      <c r="B154" s="199"/>
      <c r="C154" s="199"/>
      <c r="D154" s="199"/>
      <c r="E154" s="199"/>
      <c r="F154" s="199"/>
      <c r="G154" s="199"/>
      <c r="H154" s="199"/>
      <c r="I154" s="200"/>
      <c r="J154" s="114"/>
      <c r="K154" s="128"/>
      <c r="L154" s="128"/>
    </row>
    <row r="155" spans="1:12" x14ac:dyDescent="0.3">
      <c r="A155" s="206"/>
      <c r="B155" s="199"/>
      <c r="C155" s="199"/>
      <c r="D155" s="199"/>
      <c r="E155" s="199"/>
      <c r="F155" s="199"/>
      <c r="G155" s="199"/>
      <c r="H155" s="199"/>
      <c r="I155" s="200"/>
      <c r="J155" s="114"/>
      <c r="K155" s="128"/>
      <c r="L155" s="128"/>
    </row>
    <row r="156" spans="1:12" x14ac:dyDescent="0.3">
      <c r="A156" s="206"/>
      <c r="B156" s="199"/>
      <c r="C156" s="199"/>
      <c r="D156" s="199"/>
      <c r="E156" s="199"/>
      <c r="F156" s="199"/>
      <c r="G156" s="199"/>
      <c r="H156" s="225"/>
      <c r="I156" s="200"/>
      <c r="J156" s="114"/>
      <c r="K156" s="128"/>
      <c r="L156" s="128"/>
    </row>
    <row r="157" spans="1:12" hidden="1" x14ac:dyDescent="0.3">
      <c r="A157" s="122"/>
      <c r="B157" s="199"/>
      <c r="C157" s="199"/>
      <c r="D157" s="199"/>
      <c r="E157" s="199"/>
      <c r="F157" s="199"/>
      <c r="G157" s="199"/>
      <c r="H157" s="254"/>
      <c r="I157" s="200"/>
      <c r="J157" s="114"/>
      <c r="K157" s="128"/>
      <c r="L157" s="128"/>
    </row>
    <row r="158" spans="1:12" hidden="1" x14ac:dyDescent="0.3">
      <c r="A158" s="126"/>
      <c r="B158" s="255"/>
      <c r="C158" s="256"/>
      <c r="D158" s="256"/>
      <c r="E158" s="256"/>
      <c r="F158" s="256"/>
      <c r="G158" s="257"/>
      <c r="H158" s="257"/>
      <c r="I158" s="208"/>
      <c r="J158" s="114"/>
      <c r="K158" s="128"/>
      <c r="L158" s="128"/>
    </row>
    <row r="159" spans="1:12" hidden="1" x14ac:dyDescent="0.3">
      <c r="A159" s="126"/>
      <c r="B159" s="255"/>
      <c r="C159" s="256"/>
      <c r="D159" s="256"/>
      <c r="E159" s="256"/>
      <c r="F159" s="256"/>
      <c r="G159" s="257"/>
      <c r="H159" s="257"/>
      <c r="I159" s="208"/>
      <c r="J159" s="114"/>
      <c r="K159" s="128"/>
      <c r="L159" s="128"/>
    </row>
    <row r="160" spans="1:12" hidden="1" x14ac:dyDescent="0.3">
      <c r="A160" s="126"/>
      <c r="B160" s="324"/>
      <c r="C160" s="322"/>
      <c r="D160" s="322"/>
      <c r="E160" s="322"/>
      <c r="F160" s="322"/>
      <c r="G160" s="260"/>
      <c r="H160" s="260"/>
      <c r="I160" s="112"/>
      <c r="J160" s="114"/>
      <c r="K160" s="128"/>
      <c r="L160" s="128"/>
    </row>
    <row r="161" spans="1:12" hidden="1" x14ac:dyDescent="0.3">
      <c r="A161" s="126"/>
      <c r="B161" s="322"/>
      <c r="C161" s="322"/>
      <c r="D161" s="322"/>
      <c r="E161" s="322"/>
      <c r="F161" s="322"/>
      <c r="G161" s="260"/>
      <c r="H161" s="260"/>
      <c r="I161" s="112"/>
      <c r="J161" s="114"/>
      <c r="K161" s="128"/>
      <c r="L161" s="128"/>
    </row>
    <row r="162" spans="1:12" hidden="1" x14ac:dyDescent="0.3">
      <c r="A162" s="126"/>
      <c r="B162" s="322"/>
      <c r="C162" s="322"/>
      <c r="D162" s="322"/>
      <c r="E162" s="322"/>
      <c r="F162" s="322"/>
      <c r="G162" s="260"/>
      <c r="H162" s="260"/>
      <c r="I162" s="181"/>
      <c r="J162" s="114"/>
      <c r="K162" s="128"/>
      <c r="L162" s="128"/>
    </row>
    <row r="163" spans="1:12" hidden="1" x14ac:dyDescent="0.3">
      <c r="A163" s="126"/>
      <c r="B163" s="322"/>
      <c r="C163" s="322"/>
      <c r="D163" s="322"/>
      <c r="E163" s="322"/>
      <c r="F163" s="322"/>
      <c r="G163" s="260"/>
      <c r="H163" s="260"/>
      <c r="I163" s="112"/>
      <c r="J163" s="114"/>
      <c r="K163" s="128"/>
      <c r="L163" s="128"/>
    </row>
    <row r="164" spans="1:12" hidden="1" x14ac:dyDescent="0.3">
      <c r="A164" s="126"/>
      <c r="B164" s="322"/>
      <c r="C164" s="322"/>
      <c r="D164" s="322"/>
      <c r="E164" s="322"/>
      <c r="F164" s="322"/>
      <c r="G164" s="260"/>
      <c r="H164" s="260"/>
      <c r="I164" s="112"/>
      <c r="J164" s="114"/>
      <c r="K164" s="128"/>
      <c r="L164" s="128"/>
    </row>
    <row r="165" spans="1:12" hidden="1" x14ac:dyDescent="0.3">
      <c r="A165" s="126"/>
      <c r="B165" s="322"/>
      <c r="C165" s="322"/>
      <c r="D165" s="322"/>
      <c r="E165" s="322"/>
      <c r="F165" s="322"/>
      <c r="G165" s="260"/>
      <c r="H165" s="260"/>
      <c r="I165" s="112"/>
      <c r="J165" s="114"/>
      <c r="K165" s="128"/>
      <c r="L165" s="128"/>
    </row>
    <row r="166" spans="1:12" x14ac:dyDescent="0.3">
      <c r="A166" s="126"/>
      <c r="B166" s="1198" t="s">
        <v>951</v>
      </c>
      <c r="C166" s="1199"/>
      <c r="D166" s="1199"/>
      <c r="E166" s="1199"/>
      <c r="F166" s="1199"/>
      <c r="G166" s="1199"/>
      <c r="H166" s="1199"/>
      <c r="I166" s="1200"/>
      <c r="J166" s="116">
        <f>J167+J168+J169</f>
        <v>0</v>
      </c>
      <c r="K166" s="116">
        <f>K167+K168+K169</f>
        <v>0</v>
      </c>
      <c r="L166" s="116">
        <f>L167+L168+L169</f>
        <v>0</v>
      </c>
    </row>
    <row r="167" spans="1:12" x14ac:dyDescent="0.3">
      <c r="A167" s="122"/>
      <c r="B167" s="199"/>
      <c r="C167" s="199"/>
      <c r="D167" s="199"/>
      <c r="E167" s="199"/>
      <c r="F167" s="199"/>
      <c r="G167" s="250"/>
      <c r="H167" s="224"/>
      <c r="I167" s="200"/>
      <c r="J167" s="114"/>
      <c r="K167" s="128"/>
      <c r="L167" s="128"/>
    </row>
    <row r="168" spans="1:12" x14ac:dyDescent="0.3">
      <c r="A168" s="321"/>
      <c r="B168" s="199"/>
      <c r="C168" s="199"/>
      <c r="D168" s="199"/>
      <c r="E168" s="199"/>
      <c r="F168" s="199"/>
      <c r="G168" s="250"/>
      <c r="H168" s="225"/>
      <c r="I168" s="200"/>
      <c r="J168" s="114"/>
      <c r="K168" s="128"/>
      <c r="L168" s="128"/>
    </row>
    <row r="169" spans="1:12" ht="15" customHeight="1" x14ac:dyDescent="0.3">
      <c r="A169" s="122"/>
      <c r="B169" s="199"/>
      <c r="C169" s="199"/>
      <c r="D169" s="199"/>
      <c r="E169" s="199"/>
      <c r="F169" s="199"/>
      <c r="G169" s="250"/>
      <c r="H169" s="225"/>
      <c r="I169" s="200"/>
      <c r="J169" s="114"/>
      <c r="K169" s="128"/>
      <c r="L169" s="128"/>
    </row>
    <row r="170" spans="1:12" hidden="1" x14ac:dyDescent="0.3">
      <c r="A170" s="122"/>
      <c r="B170" s="199"/>
      <c r="C170" s="199"/>
      <c r="D170" s="199"/>
      <c r="E170" s="199"/>
      <c r="F170" s="199"/>
      <c r="G170" s="199"/>
      <c r="H170" s="199"/>
      <c r="I170" s="200"/>
      <c r="J170" s="114"/>
      <c r="K170" s="128"/>
      <c r="L170" s="128"/>
    </row>
    <row r="171" spans="1:12" hidden="1" x14ac:dyDescent="0.3">
      <c r="A171" s="126"/>
      <c r="B171" s="262"/>
      <c r="C171" s="260"/>
      <c r="D171" s="260"/>
      <c r="E171" s="260"/>
      <c r="F171" s="260"/>
      <c r="G171" s="260"/>
      <c r="H171" s="260"/>
      <c r="I171" s="112"/>
      <c r="J171" s="114"/>
      <c r="K171" s="128"/>
      <c r="L171" s="128"/>
    </row>
    <row r="172" spans="1:12" hidden="1" x14ac:dyDescent="0.3">
      <c r="A172" s="126"/>
      <c r="B172" s="262"/>
      <c r="C172" s="260"/>
      <c r="D172" s="260"/>
      <c r="E172" s="260"/>
      <c r="F172" s="260"/>
      <c r="G172" s="260"/>
      <c r="H172" s="260"/>
      <c r="I172" s="112"/>
      <c r="J172" s="114"/>
      <c r="K172" s="128"/>
      <c r="L172" s="128"/>
    </row>
    <row r="173" spans="1:12" x14ac:dyDescent="0.3">
      <c r="A173" s="126"/>
      <c r="B173" s="1195" t="s">
        <v>952</v>
      </c>
      <c r="C173" s="1196"/>
      <c r="D173" s="1196"/>
      <c r="E173" s="1196"/>
      <c r="F173" s="1196"/>
      <c r="G173" s="1196"/>
      <c r="H173" s="1196"/>
      <c r="I173" s="1197"/>
      <c r="J173" s="116">
        <f>J174+J175+J176+J177+J178+J179+J180+J181</f>
        <v>1750191.15</v>
      </c>
      <c r="K173" s="116">
        <f>K175+K176+K177+K181</f>
        <v>0</v>
      </c>
      <c r="L173" s="116">
        <f>L175+L176+L177+L181</f>
        <v>0</v>
      </c>
    </row>
    <row r="174" spans="1:12" ht="31.2" x14ac:dyDescent="0.3">
      <c r="A174" s="126">
        <v>3</v>
      </c>
      <c r="B174" s="322" t="s">
        <v>121</v>
      </c>
      <c r="C174" s="322" t="s">
        <v>347</v>
      </c>
      <c r="D174" s="322" t="s">
        <v>335</v>
      </c>
      <c r="E174" s="322" t="s">
        <v>316</v>
      </c>
      <c r="F174" s="322" t="s">
        <v>318</v>
      </c>
      <c r="G174" s="322" t="s">
        <v>1052</v>
      </c>
      <c r="H174" s="322" t="s">
        <v>162</v>
      </c>
      <c r="I174" s="181" t="s">
        <v>873</v>
      </c>
      <c r="J174" s="114">
        <v>1635414</v>
      </c>
      <c r="K174" s="114"/>
      <c r="L174" s="114"/>
    </row>
    <row r="175" spans="1:12" ht="31.2" x14ac:dyDescent="0.3">
      <c r="A175" s="126">
        <v>4</v>
      </c>
      <c r="B175" s="298" t="s">
        <v>121</v>
      </c>
      <c r="C175" s="298" t="s">
        <v>347</v>
      </c>
      <c r="D175" s="298" t="s">
        <v>335</v>
      </c>
      <c r="E175" s="298" t="s">
        <v>316</v>
      </c>
      <c r="F175" s="298" t="s">
        <v>318</v>
      </c>
      <c r="G175" s="298" t="s">
        <v>1052</v>
      </c>
      <c r="H175" s="302" t="s">
        <v>586</v>
      </c>
      <c r="I175" s="181" t="s">
        <v>873</v>
      </c>
      <c r="J175" s="114">
        <v>114777.15</v>
      </c>
      <c r="K175" s="300"/>
      <c r="L175" s="300"/>
    </row>
    <row r="176" spans="1:12" x14ac:dyDescent="0.3">
      <c r="A176" s="126"/>
      <c r="B176" s="199"/>
      <c r="C176" s="199"/>
      <c r="D176" s="199"/>
      <c r="E176" s="199"/>
      <c r="F176" s="199"/>
      <c r="G176" s="199"/>
      <c r="H176" s="199"/>
      <c r="I176" s="186"/>
      <c r="J176" s="114"/>
      <c r="K176" s="154"/>
      <c r="L176" s="154"/>
    </row>
    <row r="177" spans="1:12" hidden="1" x14ac:dyDescent="0.3">
      <c r="A177" s="126"/>
      <c r="B177" s="199"/>
      <c r="C177" s="199"/>
      <c r="D177" s="199"/>
      <c r="E177" s="199"/>
      <c r="F177" s="199"/>
      <c r="G177" s="199"/>
      <c r="H177" s="224"/>
      <c r="I177" s="295"/>
      <c r="J177" s="114"/>
      <c r="K177" s="128"/>
      <c r="L177" s="128"/>
    </row>
    <row r="178" spans="1:12" hidden="1" x14ac:dyDescent="0.3">
      <c r="A178" s="126"/>
      <c r="B178" s="199"/>
      <c r="C178" s="199"/>
      <c r="D178" s="199"/>
      <c r="E178" s="199"/>
      <c r="F178" s="199"/>
      <c r="G178" s="199"/>
      <c r="H178" s="224"/>
      <c r="I178" s="181"/>
      <c r="J178" s="114"/>
      <c r="K178" s="128"/>
      <c r="L178" s="128"/>
    </row>
    <row r="179" spans="1:12" hidden="1" x14ac:dyDescent="0.3">
      <c r="A179" s="126"/>
      <c r="B179" s="199"/>
      <c r="C179" s="199"/>
      <c r="D179" s="199"/>
      <c r="E179" s="199"/>
      <c r="F179" s="199"/>
      <c r="G179" s="199"/>
      <c r="H179" s="224"/>
      <c r="I179" s="181"/>
      <c r="J179" s="114"/>
      <c r="K179" s="128"/>
      <c r="L179" s="128"/>
    </row>
    <row r="180" spans="1:12" hidden="1" x14ac:dyDescent="0.3">
      <c r="A180" s="126"/>
      <c r="B180" s="199"/>
      <c r="C180" s="199"/>
      <c r="D180" s="199"/>
      <c r="E180" s="199"/>
      <c r="F180" s="199"/>
      <c r="G180" s="199"/>
      <c r="H180" s="224"/>
      <c r="I180" s="306"/>
      <c r="J180" s="114"/>
      <c r="K180" s="128"/>
      <c r="L180" s="128"/>
    </row>
    <row r="181" spans="1:12" s="1" customFormat="1" hidden="1" x14ac:dyDescent="0.3">
      <c r="A181" s="227"/>
      <c r="B181" s="199"/>
      <c r="C181" s="199"/>
      <c r="D181" s="199"/>
      <c r="E181" s="199"/>
      <c r="F181" s="199"/>
      <c r="G181" s="199"/>
      <c r="H181" s="199"/>
      <c r="I181" s="295"/>
      <c r="J181" s="114"/>
      <c r="K181" s="128"/>
      <c r="L181" s="128"/>
    </row>
    <row r="182" spans="1:12" s="1" customFormat="1" hidden="1" x14ac:dyDescent="0.3">
      <c r="A182" s="263"/>
      <c r="B182" s="199"/>
      <c r="C182" s="199"/>
      <c r="D182" s="199"/>
      <c r="E182" s="199"/>
      <c r="F182" s="199"/>
      <c r="G182" s="199"/>
      <c r="H182" s="199"/>
      <c r="I182" s="200"/>
      <c r="J182" s="114"/>
      <c r="K182" s="128"/>
      <c r="L182" s="128"/>
    </row>
    <row r="183" spans="1:12" hidden="1" x14ac:dyDescent="0.3">
      <c r="A183" s="122"/>
      <c r="B183" s="199"/>
      <c r="C183" s="199"/>
      <c r="D183" s="199"/>
      <c r="E183" s="199"/>
      <c r="F183" s="199"/>
      <c r="G183" s="199"/>
      <c r="H183" s="199"/>
      <c r="I183" s="200"/>
      <c r="J183" s="114"/>
      <c r="K183" s="128"/>
      <c r="L183" s="128"/>
    </row>
    <row r="184" spans="1:12" hidden="1" x14ac:dyDescent="0.3">
      <c r="A184" s="122"/>
      <c r="B184" s="199"/>
      <c r="C184" s="199"/>
      <c r="D184" s="199"/>
      <c r="E184" s="199"/>
      <c r="F184" s="199"/>
      <c r="G184" s="199"/>
      <c r="H184" s="199"/>
      <c r="I184" s="200"/>
      <c r="J184" s="114"/>
      <c r="K184" s="128"/>
      <c r="L184" s="128"/>
    </row>
    <row r="185" spans="1:12" hidden="1" x14ac:dyDescent="0.3">
      <c r="A185" s="126"/>
      <c r="B185" s="255"/>
      <c r="C185" s="256"/>
      <c r="D185" s="256"/>
      <c r="E185" s="256"/>
      <c r="F185" s="256"/>
      <c r="G185" s="257"/>
      <c r="H185" s="257"/>
      <c r="I185" s="208"/>
      <c r="J185" s="114"/>
      <c r="K185" s="128"/>
      <c r="L185" s="128"/>
    </row>
    <row r="186" spans="1:12" hidden="1" x14ac:dyDescent="0.3">
      <c r="A186" s="126"/>
      <c r="B186" s="255"/>
      <c r="C186" s="256"/>
      <c r="D186" s="256"/>
      <c r="E186" s="256"/>
      <c r="F186" s="256"/>
      <c r="G186" s="257"/>
      <c r="H186" s="257"/>
      <c r="I186" s="208"/>
      <c r="J186" s="114"/>
      <c r="K186" s="128"/>
      <c r="L186" s="128"/>
    </row>
    <row r="187" spans="1:12" hidden="1" x14ac:dyDescent="0.3">
      <c r="A187" s="126"/>
      <c r="B187" s="255"/>
      <c r="C187" s="256"/>
      <c r="D187" s="256"/>
      <c r="E187" s="256"/>
      <c r="F187" s="256"/>
      <c r="G187" s="257"/>
      <c r="H187" s="257"/>
      <c r="I187" s="208"/>
      <c r="J187" s="114"/>
      <c r="K187" s="128"/>
      <c r="L187" s="128"/>
    </row>
    <row r="188" spans="1:12" hidden="1" x14ac:dyDescent="0.3">
      <c r="A188" s="126"/>
      <c r="B188" s="255"/>
      <c r="C188" s="256"/>
      <c r="D188" s="256"/>
      <c r="E188" s="256"/>
      <c r="F188" s="256"/>
      <c r="G188" s="257"/>
      <c r="H188" s="257"/>
      <c r="I188" s="208"/>
      <c r="J188" s="114"/>
      <c r="K188" s="128"/>
      <c r="L188" s="128"/>
    </row>
    <row r="189" spans="1:12" x14ac:dyDescent="0.3">
      <c r="A189" s="126"/>
      <c r="B189" s="1185" t="s">
        <v>953</v>
      </c>
      <c r="C189" s="1186"/>
      <c r="D189" s="1186"/>
      <c r="E189" s="1186"/>
      <c r="F189" s="1186"/>
      <c r="G189" s="1186"/>
      <c r="H189" s="1186"/>
      <c r="I189" s="1187"/>
      <c r="J189" s="116">
        <f>J193+J192+J191+J190</f>
        <v>0</v>
      </c>
      <c r="K189" s="116">
        <f>K193+K192+K191+K190</f>
        <v>0</v>
      </c>
      <c r="L189" s="116">
        <f>L193+L192+L191+L190</f>
        <v>0</v>
      </c>
    </row>
    <row r="190" spans="1:12" x14ac:dyDescent="0.3">
      <c r="A190" s="206"/>
      <c r="B190" s="199"/>
      <c r="C190" s="199"/>
      <c r="D190" s="199"/>
      <c r="E190" s="199"/>
      <c r="F190" s="199"/>
      <c r="G190" s="199"/>
      <c r="H190" s="199"/>
      <c r="I190" s="181"/>
      <c r="J190" s="114"/>
      <c r="K190" s="128"/>
      <c r="L190" s="128"/>
    </row>
    <row r="191" spans="1:12" x14ac:dyDescent="0.3">
      <c r="A191" s="206"/>
      <c r="B191" s="199"/>
      <c r="C191" s="199"/>
      <c r="D191" s="199"/>
      <c r="E191" s="199"/>
      <c r="F191" s="199"/>
      <c r="G191" s="199"/>
      <c r="H191" s="199"/>
      <c r="I191" s="181"/>
      <c r="J191" s="114"/>
      <c r="K191" s="128"/>
      <c r="L191" s="128"/>
    </row>
    <row r="192" spans="1:12" x14ac:dyDescent="0.3">
      <c r="A192" s="126"/>
      <c r="B192" s="199"/>
      <c r="C192" s="199"/>
      <c r="D192" s="199"/>
      <c r="E192" s="199"/>
      <c r="F192" s="199"/>
      <c r="G192" s="199"/>
      <c r="H192" s="199"/>
      <c r="I192" s="200"/>
      <c r="J192" s="114"/>
      <c r="K192" s="128"/>
      <c r="L192" s="128"/>
    </row>
    <row r="193" spans="1:12" x14ac:dyDescent="0.3">
      <c r="A193" s="126"/>
      <c r="B193" s="324"/>
      <c r="C193" s="322"/>
      <c r="D193" s="322"/>
      <c r="E193" s="322"/>
      <c r="F193" s="322"/>
      <c r="G193" s="260"/>
      <c r="H193" s="260"/>
      <c r="I193" s="112"/>
      <c r="J193" s="114"/>
      <c r="K193" s="128"/>
      <c r="L193" s="128"/>
    </row>
    <row r="194" spans="1:12" x14ac:dyDescent="0.3">
      <c r="A194" s="126"/>
      <c r="B194" s="1185" t="s">
        <v>954</v>
      </c>
      <c r="C194" s="1186"/>
      <c r="D194" s="1186"/>
      <c r="E194" s="1186"/>
      <c r="F194" s="1186"/>
      <c r="G194" s="1186"/>
      <c r="H194" s="1186"/>
      <c r="I194" s="1187"/>
      <c r="J194" s="116">
        <f>J196+J197</f>
        <v>0</v>
      </c>
      <c r="K194" s="116">
        <f>K195</f>
        <v>0</v>
      </c>
      <c r="L194" s="116">
        <f>L195</f>
        <v>0</v>
      </c>
    </row>
    <row r="195" spans="1:12" x14ac:dyDescent="0.3">
      <c r="A195" s="206"/>
      <c r="B195" s="199"/>
      <c r="C195" s="199"/>
      <c r="D195" s="199"/>
      <c r="E195" s="199"/>
      <c r="F195" s="199"/>
      <c r="G195" s="199"/>
      <c r="H195" s="199"/>
      <c r="I195" s="200"/>
      <c r="J195" s="114"/>
      <c r="K195" s="128"/>
      <c r="L195" s="128"/>
    </row>
    <row r="196" spans="1:12" x14ac:dyDescent="0.3">
      <c r="A196" s="206"/>
      <c r="B196" s="243"/>
      <c r="C196" s="243"/>
      <c r="D196" s="243"/>
      <c r="E196" s="243"/>
      <c r="F196" s="243"/>
      <c r="G196" s="243"/>
      <c r="H196" s="243"/>
      <c r="I196" s="245"/>
      <c r="J196" s="246"/>
      <c r="K196" s="128">
        <v>0</v>
      </c>
      <c r="L196" s="128">
        <v>0</v>
      </c>
    </row>
    <row r="197" spans="1:12" x14ac:dyDescent="0.3">
      <c r="A197" s="206"/>
      <c r="B197" s="199"/>
      <c r="C197" s="199"/>
      <c r="D197" s="199"/>
      <c r="E197" s="199"/>
      <c r="F197" s="199"/>
      <c r="G197" s="199"/>
      <c r="H197" s="199"/>
      <c r="I197" s="200"/>
      <c r="J197" s="114"/>
      <c r="K197" s="128"/>
      <c r="L197" s="128"/>
    </row>
    <row r="198" spans="1:12" s="1" customFormat="1" x14ac:dyDescent="0.3">
      <c r="A198" s="99"/>
      <c r="B198" s="1180" t="s">
        <v>955</v>
      </c>
      <c r="C198" s="1181"/>
      <c r="D198" s="1181"/>
      <c r="E198" s="1181"/>
      <c r="F198" s="1181"/>
      <c r="G198" s="1181"/>
      <c r="H198" s="1181"/>
      <c r="I198" s="1182"/>
      <c r="J198" s="116">
        <f>SUM(J199:J207)</f>
        <v>0</v>
      </c>
      <c r="K198" s="116">
        <f>SUM(K199:K207)</f>
        <v>0</v>
      </c>
      <c r="L198" s="116">
        <f>SUM(L199:L207)</f>
        <v>0</v>
      </c>
    </row>
    <row r="199" spans="1:12" s="1" customFormat="1" x14ac:dyDescent="0.3">
      <c r="A199" s="227"/>
      <c r="B199" s="199"/>
      <c r="C199" s="199"/>
      <c r="D199" s="199"/>
      <c r="E199" s="199"/>
      <c r="F199" s="199"/>
      <c r="G199" s="199"/>
      <c r="H199" s="199"/>
      <c r="I199" s="200"/>
      <c r="J199" s="204"/>
      <c r="K199" s="154"/>
      <c r="L199" s="154"/>
    </row>
    <row r="200" spans="1:12" s="1" customFormat="1" x14ac:dyDescent="0.3">
      <c r="A200" s="227"/>
      <c r="B200" s="199"/>
      <c r="C200" s="199"/>
      <c r="D200" s="199"/>
      <c r="E200" s="199"/>
      <c r="F200" s="199"/>
      <c r="G200" s="199"/>
      <c r="H200" s="199"/>
      <c r="I200" s="200"/>
      <c r="J200" s="154"/>
      <c r="K200" s="264"/>
      <c r="L200" s="154"/>
    </row>
    <row r="201" spans="1:12" s="1" customFormat="1" ht="0.75" customHeight="1" x14ac:dyDescent="0.3">
      <c r="A201" s="230"/>
      <c r="B201" s="199"/>
      <c r="C201" s="199"/>
      <c r="D201" s="199"/>
      <c r="E201" s="199"/>
      <c r="F201" s="199"/>
      <c r="G201" s="199"/>
      <c r="H201" s="199"/>
      <c r="I201" s="112"/>
      <c r="J201" s="114"/>
      <c r="K201" s="154"/>
      <c r="L201" s="154"/>
    </row>
    <row r="202" spans="1:12" hidden="1" x14ac:dyDescent="0.3">
      <c r="A202" s="230"/>
      <c r="B202" s="199"/>
      <c r="C202" s="199"/>
      <c r="D202" s="199"/>
      <c r="E202" s="199"/>
      <c r="F202" s="199"/>
      <c r="G202" s="199"/>
      <c r="H202" s="199"/>
      <c r="I202" s="200"/>
      <c r="J202" s="114"/>
      <c r="K202" s="128"/>
      <c r="L202" s="128"/>
    </row>
    <row r="203" spans="1:12" hidden="1" x14ac:dyDescent="0.3">
      <c r="A203" s="122"/>
      <c r="B203" s="199"/>
      <c r="C203" s="199"/>
      <c r="D203" s="199"/>
      <c r="E203" s="199"/>
      <c r="F203" s="199"/>
      <c r="G203" s="199"/>
      <c r="H203" s="199"/>
      <c r="I203" s="265"/>
      <c r="J203" s="114"/>
      <c r="K203" s="128"/>
      <c r="L203" s="128"/>
    </row>
    <row r="204" spans="1:12" hidden="1" x14ac:dyDescent="0.3">
      <c r="A204" s="122"/>
      <c r="B204" s="199"/>
      <c r="C204" s="199"/>
      <c r="D204" s="199"/>
      <c r="E204" s="199"/>
      <c r="F204" s="199"/>
      <c r="G204" s="199"/>
      <c r="H204" s="199"/>
      <c r="I204" s="200"/>
      <c r="J204" s="114"/>
      <c r="K204" s="128"/>
      <c r="L204" s="128"/>
    </row>
    <row r="205" spans="1:12" hidden="1" x14ac:dyDescent="0.3">
      <c r="A205" s="122"/>
      <c r="B205" s="199"/>
      <c r="C205" s="199"/>
      <c r="D205" s="199"/>
      <c r="E205" s="199"/>
      <c r="F205" s="199"/>
      <c r="G205" s="199"/>
      <c r="H205" s="199"/>
      <c r="I205" s="200"/>
      <c r="J205" s="114"/>
      <c r="K205" s="128"/>
      <c r="L205" s="128"/>
    </row>
    <row r="206" spans="1:12" x14ac:dyDescent="0.3">
      <c r="A206" s="122"/>
      <c r="B206" s="199"/>
      <c r="C206" s="199"/>
      <c r="D206" s="199"/>
      <c r="E206" s="199"/>
      <c r="F206" s="199"/>
      <c r="G206" s="199"/>
      <c r="H206" s="199"/>
      <c r="I206" s="200"/>
      <c r="J206" s="114"/>
      <c r="K206" s="128"/>
      <c r="L206" s="128"/>
    </row>
    <row r="207" spans="1:12" x14ac:dyDescent="0.3">
      <c r="A207" s="266"/>
      <c r="B207" s="267"/>
      <c r="C207" s="267"/>
      <c r="D207" s="267"/>
      <c r="E207" s="267"/>
      <c r="F207" s="267"/>
      <c r="G207" s="267"/>
      <c r="H207" s="267"/>
      <c r="I207" s="268"/>
      <c r="J207" s="269"/>
      <c r="K207" s="270"/>
      <c r="L207" s="270"/>
    </row>
    <row r="208" spans="1:12" x14ac:dyDescent="0.3">
      <c r="A208" s="122"/>
      <c r="B208" s="199"/>
      <c r="C208" s="199"/>
      <c r="D208" s="199"/>
      <c r="E208" s="199"/>
      <c r="F208" s="199"/>
      <c r="G208" s="199"/>
      <c r="H208" s="199"/>
      <c r="I208" s="200"/>
      <c r="J208" s="114"/>
      <c r="K208" s="128"/>
      <c r="L208" s="128"/>
    </row>
    <row r="209" spans="1:12" x14ac:dyDescent="0.3">
      <c r="A209" s="126"/>
      <c r="B209" s="1176" t="s">
        <v>956</v>
      </c>
      <c r="C209" s="1177"/>
      <c r="D209" s="1177"/>
      <c r="E209" s="1177"/>
      <c r="F209" s="1177"/>
      <c r="G209" s="1177"/>
      <c r="H209" s="1177"/>
      <c r="I209" s="1178"/>
      <c r="J209" s="116">
        <f>J198+J173+J166+J152+J112+J95+J71+J54+J109+J189+J194+J74+J208</f>
        <v>36300000</v>
      </c>
      <c r="K209" s="116">
        <f>K198+K173+K166+K152+K112+K95+K71+K54+K109+K189+K194+K74+K208</f>
        <v>0</v>
      </c>
      <c r="L209" s="116">
        <f>L198+L173+L166+L152+L112+L95+L71+L54+L109+L189+L194+L74+L208</f>
        <v>0</v>
      </c>
    </row>
    <row r="210" spans="1:12" x14ac:dyDescent="0.3">
      <c r="I210" s="95"/>
      <c r="J210" s="118"/>
    </row>
    <row r="211" spans="1:12" x14ac:dyDescent="0.3">
      <c r="I211" s="95" t="s">
        <v>1057</v>
      </c>
      <c r="J211" s="118" t="e">
        <f>(#REF!-'п3 доходы'!D50)/'п3 доходы'!D51*100</f>
        <v>#REF!</v>
      </c>
      <c r="K211" s="118" t="e">
        <f>(#REF!-'п3 доходы'!E50)/'п3 доходы'!E51*100</f>
        <v>#REF!</v>
      </c>
      <c r="L211" s="118" t="e">
        <f>(#REF!-'п3 доходы'!F50)/'п3 доходы'!F51*100</f>
        <v>#REF!</v>
      </c>
    </row>
    <row r="212" spans="1:12" x14ac:dyDescent="0.3">
      <c r="I212" s="95" t="s">
        <v>1076</v>
      </c>
      <c r="J212" s="118" t="e">
        <f>(#REF!-'п3 доходы'!D50-'п2 источники'!C17)/'п3 доходы'!D51*100</f>
        <v>#REF!</v>
      </c>
    </row>
    <row r="213" spans="1:12" s="1" customFormat="1" x14ac:dyDescent="0.3">
      <c r="A213" s="1152" t="s">
        <v>957</v>
      </c>
      <c r="B213" s="1152"/>
      <c r="C213" s="1152"/>
      <c r="D213" s="1152"/>
      <c r="E213" s="1152"/>
      <c r="F213" s="1152"/>
      <c r="G213" s="1152"/>
      <c r="H213" s="1152"/>
      <c r="I213" s="1162" t="s">
        <v>958</v>
      </c>
      <c r="J213" s="1162"/>
    </row>
    <row r="217" spans="1:12" x14ac:dyDescent="0.3">
      <c r="A217" s="1" t="s">
        <v>959</v>
      </c>
    </row>
    <row r="218" spans="1:12" x14ac:dyDescent="0.3">
      <c r="A218" s="1179" t="s">
        <v>960</v>
      </c>
      <c r="B218" s="1179"/>
      <c r="C218" s="120"/>
      <c r="D218" s="120"/>
      <c r="E218" s="120"/>
      <c r="F218" s="120"/>
      <c r="G218" s="120"/>
      <c r="H218" s="120"/>
      <c r="I218" s="120"/>
      <c r="J218" s="120"/>
    </row>
    <row r="219" spans="1:12" ht="0.75" customHeight="1" x14ac:dyDescent="0.3">
      <c r="B219" s="1175" t="s">
        <v>937</v>
      </c>
      <c r="C219" s="1175"/>
      <c r="D219" s="1175"/>
      <c r="E219" s="1175"/>
      <c r="F219" s="1175"/>
      <c r="G219" s="1175"/>
      <c r="H219" s="1175"/>
      <c r="I219" s="1175"/>
      <c r="J219" s="271"/>
    </row>
    <row r="220" spans="1:12" hidden="1" x14ac:dyDescent="0.3">
      <c r="B220" s="1162" t="s">
        <v>961</v>
      </c>
      <c r="C220" s="1162"/>
      <c r="D220" s="1162"/>
      <c r="E220" s="1162"/>
      <c r="F220" s="1162"/>
      <c r="G220" s="1162"/>
      <c r="H220" s="1162"/>
      <c r="I220" s="1162"/>
      <c r="J220" s="8">
        <f>J221+J222+J223+J224</f>
        <v>0</v>
      </c>
      <c r="K220" s="8">
        <f>K34</f>
        <v>0</v>
      </c>
      <c r="L220" s="8">
        <f>L34</f>
        <v>0</v>
      </c>
    </row>
    <row r="221" spans="1:12" hidden="1" x14ac:dyDescent="0.3">
      <c r="B221" s="318"/>
      <c r="C221" s="318"/>
      <c r="D221" s="318"/>
      <c r="E221" s="318"/>
      <c r="F221" s="318"/>
      <c r="G221" s="318"/>
      <c r="H221" s="318"/>
      <c r="I221" s="272" t="s">
        <v>86</v>
      </c>
      <c r="J221" s="8"/>
      <c r="K221" s="8"/>
      <c r="L221" s="8"/>
    </row>
    <row r="222" spans="1:12" hidden="1" x14ac:dyDescent="0.3">
      <c r="B222" s="318"/>
      <c r="C222" s="318"/>
      <c r="D222" s="318"/>
      <c r="E222" s="318"/>
      <c r="F222" s="318"/>
      <c r="G222" s="318"/>
      <c r="H222" s="318"/>
      <c r="I222" s="272" t="s">
        <v>93</v>
      </c>
      <c r="J222" s="8"/>
      <c r="K222" s="8"/>
      <c r="L222" s="8"/>
    </row>
    <row r="223" spans="1:12" hidden="1" x14ac:dyDescent="0.3">
      <c r="B223" s="318"/>
      <c r="C223" s="318"/>
      <c r="D223" s="318"/>
      <c r="E223" s="318"/>
      <c r="F223" s="318"/>
      <c r="G223" s="318"/>
      <c r="H223" s="318"/>
      <c r="I223" s="272" t="s">
        <v>121</v>
      </c>
      <c r="J223" s="8"/>
      <c r="K223" s="8"/>
      <c r="L223" s="8"/>
    </row>
    <row r="224" spans="1:12" hidden="1" x14ac:dyDescent="0.3">
      <c r="B224" s="318"/>
      <c r="C224" s="318"/>
      <c r="D224" s="318"/>
      <c r="E224" s="318"/>
      <c r="F224" s="318"/>
      <c r="G224" s="318"/>
      <c r="H224" s="318"/>
      <c r="I224" s="272" t="s">
        <v>124</v>
      </c>
      <c r="J224" s="8"/>
      <c r="K224" s="8"/>
      <c r="L224" s="8"/>
    </row>
    <row r="225" spans="2:12" hidden="1" x14ac:dyDescent="0.3">
      <c r="B225" s="1162" t="s">
        <v>962</v>
      </c>
      <c r="C225" s="1162"/>
      <c r="D225" s="1162"/>
      <c r="E225" s="1162"/>
      <c r="F225" s="1162"/>
      <c r="G225" s="1162"/>
      <c r="H225" s="1162"/>
      <c r="I225" s="1162"/>
      <c r="J225" s="8">
        <f>J226+J227+J228+J229</f>
        <v>-9116373.6099999994</v>
      </c>
      <c r="K225" s="8">
        <f>K7+K17+K18+K19+K20+K21+K22+K23+K24+K25+K26+K27+K28+K29</f>
        <v>0</v>
      </c>
      <c r="L225" s="8">
        <f>L7+L17+L18+L19+L20+L21+L22+L23+L24+L25+L26+L27+L28+L29</f>
        <v>0</v>
      </c>
    </row>
    <row r="226" spans="2:12" hidden="1" x14ac:dyDescent="0.3">
      <c r="B226" s="318"/>
      <c r="C226" s="318"/>
      <c r="D226" s="318"/>
      <c r="E226" s="318"/>
      <c r="F226" s="318"/>
      <c r="G226" s="318"/>
      <c r="H226" s="318"/>
      <c r="I226" s="272" t="s">
        <v>86</v>
      </c>
      <c r="J226" s="8">
        <f>J7+J17</f>
        <v>-9116373.6099999994</v>
      </c>
      <c r="K226" s="8"/>
      <c r="L226" s="8"/>
    </row>
    <row r="227" spans="2:12" hidden="1" x14ac:dyDescent="0.3">
      <c r="B227" s="318"/>
      <c r="C227" s="318"/>
      <c r="D227" s="318"/>
      <c r="E227" s="318"/>
      <c r="F227" s="318"/>
      <c r="G227" s="318"/>
      <c r="H227" s="318"/>
      <c r="I227" s="272" t="s">
        <v>93</v>
      </c>
      <c r="J227" s="8">
        <f>J37</f>
        <v>0</v>
      </c>
      <c r="K227" s="8"/>
      <c r="L227" s="8"/>
    </row>
    <row r="228" spans="2:12" hidden="1" x14ac:dyDescent="0.3">
      <c r="B228" s="318"/>
      <c r="C228" s="318"/>
      <c r="D228" s="318"/>
      <c r="E228" s="318"/>
      <c r="F228" s="318"/>
      <c r="G228" s="318"/>
      <c r="H228" s="318"/>
      <c r="I228" s="272" t="s">
        <v>121</v>
      </c>
      <c r="J228" s="8">
        <v>0</v>
      </c>
      <c r="K228" s="8"/>
      <c r="L228" s="8"/>
    </row>
    <row r="229" spans="2:12" hidden="1" x14ac:dyDescent="0.3">
      <c r="B229" s="318"/>
      <c r="C229" s="318"/>
      <c r="D229" s="318"/>
      <c r="E229" s="318"/>
      <c r="F229" s="318"/>
      <c r="G229" s="318"/>
      <c r="H229" s="318"/>
      <c r="I229" s="272" t="s">
        <v>124</v>
      </c>
      <c r="J229" s="8">
        <v>0</v>
      </c>
      <c r="K229" s="8"/>
      <c r="L229" s="8"/>
    </row>
    <row r="230" spans="2:12" hidden="1" x14ac:dyDescent="0.3">
      <c r="B230" s="1162" t="s">
        <v>547</v>
      </c>
      <c r="C230" s="1162"/>
      <c r="D230" s="1162"/>
      <c r="E230" s="1162"/>
      <c r="F230" s="1162"/>
      <c r="G230" s="1162"/>
      <c r="H230" s="1162"/>
      <c r="I230" s="1162"/>
      <c r="J230" s="8">
        <f>SUM(J220:J225)</f>
        <v>-9116373.6099999994</v>
      </c>
      <c r="K230" s="8">
        <f>SUM(K220:K225)</f>
        <v>0</v>
      </c>
      <c r="L230" s="8">
        <f>SUM(L220:L225)</f>
        <v>0</v>
      </c>
    </row>
    <row r="231" spans="2:12" hidden="1" x14ac:dyDescent="0.3">
      <c r="B231" s="1175" t="s">
        <v>940</v>
      </c>
      <c r="C231" s="1175"/>
      <c r="D231" s="1175"/>
      <c r="E231" s="1175"/>
      <c r="F231" s="1175"/>
      <c r="G231" s="1175"/>
      <c r="H231" s="1175"/>
      <c r="I231" s="1175"/>
      <c r="J231" s="271"/>
    </row>
    <row r="232" spans="2:12" hidden="1" x14ac:dyDescent="0.3">
      <c r="B232" s="1162" t="s">
        <v>963</v>
      </c>
      <c r="C232" s="1162"/>
      <c r="D232" s="1162"/>
      <c r="E232" s="1162"/>
      <c r="F232" s="1162"/>
      <c r="G232" s="1162"/>
      <c r="H232" s="1162"/>
      <c r="I232" s="1162"/>
      <c r="J232" s="8">
        <v>0</v>
      </c>
      <c r="K232" s="8">
        <f>K43+K45</f>
        <v>0</v>
      </c>
      <c r="L232" s="8">
        <f>L43+L45</f>
        <v>0</v>
      </c>
    </row>
    <row r="233" spans="2:12" hidden="1" x14ac:dyDescent="0.3">
      <c r="B233" s="1162" t="s">
        <v>964</v>
      </c>
      <c r="C233" s="1162"/>
      <c r="D233" s="1162"/>
      <c r="E233" s="1162"/>
      <c r="F233" s="1162"/>
      <c r="G233" s="1162"/>
      <c r="H233" s="1162"/>
      <c r="I233" s="1162"/>
      <c r="J233" s="8">
        <f>J43</f>
        <v>0</v>
      </c>
      <c r="K233" s="8"/>
      <c r="L233" s="8"/>
    </row>
    <row r="234" spans="2:12" hidden="1" x14ac:dyDescent="0.3">
      <c r="B234" s="1162" t="s">
        <v>965</v>
      </c>
      <c r="C234" s="1162"/>
      <c r="D234" s="1162"/>
      <c r="E234" s="1162"/>
      <c r="F234" s="1162"/>
      <c r="G234" s="1162"/>
      <c r="H234" s="1162"/>
      <c r="I234" s="1162"/>
      <c r="J234" s="8">
        <f>J44</f>
        <v>49873254.969999999</v>
      </c>
      <c r="K234" s="8">
        <f>K44</f>
        <v>0</v>
      </c>
      <c r="L234" s="8">
        <f>L44</f>
        <v>0</v>
      </c>
    </row>
    <row r="235" spans="2:12" hidden="1" x14ac:dyDescent="0.3">
      <c r="B235" s="1162" t="s">
        <v>547</v>
      </c>
      <c r="C235" s="1162"/>
      <c r="D235" s="1162"/>
      <c r="E235" s="1162"/>
      <c r="F235" s="1162"/>
      <c r="G235" s="1162"/>
      <c r="H235" s="1162"/>
      <c r="I235" s="1162"/>
      <c r="J235" s="8">
        <f>SUM(J232:J234)</f>
        <v>49873254.969999999</v>
      </c>
      <c r="K235" s="8">
        <f>SUM(K232:K234)</f>
        <v>0</v>
      </c>
      <c r="L235" s="8">
        <f>SUM(L232:L234)</f>
        <v>0</v>
      </c>
    </row>
    <row r="236" spans="2:12" hidden="1" x14ac:dyDescent="0.3">
      <c r="B236" s="1175" t="s">
        <v>942</v>
      </c>
      <c r="C236" s="1175"/>
      <c r="D236" s="1175"/>
      <c r="E236" s="1175"/>
      <c r="F236" s="1175"/>
      <c r="G236" s="1175"/>
      <c r="H236" s="1175"/>
      <c r="I236" s="1175"/>
      <c r="J236" s="271"/>
    </row>
    <row r="237" spans="2:12" hidden="1" x14ac:dyDescent="0.3">
      <c r="B237" s="1162" t="s">
        <v>966</v>
      </c>
      <c r="C237" s="1162"/>
      <c r="D237" s="1162"/>
      <c r="E237" s="1162"/>
      <c r="F237" s="1162"/>
      <c r="G237" s="1162"/>
      <c r="H237" s="1162"/>
      <c r="I237" s="1162"/>
      <c r="J237" s="118">
        <f>J55+J56+J60+J62+J63+J64+J76+J77+J190+J191+J192+J67+J68+J69+J96+J97+J70+J181+J105+J85</f>
        <v>0</v>
      </c>
      <c r="K237" s="118">
        <f>K60+K62+K63+K64+K72+K76+K77+K85+K96+K97</f>
        <v>0</v>
      </c>
      <c r="L237" s="118">
        <f>L60+L62+L63+L64+L72+L76+L77+L85+L96+L97</f>
        <v>0</v>
      </c>
    </row>
    <row r="238" spans="2:12" hidden="1" x14ac:dyDescent="0.3">
      <c r="B238" s="1162" t="s">
        <v>967</v>
      </c>
      <c r="C238" s="1162"/>
      <c r="D238" s="1162"/>
      <c r="E238" s="1162"/>
      <c r="F238" s="1162"/>
      <c r="G238" s="1162"/>
      <c r="H238" s="1162"/>
      <c r="I238" s="1162"/>
      <c r="J238" s="118">
        <f>J194</f>
        <v>0</v>
      </c>
      <c r="K238" s="118">
        <f>K208+K199</f>
        <v>0</v>
      </c>
      <c r="L238" s="118">
        <f>L208+L199</f>
        <v>0</v>
      </c>
    </row>
    <row r="239" spans="2:12" hidden="1" x14ac:dyDescent="0.3">
      <c r="B239" s="1162" t="s">
        <v>968</v>
      </c>
      <c r="C239" s="1162"/>
      <c r="D239" s="1162"/>
      <c r="E239" s="1162"/>
      <c r="F239" s="1162"/>
      <c r="G239" s="1162"/>
      <c r="H239" s="1162"/>
      <c r="I239" s="1162"/>
      <c r="J239" s="118">
        <f>J113+J114+J121</f>
        <v>-1750191.15</v>
      </c>
      <c r="K239" s="118">
        <f>K122+K121+K114+K125+K126+K127+K128+K129+K130+K131+K132+K133+K135+K136+K137+K138+K139+K140+K141+K142</f>
        <v>0</v>
      </c>
      <c r="L239" s="118">
        <f>L122+L121+L114+L125+L126+L127+L128+L129+L130+L131+L132+L133+L135+L136+L137+L138+L139+L140+L141+L142</f>
        <v>0</v>
      </c>
    </row>
    <row r="240" spans="2:12" hidden="1" x14ac:dyDescent="0.3">
      <c r="B240" s="1162" t="s">
        <v>969</v>
      </c>
      <c r="C240" s="1162"/>
      <c r="D240" s="1162"/>
      <c r="E240" s="1162"/>
      <c r="F240" s="1162"/>
      <c r="G240" s="1162"/>
      <c r="H240" s="1162"/>
      <c r="I240" s="1162"/>
      <c r="J240" s="118">
        <f>J59+J61</f>
        <v>0</v>
      </c>
      <c r="K240" s="118">
        <f>K123+K62</f>
        <v>0</v>
      </c>
      <c r="L240" s="118">
        <f>L123+L62</f>
        <v>0</v>
      </c>
    </row>
    <row r="241" spans="2:12" hidden="1" x14ac:dyDescent="0.3">
      <c r="B241" s="1162" t="s">
        <v>547</v>
      </c>
      <c r="C241" s="1162"/>
      <c r="D241" s="1162"/>
      <c r="E241" s="1162"/>
      <c r="F241" s="1162"/>
      <c r="G241" s="1162"/>
      <c r="H241" s="1162"/>
      <c r="I241" s="1162"/>
      <c r="J241" s="118">
        <f>SUM(J237:J240)</f>
        <v>-1750191.15</v>
      </c>
      <c r="K241" s="118">
        <f>SUM(K237:K240)</f>
        <v>0</v>
      </c>
      <c r="L241" s="118">
        <f>SUM(L237:L240)</f>
        <v>0</v>
      </c>
    </row>
    <row r="242" spans="2:12" hidden="1" x14ac:dyDescent="0.3">
      <c r="B242" s="1175" t="s">
        <v>970</v>
      </c>
      <c r="C242" s="1175"/>
      <c r="D242" s="1175"/>
      <c r="E242" s="1175"/>
      <c r="F242" s="1175"/>
      <c r="G242" s="1175"/>
      <c r="H242" s="1175"/>
      <c r="I242" s="1175"/>
      <c r="J242" s="273">
        <f>J230-(J241-J235)</f>
        <v>42507072.509999998</v>
      </c>
      <c r="K242" s="273">
        <f>K230-(K241-K235)</f>
        <v>0</v>
      </c>
      <c r="L242" s="273">
        <f>L230-(L241-L235)</f>
        <v>0</v>
      </c>
    </row>
    <row r="244" spans="2:12" x14ac:dyDescent="0.3">
      <c r="I244" s="318"/>
    </row>
  </sheetData>
  <mergeCells count="60">
    <mergeCell ref="A1:L1"/>
    <mergeCell ref="A2:L2"/>
    <mergeCell ref="A4:L4"/>
    <mergeCell ref="A5:A6"/>
    <mergeCell ref="B5:H6"/>
    <mergeCell ref="I5:I6"/>
    <mergeCell ref="J5:L5"/>
    <mergeCell ref="B48:I48"/>
    <mergeCell ref="B38:I38"/>
    <mergeCell ref="B40:J40"/>
    <mergeCell ref="A41:A42"/>
    <mergeCell ref="B41:H42"/>
    <mergeCell ref="I41:I42"/>
    <mergeCell ref="J41:L41"/>
    <mergeCell ref="B43:H43"/>
    <mergeCell ref="B44:H44"/>
    <mergeCell ref="B45:H45"/>
    <mergeCell ref="B46:H46"/>
    <mergeCell ref="B47:H47"/>
    <mergeCell ref="B51:J51"/>
    <mergeCell ref="A52:A53"/>
    <mergeCell ref="B52:B53"/>
    <mergeCell ref="C52:C53"/>
    <mergeCell ref="D52:D53"/>
    <mergeCell ref="E52:G53"/>
    <mergeCell ref="H52:H53"/>
    <mergeCell ref="I52:I53"/>
    <mergeCell ref="J52:L52"/>
    <mergeCell ref="B198:I198"/>
    <mergeCell ref="B54:I54"/>
    <mergeCell ref="B71:I71"/>
    <mergeCell ref="B74:I74"/>
    <mergeCell ref="B95:I95"/>
    <mergeCell ref="B109:I109"/>
    <mergeCell ref="B112:I112"/>
    <mergeCell ref="B152:I152"/>
    <mergeCell ref="B166:I166"/>
    <mergeCell ref="B173:I173"/>
    <mergeCell ref="B189:I189"/>
    <mergeCell ref="B194:I194"/>
    <mergeCell ref="B234:I234"/>
    <mergeCell ref="B209:I209"/>
    <mergeCell ref="A213:H213"/>
    <mergeCell ref="I213:J213"/>
    <mergeCell ref="A218:B218"/>
    <mergeCell ref="B219:I219"/>
    <mergeCell ref="B220:I220"/>
    <mergeCell ref="B225:I225"/>
    <mergeCell ref="B230:I230"/>
    <mergeCell ref="B231:I231"/>
    <mergeCell ref="B232:I232"/>
    <mergeCell ref="B233:I233"/>
    <mergeCell ref="B241:I241"/>
    <mergeCell ref="B242:I242"/>
    <mergeCell ref="B235:I235"/>
    <mergeCell ref="B236:I236"/>
    <mergeCell ref="B237:I237"/>
    <mergeCell ref="B238:I238"/>
    <mergeCell ref="B239:I239"/>
    <mergeCell ref="B240:I240"/>
  </mergeCells>
  <pageMargins left="0.70866141732283472" right="0.70866141732283472" top="0.35433070866141736" bottom="0.15748031496062992" header="0.31496062992125984" footer="0.31496062992125984"/>
  <pageSetup paperSize="9" scale="51" fitToHeight="0" orientation="portrait" horizontalDpi="0" verticalDpi="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L40"/>
  <sheetViews>
    <sheetView topLeftCell="A3" zoomScale="85" zoomScaleNormal="85" workbookViewId="0">
      <pane xSplit="1" ySplit="3" topLeftCell="B6" activePane="bottomRight" state="frozen"/>
      <selection activeCell="A3" sqref="A3"/>
      <selection pane="topRight" activeCell="B3" sqref="B3"/>
      <selection pane="bottomLeft" activeCell="A6" sqref="A6"/>
      <selection pane="bottomRight" activeCell="F13" sqref="F13"/>
    </sheetView>
  </sheetViews>
  <sheetFormatPr defaultRowHeight="14.4" x14ac:dyDescent="0.3"/>
  <cols>
    <col min="1" max="1" width="35" style="20" customWidth="1"/>
    <col min="2" max="2" width="15.88671875" customWidth="1"/>
    <col min="3" max="3" width="15.33203125" customWidth="1"/>
    <col min="4" max="4" width="14.88671875" customWidth="1"/>
    <col min="5" max="5" width="17.44140625" customWidth="1"/>
    <col min="6" max="7" width="18.5546875" customWidth="1"/>
    <col min="8" max="9" width="15.109375" customWidth="1"/>
    <col min="10" max="10" width="17.6640625" customWidth="1"/>
    <col min="11" max="11" width="18" customWidth="1"/>
    <col min="12" max="12" width="14" customWidth="1"/>
    <col min="13" max="13" width="12.5546875" customWidth="1"/>
    <col min="14" max="14" width="15" customWidth="1"/>
    <col min="15" max="15" width="14.33203125" customWidth="1"/>
    <col min="16" max="16" width="14.109375" customWidth="1"/>
    <col min="17" max="22" width="12.6640625" customWidth="1"/>
    <col min="23" max="23" width="16" customWidth="1"/>
    <col min="24" max="24" width="14.44140625" customWidth="1"/>
    <col min="25" max="25" width="14.5546875" customWidth="1"/>
    <col min="26" max="26" width="12.6640625" customWidth="1"/>
    <col min="27" max="27" width="13.44140625" customWidth="1"/>
    <col min="28" max="28" width="11.44140625" customWidth="1"/>
    <col min="29" max="29" width="11.109375" customWidth="1"/>
    <col min="30" max="30" width="11.44140625" customWidth="1"/>
    <col min="31" max="31" width="10.88671875" customWidth="1"/>
    <col min="32" max="33" width="12.6640625" customWidth="1"/>
    <col min="34" max="34" width="10.88671875" customWidth="1"/>
    <col min="35" max="35" width="11" customWidth="1"/>
    <col min="36" max="36" width="12.44140625" customWidth="1"/>
    <col min="37" max="37" width="10.6640625" customWidth="1"/>
    <col min="257" max="257" width="36.33203125" customWidth="1"/>
    <col min="258" max="293" width="12.6640625" customWidth="1"/>
    <col min="513" max="513" width="36.33203125" customWidth="1"/>
    <col min="514" max="549" width="12.6640625" customWidth="1"/>
    <col min="769" max="769" width="36.33203125" customWidth="1"/>
    <col min="770" max="805" width="12.6640625" customWidth="1"/>
    <col min="1025" max="1025" width="36.33203125" customWidth="1"/>
    <col min="1026" max="1061" width="12.6640625" customWidth="1"/>
    <col min="1281" max="1281" width="36.33203125" customWidth="1"/>
    <col min="1282" max="1317" width="12.6640625" customWidth="1"/>
    <col min="1537" max="1537" width="36.33203125" customWidth="1"/>
    <col min="1538" max="1573" width="12.6640625" customWidth="1"/>
    <col min="1793" max="1793" width="36.33203125" customWidth="1"/>
    <col min="1794" max="1829" width="12.6640625" customWidth="1"/>
    <col min="2049" max="2049" width="36.33203125" customWidth="1"/>
    <col min="2050" max="2085" width="12.6640625" customWidth="1"/>
    <col min="2305" max="2305" width="36.33203125" customWidth="1"/>
    <col min="2306" max="2341" width="12.6640625" customWidth="1"/>
    <col min="2561" max="2561" width="36.33203125" customWidth="1"/>
    <col min="2562" max="2597" width="12.6640625" customWidth="1"/>
    <col min="2817" max="2817" width="36.33203125" customWidth="1"/>
    <col min="2818" max="2853" width="12.6640625" customWidth="1"/>
    <col min="3073" max="3073" width="36.33203125" customWidth="1"/>
    <col min="3074" max="3109" width="12.6640625" customWidth="1"/>
    <col min="3329" max="3329" width="36.33203125" customWidth="1"/>
    <col min="3330" max="3365" width="12.6640625" customWidth="1"/>
    <col min="3585" max="3585" width="36.33203125" customWidth="1"/>
    <col min="3586" max="3621" width="12.6640625" customWidth="1"/>
    <col min="3841" max="3841" width="36.33203125" customWidth="1"/>
    <col min="3842" max="3877" width="12.6640625" customWidth="1"/>
    <col min="4097" max="4097" width="36.33203125" customWidth="1"/>
    <col min="4098" max="4133" width="12.6640625" customWidth="1"/>
    <col min="4353" max="4353" width="36.33203125" customWidth="1"/>
    <col min="4354" max="4389" width="12.6640625" customWidth="1"/>
    <col min="4609" max="4609" width="36.33203125" customWidth="1"/>
    <col min="4610" max="4645" width="12.6640625" customWidth="1"/>
    <col min="4865" max="4865" width="36.33203125" customWidth="1"/>
    <col min="4866" max="4901" width="12.6640625" customWidth="1"/>
    <col min="5121" max="5121" width="36.33203125" customWidth="1"/>
    <col min="5122" max="5157" width="12.6640625" customWidth="1"/>
    <col min="5377" max="5377" width="36.33203125" customWidth="1"/>
    <col min="5378" max="5413" width="12.6640625" customWidth="1"/>
    <col min="5633" max="5633" width="36.33203125" customWidth="1"/>
    <col min="5634" max="5669" width="12.6640625" customWidth="1"/>
    <col min="5889" max="5889" width="36.33203125" customWidth="1"/>
    <col min="5890" max="5925" width="12.6640625" customWidth="1"/>
    <col min="6145" max="6145" width="36.33203125" customWidth="1"/>
    <col min="6146" max="6181" width="12.6640625" customWidth="1"/>
    <col min="6401" max="6401" width="36.33203125" customWidth="1"/>
    <col min="6402" max="6437" width="12.6640625" customWidth="1"/>
    <col min="6657" max="6657" width="36.33203125" customWidth="1"/>
    <col min="6658" max="6693" width="12.6640625" customWidth="1"/>
    <col min="6913" max="6913" width="36.33203125" customWidth="1"/>
    <col min="6914" max="6949" width="12.6640625" customWidth="1"/>
    <col min="7169" max="7169" width="36.33203125" customWidth="1"/>
    <col min="7170" max="7205" width="12.6640625" customWidth="1"/>
    <col min="7425" max="7425" width="36.33203125" customWidth="1"/>
    <col min="7426" max="7461" width="12.6640625" customWidth="1"/>
    <col min="7681" max="7681" width="36.33203125" customWidth="1"/>
    <col min="7682" max="7717" width="12.6640625" customWidth="1"/>
    <col min="7937" max="7937" width="36.33203125" customWidth="1"/>
    <col min="7938" max="7973" width="12.6640625" customWidth="1"/>
    <col min="8193" max="8193" width="36.33203125" customWidth="1"/>
    <col min="8194" max="8229" width="12.6640625" customWidth="1"/>
    <col min="8449" max="8449" width="36.33203125" customWidth="1"/>
    <col min="8450" max="8485" width="12.6640625" customWidth="1"/>
    <col min="8705" max="8705" width="36.33203125" customWidth="1"/>
    <col min="8706" max="8741" width="12.6640625" customWidth="1"/>
    <col min="8961" max="8961" width="36.33203125" customWidth="1"/>
    <col min="8962" max="8997" width="12.6640625" customWidth="1"/>
    <col min="9217" max="9217" width="36.33203125" customWidth="1"/>
    <col min="9218" max="9253" width="12.6640625" customWidth="1"/>
    <col min="9473" max="9473" width="36.33203125" customWidth="1"/>
    <col min="9474" max="9509" width="12.6640625" customWidth="1"/>
    <col min="9729" max="9729" width="36.33203125" customWidth="1"/>
    <col min="9730" max="9765" width="12.6640625" customWidth="1"/>
    <col min="9985" max="9985" width="36.33203125" customWidth="1"/>
    <col min="9986" max="10021" width="12.6640625" customWidth="1"/>
    <col min="10241" max="10241" width="36.33203125" customWidth="1"/>
    <col min="10242" max="10277" width="12.6640625" customWidth="1"/>
    <col min="10497" max="10497" width="36.33203125" customWidth="1"/>
    <col min="10498" max="10533" width="12.6640625" customWidth="1"/>
    <col min="10753" max="10753" width="36.33203125" customWidth="1"/>
    <col min="10754" max="10789" width="12.6640625" customWidth="1"/>
    <col min="11009" max="11009" width="36.33203125" customWidth="1"/>
    <col min="11010" max="11045" width="12.6640625" customWidth="1"/>
    <col min="11265" max="11265" width="36.33203125" customWidth="1"/>
    <col min="11266" max="11301" width="12.6640625" customWidth="1"/>
    <col min="11521" max="11521" width="36.33203125" customWidth="1"/>
    <col min="11522" max="11557" width="12.6640625" customWidth="1"/>
    <col min="11777" max="11777" width="36.33203125" customWidth="1"/>
    <col min="11778" max="11813" width="12.6640625" customWidth="1"/>
    <col min="12033" max="12033" width="36.33203125" customWidth="1"/>
    <col min="12034" max="12069" width="12.6640625" customWidth="1"/>
    <col min="12289" max="12289" width="36.33203125" customWidth="1"/>
    <col min="12290" max="12325" width="12.6640625" customWidth="1"/>
    <col min="12545" max="12545" width="36.33203125" customWidth="1"/>
    <col min="12546" max="12581" width="12.6640625" customWidth="1"/>
    <col min="12801" max="12801" width="36.33203125" customWidth="1"/>
    <col min="12802" max="12837" width="12.6640625" customWidth="1"/>
    <col min="13057" max="13057" width="36.33203125" customWidth="1"/>
    <col min="13058" max="13093" width="12.6640625" customWidth="1"/>
    <col min="13313" max="13313" width="36.33203125" customWidth="1"/>
    <col min="13314" max="13349" width="12.6640625" customWidth="1"/>
    <col min="13569" max="13569" width="36.33203125" customWidth="1"/>
    <col min="13570" max="13605" width="12.6640625" customWidth="1"/>
    <col min="13825" max="13825" width="36.33203125" customWidth="1"/>
    <col min="13826" max="13861" width="12.6640625" customWidth="1"/>
    <col min="14081" max="14081" width="36.33203125" customWidth="1"/>
    <col min="14082" max="14117" width="12.6640625" customWidth="1"/>
    <col min="14337" max="14337" width="36.33203125" customWidth="1"/>
    <col min="14338" max="14373" width="12.6640625" customWidth="1"/>
    <col min="14593" max="14593" width="36.33203125" customWidth="1"/>
    <col min="14594" max="14629" width="12.6640625" customWidth="1"/>
    <col min="14849" max="14849" width="36.33203125" customWidth="1"/>
    <col min="14850" max="14885" width="12.6640625" customWidth="1"/>
    <col min="15105" max="15105" width="36.33203125" customWidth="1"/>
    <col min="15106" max="15141" width="12.6640625" customWidth="1"/>
    <col min="15361" max="15361" width="36.33203125" customWidth="1"/>
    <col min="15362" max="15397" width="12.6640625" customWidth="1"/>
    <col min="15617" max="15617" width="36.33203125" customWidth="1"/>
    <col min="15618" max="15653" width="12.6640625" customWidth="1"/>
    <col min="15873" max="15873" width="36.33203125" customWidth="1"/>
    <col min="15874" max="15909" width="12.6640625" customWidth="1"/>
    <col min="16129" max="16129" width="36.33203125" customWidth="1"/>
    <col min="16130" max="16165" width="12.6640625" customWidth="1"/>
  </cols>
  <sheetData>
    <row r="1" spans="1:38" ht="15.6" x14ac:dyDescent="0.3">
      <c r="B1" s="21" t="s">
        <v>233</v>
      </c>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row>
    <row r="2" spans="1:38" x14ac:dyDescent="0.3">
      <c r="A2" s="22"/>
      <c r="S2" s="23" t="s">
        <v>234</v>
      </c>
      <c r="AJ2" s="1221"/>
      <c r="AK2" s="1221"/>
    </row>
    <row r="3" spans="1:38" ht="27" customHeight="1" x14ac:dyDescent="0.3">
      <c r="A3" s="1222" t="s">
        <v>6</v>
      </c>
      <c r="B3" s="1222" t="s">
        <v>235</v>
      </c>
      <c r="C3" s="1222"/>
      <c r="D3" s="1222"/>
      <c r="E3" s="1222" t="s">
        <v>236</v>
      </c>
      <c r="F3" s="1222"/>
      <c r="G3" s="1222"/>
      <c r="H3" s="1222" t="s">
        <v>237</v>
      </c>
      <c r="I3" s="1222"/>
      <c r="J3" s="1222"/>
      <c r="K3" s="1223" t="s">
        <v>238</v>
      </c>
      <c r="L3" s="1224"/>
      <c r="M3" s="1224"/>
      <c r="N3" s="1224"/>
      <c r="O3" s="1224"/>
      <c r="P3" s="1224"/>
      <c r="Q3" s="24"/>
      <c r="R3" s="24"/>
      <c r="S3" s="24"/>
      <c r="T3" s="24"/>
      <c r="U3" s="24"/>
      <c r="V3" s="24"/>
      <c r="W3" s="24"/>
      <c r="X3" s="24"/>
      <c r="Y3" s="24"/>
      <c r="Z3" s="24"/>
      <c r="AA3" s="24"/>
      <c r="AB3" s="24"/>
      <c r="AC3" s="24"/>
      <c r="AD3" s="24"/>
      <c r="AE3" s="24"/>
      <c r="AF3" s="24"/>
      <c r="AG3" s="24"/>
      <c r="AH3" s="24"/>
      <c r="AI3" s="24"/>
      <c r="AJ3" s="24"/>
      <c r="AK3" s="25"/>
      <c r="AL3" s="20"/>
    </row>
    <row r="4" spans="1:38" x14ac:dyDescent="0.3">
      <c r="A4" s="1222"/>
      <c r="B4" s="1222"/>
      <c r="C4" s="1222"/>
      <c r="D4" s="1222"/>
      <c r="E4" s="1222"/>
      <c r="F4" s="1222"/>
      <c r="G4" s="1222"/>
      <c r="H4" s="1222"/>
      <c r="I4" s="1222"/>
      <c r="J4" s="1222"/>
      <c r="K4" s="1222" t="s">
        <v>239</v>
      </c>
      <c r="L4" s="1222"/>
      <c r="M4" s="1222"/>
      <c r="N4" s="1222" t="s">
        <v>240</v>
      </c>
      <c r="O4" s="1222"/>
      <c r="P4" s="1222"/>
      <c r="Q4" s="1222" t="s">
        <v>241</v>
      </c>
      <c r="R4" s="1222"/>
      <c r="S4" s="1222"/>
      <c r="T4" s="1222" t="s">
        <v>242</v>
      </c>
      <c r="U4" s="1222"/>
      <c r="V4" s="1222"/>
      <c r="W4" s="1222" t="s">
        <v>243</v>
      </c>
      <c r="X4" s="1222"/>
      <c r="Y4" s="1222"/>
      <c r="Z4" s="1222" t="s">
        <v>244</v>
      </c>
      <c r="AA4" s="1222"/>
      <c r="AB4" s="1222"/>
      <c r="AC4" s="1222" t="s">
        <v>245</v>
      </c>
      <c r="AD4" s="1222"/>
      <c r="AE4" s="1222"/>
      <c r="AF4" s="1222" t="s">
        <v>246</v>
      </c>
      <c r="AG4" s="1222"/>
      <c r="AH4" s="1222"/>
      <c r="AI4" s="1222" t="s">
        <v>247</v>
      </c>
      <c r="AJ4" s="1222"/>
      <c r="AK4" s="1222"/>
      <c r="AL4" s="20"/>
    </row>
    <row r="5" spans="1:38" x14ac:dyDescent="0.3">
      <c r="A5" s="1222"/>
      <c r="B5" s="26">
        <v>2015</v>
      </c>
      <c r="C5" s="26">
        <v>2016</v>
      </c>
      <c r="D5" s="26">
        <v>2017</v>
      </c>
      <c r="E5" s="26">
        <v>2015</v>
      </c>
      <c r="F5" s="26">
        <v>2016</v>
      </c>
      <c r="G5" s="26">
        <v>2017</v>
      </c>
      <c r="H5" s="26">
        <v>2015</v>
      </c>
      <c r="I5" s="26">
        <v>2016</v>
      </c>
      <c r="J5" s="26">
        <v>2017</v>
      </c>
      <c r="K5" s="26">
        <v>2015</v>
      </c>
      <c r="L5" s="26">
        <v>2016</v>
      </c>
      <c r="M5" s="26">
        <v>2017</v>
      </c>
      <c r="N5" s="26">
        <v>2015</v>
      </c>
      <c r="O5" s="26">
        <v>2016</v>
      </c>
      <c r="P5" s="26">
        <v>2017</v>
      </c>
      <c r="Q5" s="26">
        <v>2015</v>
      </c>
      <c r="R5" s="26">
        <v>2016</v>
      </c>
      <c r="S5" s="26">
        <v>2017</v>
      </c>
      <c r="T5" s="26">
        <v>2015</v>
      </c>
      <c r="U5" s="26">
        <v>2016</v>
      </c>
      <c r="V5" s="26">
        <v>2017</v>
      </c>
      <c r="W5" s="26">
        <v>2015</v>
      </c>
      <c r="X5" s="26">
        <v>2016</v>
      </c>
      <c r="Y5" s="26">
        <v>2017</v>
      </c>
      <c r="Z5" s="26">
        <v>2015</v>
      </c>
      <c r="AA5" s="26">
        <v>2016</v>
      </c>
      <c r="AB5" s="26">
        <v>2017</v>
      </c>
      <c r="AC5" s="26">
        <v>2015</v>
      </c>
      <c r="AD5" s="26">
        <v>2016</v>
      </c>
      <c r="AE5" s="26">
        <v>2017</v>
      </c>
      <c r="AF5" s="26">
        <v>2015</v>
      </c>
      <c r="AG5" s="26">
        <v>2016</v>
      </c>
      <c r="AH5" s="26">
        <v>2017</v>
      </c>
      <c r="AI5" s="26">
        <v>2015</v>
      </c>
      <c r="AJ5" s="26">
        <v>2016</v>
      </c>
      <c r="AK5" s="26">
        <v>2017</v>
      </c>
      <c r="AL5" s="20"/>
    </row>
    <row r="6" spans="1:38" x14ac:dyDescent="0.3">
      <c r="A6" s="27" t="s">
        <v>248</v>
      </c>
      <c r="B6" s="28">
        <f>E6+H6</f>
        <v>782340.1</v>
      </c>
      <c r="C6" s="28">
        <f>F6+I6</f>
        <v>781185.1</v>
      </c>
      <c r="D6" s="28">
        <f>G6+J6</f>
        <v>787046</v>
      </c>
      <c r="E6" s="28">
        <f>E7+E9+E10+E8</f>
        <v>685706</v>
      </c>
      <c r="F6" s="28">
        <f t="shared" ref="F6:AK6" si="0">F7+F9+F10+F8</f>
        <v>682804</v>
      </c>
      <c r="G6" s="28">
        <f t="shared" si="0"/>
        <v>690031</v>
      </c>
      <c r="H6" s="28">
        <f t="shared" si="0"/>
        <v>96634.1</v>
      </c>
      <c r="I6" s="28">
        <f t="shared" si="0"/>
        <v>98381.1</v>
      </c>
      <c r="J6" s="28">
        <f t="shared" si="0"/>
        <v>97015</v>
      </c>
      <c r="K6" s="28">
        <f t="shared" si="0"/>
        <v>304.89999999999998</v>
      </c>
      <c r="L6" s="28">
        <f t="shared" si="0"/>
        <v>316.7</v>
      </c>
      <c r="M6" s="28">
        <f t="shared" si="0"/>
        <v>243</v>
      </c>
      <c r="N6" s="28">
        <f t="shared" si="0"/>
        <v>2722.1</v>
      </c>
      <c r="O6" s="28">
        <f t="shared" si="0"/>
        <v>2837.6</v>
      </c>
      <c r="P6" s="28">
        <f t="shared" si="0"/>
        <v>2699</v>
      </c>
      <c r="Q6" s="28">
        <f>Q7+Q9+Q10+Q8</f>
        <v>17299.7</v>
      </c>
      <c r="R6" s="28">
        <f t="shared" si="0"/>
        <v>17947</v>
      </c>
      <c r="S6" s="28">
        <f t="shared" si="0"/>
        <v>17618</v>
      </c>
      <c r="T6" s="28">
        <f t="shared" si="0"/>
        <v>2814.1</v>
      </c>
      <c r="U6" s="28">
        <f t="shared" si="0"/>
        <v>2934.3</v>
      </c>
      <c r="V6" s="28">
        <f t="shared" si="0"/>
        <v>2932</v>
      </c>
      <c r="W6" s="28">
        <f t="shared" si="0"/>
        <v>49590.2</v>
      </c>
      <c r="X6" s="28">
        <f t="shared" si="0"/>
        <v>49679.199999999997</v>
      </c>
      <c r="Y6" s="28">
        <f t="shared" si="0"/>
        <v>49340</v>
      </c>
      <c r="Z6" s="28">
        <f t="shared" si="0"/>
        <v>3950.4</v>
      </c>
      <c r="AA6" s="28">
        <f t="shared" si="0"/>
        <v>3981</v>
      </c>
      <c r="AB6" s="28">
        <f t="shared" si="0"/>
        <v>3760</v>
      </c>
      <c r="AC6" s="28">
        <f t="shared" si="0"/>
        <v>6584.6</v>
      </c>
      <c r="AD6" s="28">
        <f t="shared" si="0"/>
        <v>6874.4</v>
      </c>
      <c r="AE6" s="28">
        <f t="shared" si="0"/>
        <v>6654</v>
      </c>
      <c r="AF6" s="28">
        <f t="shared" si="0"/>
        <v>4413.3</v>
      </c>
      <c r="AG6" s="28">
        <f t="shared" si="0"/>
        <v>4599.2</v>
      </c>
      <c r="AH6" s="28">
        <f t="shared" si="0"/>
        <v>4663</v>
      </c>
      <c r="AI6" s="28">
        <f t="shared" si="0"/>
        <v>8954.7999999999993</v>
      </c>
      <c r="AJ6" s="28">
        <f t="shared" si="0"/>
        <v>9211.7000000000007</v>
      </c>
      <c r="AK6" s="28">
        <f t="shared" si="0"/>
        <v>9106</v>
      </c>
    </row>
    <row r="7" spans="1:38" x14ac:dyDescent="0.3">
      <c r="A7" s="29" t="s">
        <v>249</v>
      </c>
      <c r="B7" s="30">
        <f t="shared" ref="B7:D26" si="1">E7+H7</f>
        <v>208125</v>
      </c>
      <c r="C7" s="30">
        <f t="shared" si="1"/>
        <v>220410</v>
      </c>
      <c r="D7" s="30">
        <f t="shared" si="1"/>
        <v>229060</v>
      </c>
      <c r="E7" s="30">
        <v>133276</v>
      </c>
      <c r="F7" s="30">
        <v>143859</v>
      </c>
      <c r="G7" s="30">
        <v>150955</v>
      </c>
      <c r="H7" s="30">
        <f>K7+N7+Q7+T7+W7+Z7+AC7+AF7+AI7</f>
        <v>74849</v>
      </c>
      <c r="I7" s="30">
        <f t="shared" ref="H7:J10" si="2">L7+O7+R7+U7+X7+AA7+AD7+AG7+AJ7</f>
        <v>76551</v>
      </c>
      <c r="J7" s="30">
        <f t="shared" si="2"/>
        <v>78105</v>
      </c>
      <c r="K7" s="30">
        <f>189+28</f>
        <v>217</v>
      </c>
      <c r="L7" s="30">
        <f>199+29</f>
        <v>228</v>
      </c>
      <c r="M7" s="30">
        <f>210+31</f>
        <v>241</v>
      </c>
      <c r="N7" s="30">
        <f>2170+15</f>
        <v>2185</v>
      </c>
      <c r="O7" s="30">
        <f>2283+15</f>
        <v>2298</v>
      </c>
      <c r="P7" s="30">
        <f>2402+16</f>
        <v>2418</v>
      </c>
      <c r="Q7" s="30">
        <f>12019+2373+875+75</f>
        <v>15342</v>
      </c>
      <c r="R7" s="30">
        <f>12656+2373+875+75</f>
        <v>15979</v>
      </c>
      <c r="S7" s="30">
        <f>13000+2373+875+75</f>
        <v>16323</v>
      </c>
      <c r="T7" s="30">
        <f>2210+43+11</f>
        <v>2264</v>
      </c>
      <c r="U7" s="30">
        <f>2325+45+11</f>
        <v>2381</v>
      </c>
      <c r="V7" s="30">
        <f>2446+47+13</f>
        <v>2506</v>
      </c>
      <c r="W7" s="30">
        <v>37300</v>
      </c>
      <c r="X7" s="30">
        <v>37370</v>
      </c>
      <c r="Y7" s="30">
        <v>37370</v>
      </c>
      <c r="Z7" s="30">
        <f>1110+11+32</f>
        <v>1153</v>
      </c>
      <c r="AA7" s="30">
        <f>1167+11+33</f>
        <v>1211</v>
      </c>
      <c r="AB7" s="30">
        <f>1228+12+35</f>
        <v>1275</v>
      </c>
      <c r="AC7" s="30">
        <f>5241+42+168</f>
        <v>5451</v>
      </c>
      <c r="AD7" s="30">
        <f>5514+44+177</f>
        <v>5735</v>
      </c>
      <c r="AE7" s="30">
        <f>5801+46+186</f>
        <v>6033</v>
      </c>
      <c r="AF7" s="30">
        <f>2460+1+749</f>
        <v>3210</v>
      </c>
      <c r="AG7" s="30">
        <f>2596+1+790</f>
        <v>3387</v>
      </c>
      <c r="AH7" s="30">
        <f>2751+1+838</f>
        <v>3590</v>
      </c>
      <c r="AI7" s="30">
        <f>7425+1+255+46</f>
        <v>7727</v>
      </c>
      <c r="AJ7" s="30">
        <f>7650+1+264+47</f>
        <v>7962</v>
      </c>
      <c r="AK7" s="30">
        <f>8000+1+291+57</f>
        <v>8349</v>
      </c>
    </row>
    <row r="8" spans="1:38" x14ac:dyDescent="0.3">
      <c r="A8" s="29" t="s">
        <v>250</v>
      </c>
      <c r="B8" s="30">
        <f>E8+H8</f>
        <v>33533</v>
      </c>
      <c r="C8" s="30">
        <f>F8+I8</f>
        <v>33422</v>
      </c>
      <c r="D8" s="30">
        <f>G8+J8</f>
        <v>33574</v>
      </c>
      <c r="E8" s="30">
        <v>14677</v>
      </c>
      <c r="F8" s="30">
        <v>14533</v>
      </c>
      <c r="G8" s="30">
        <v>14664</v>
      </c>
      <c r="H8" s="30">
        <f>K8+N8+Q8+T8+W8+Z8+AC8+AF8+AI8</f>
        <v>18856</v>
      </c>
      <c r="I8" s="30">
        <f>L8+O8+R8+U8+X8+AA8+AD8+AG8+AJ8</f>
        <v>18889</v>
      </c>
      <c r="J8" s="30">
        <f>M8+P8+S8+V8+Y8+AB8+AE8+AH8+AK8</f>
        <v>18910</v>
      </c>
      <c r="K8" s="31">
        <v>2</v>
      </c>
      <c r="L8" s="31">
        <v>2</v>
      </c>
      <c r="M8" s="31">
        <v>2</v>
      </c>
      <c r="N8" s="30">
        <f>15+366</f>
        <v>381</v>
      </c>
      <c r="O8" s="30">
        <f>15+366</f>
        <v>381</v>
      </c>
      <c r="P8" s="30">
        <f>15+266</f>
        <v>281</v>
      </c>
      <c r="Q8" s="30">
        <f>820+25+50+400</f>
        <v>1295</v>
      </c>
      <c r="R8" s="30">
        <f>820+25+400+50</f>
        <v>1295</v>
      </c>
      <c r="S8" s="30">
        <f>820+25+50+400</f>
        <v>1295</v>
      </c>
      <c r="T8" s="30">
        <f>379+3</f>
        <v>382</v>
      </c>
      <c r="U8" s="30">
        <f>379+3</f>
        <v>382</v>
      </c>
      <c r="V8" s="30">
        <f>422+4</f>
        <v>426</v>
      </c>
      <c r="W8" s="30">
        <v>11970</v>
      </c>
      <c r="X8" s="30">
        <v>11970</v>
      </c>
      <c r="Y8" s="30">
        <v>11970</v>
      </c>
      <c r="Z8" s="30">
        <v>2468</v>
      </c>
      <c r="AA8" s="30">
        <v>2481</v>
      </c>
      <c r="AB8" s="30">
        <v>2485</v>
      </c>
      <c r="AC8" s="30">
        <f>45+576</f>
        <v>621</v>
      </c>
      <c r="AD8" s="30">
        <f>45+576</f>
        <v>621</v>
      </c>
      <c r="AE8" s="30">
        <f>45+576</f>
        <v>621</v>
      </c>
      <c r="AF8" s="30">
        <v>1064</v>
      </c>
      <c r="AG8" s="30">
        <v>1069</v>
      </c>
      <c r="AH8" s="30">
        <v>1073</v>
      </c>
      <c r="AI8" s="30">
        <f>563+5+80+25</f>
        <v>673</v>
      </c>
      <c r="AJ8" s="30">
        <f>570+6+85+27</f>
        <v>688</v>
      </c>
      <c r="AK8" s="30">
        <f>620+7+95+35</f>
        <v>757</v>
      </c>
    </row>
    <row r="9" spans="1:38" x14ac:dyDescent="0.3">
      <c r="A9" s="29" t="s">
        <v>123</v>
      </c>
      <c r="B9" s="31">
        <f t="shared" si="1"/>
        <v>540682.1</v>
      </c>
      <c r="C9" s="31">
        <f t="shared" si="1"/>
        <v>527353.1</v>
      </c>
      <c r="D9" s="31">
        <f t="shared" si="1"/>
        <v>524412</v>
      </c>
      <c r="E9" s="31">
        <v>537753</v>
      </c>
      <c r="F9" s="31">
        <v>524412</v>
      </c>
      <c r="G9" s="31">
        <v>524412</v>
      </c>
      <c r="H9" s="31">
        <f>K9+N9+Q9+T9+W9+Z9+AC9+AF9+AI9</f>
        <v>2929.1000000000004</v>
      </c>
      <c r="I9" s="31">
        <f t="shared" si="2"/>
        <v>2941.0999999999995</v>
      </c>
      <c r="J9" s="31">
        <f t="shared" si="2"/>
        <v>0</v>
      </c>
      <c r="K9" s="31">
        <f>13.1+72.8</f>
        <v>85.899999999999991</v>
      </c>
      <c r="L9" s="31">
        <f>13.9+72.8</f>
        <v>86.7</v>
      </c>
      <c r="M9" s="31">
        <v>0</v>
      </c>
      <c r="N9" s="31">
        <f>42.7+113.4</f>
        <v>156.10000000000002</v>
      </c>
      <c r="O9" s="31">
        <f>45.2+113.4</f>
        <v>158.60000000000002</v>
      </c>
      <c r="P9" s="31">
        <v>0</v>
      </c>
      <c r="Q9" s="31">
        <f>175.4+487.3</f>
        <v>662.7</v>
      </c>
      <c r="R9" s="31">
        <f>185.7+487.3</f>
        <v>673</v>
      </c>
      <c r="S9" s="31">
        <v>0</v>
      </c>
      <c r="T9" s="31">
        <f>54.7+113.4</f>
        <v>168.10000000000002</v>
      </c>
      <c r="U9" s="31">
        <f>57.9+113.4</f>
        <v>171.3</v>
      </c>
      <c r="V9" s="31">
        <v>0</v>
      </c>
      <c r="W9" s="31">
        <f>320.2</f>
        <v>320.2</v>
      </c>
      <c r="X9" s="31">
        <f>339.2</f>
        <v>339.2</v>
      </c>
      <c r="Y9" s="31">
        <v>0</v>
      </c>
      <c r="Z9" s="31">
        <f>216+113.4</f>
        <v>329.4</v>
      </c>
      <c r="AA9" s="31">
        <f>175.6+113.4</f>
        <v>289</v>
      </c>
      <c r="AB9" s="31">
        <v>0</v>
      </c>
      <c r="AC9" s="32">
        <f>98.3+414.3</f>
        <v>512.6</v>
      </c>
      <c r="AD9" s="32">
        <f>104.1+414.3</f>
        <v>518.4</v>
      </c>
      <c r="AE9" s="32">
        <v>0</v>
      </c>
      <c r="AF9" s="31">
        <f>66.5+72.8</f>
        <v>139.30000000000001</v>
      </c>
      <c r="AG9" s="31">
        <f>70.4+72.8</f>
        <v>143.19999999999999</v>
      </c>
      <c r="AH9" s="31">
        <v>0</v>
      </c>
      <c r="AI9" s="31">
        <f>116.2+438.6</f>
        <v>554.80000000000007</v>
      </c>
      <c r="AJ9" s="31">
        <f>123.1+438.6</f>
        <v>561.70000000000005</v>
      </c>
      <c r="AK9" s="31">
        <v>0</v>
      </c>
    </row>
    <row r="10" spans="1:38" ht="42" x14ac:dyDescent="0.3">
      <c r="A10" s="29" t="s">
        <v>251</v>
      </c>
      <c r="B10" s="31">
        <f t="shared" si="1"/>
        <v>0</v>
      </c>
      <c r="C10" s="31">
        <f t="shared" si="1"/>
        <v>0</v>
      </c>
      <c r="D10" s="31">
        <f t="shared" si="1"/>
        <v>0</v>
      </c>
      <c r="E10" s="31">
        <v>0</v>
      </c>
      <c r="F10" s="31">
        <v>0</v>
      </c>
      <c r="G10" s="31">
        <v>0</v>
      </c>
      <c r="H10" s="31">
        <f t="shared" si="2"/>
        <v>0</v>
      </c>
      <c r="I10" s="31">
        <f t="shared" si="2"/>
        <v>0</v>
      </c>
      <c r="J10" s="31">
        <f t="shared" si="2"/>
        <v>0</v>
      </c>
      <c r="K10" s="31">
        <v>0</v>
      </c>
      <c r="L10" s="31">
        <v>0</v>
      </c>
      <c r="M10" s="31">
        <v>0</v>
      </c>
      <c r="N10" s="31">
        <v>0</v>
      </c>
      <c r="O10" s="31">
        <v>0</v>
      </c>
      <c r="P10" s="31">
        <v>0</v>
      </c>
      <c r="Q10" s="31">
        <v>0</v>
      </c>
      <c r="R10" s="31">
        <v>0</v>
      </c>
      <c r="S10" s="31">
        <v>0</v>
      </c>
      <c r="T10" s="31">
        <v>0</v>
      </c>
      <c r="U10" s="31">
        <v>0</v>
      </c>
      <c r="V10" s="31">
        <v>0</v>
      </c>
      <c r="W10" s="31">
        <v>0</v>
      </c>
      <c r="X10" s="31">
        <v>0</v>
      </c>
      <c r="Y10" s="31">
        <v>0</v>
      </c>
      <c r="Z10" s="31">
        <v>0</v>
      </c>
      <c r="AA10" s="31">
        <v>0</v>
      </c>
      <c r="AB10" s="31">
        <v>0</v>
      </c>
      <c r="AC10" s="31">
        <v>0</v>
      </c>
      <c r="AD10" s="31">
        <v>0</v>
      </c>
      <c r="AE10" s="31">
        <v>0</v>
      </c>
      <c r="AF10" s="31">
        <v>0</v>
      </c>
      <c r="AG10" s="31">
        <v>0</v>
      </c>
      <c r="AH10" s="31">
        <v>0</v>
      </c>
      <c r="AI10" s="31">
        <v>0</v>
      </c>
      <c r="AJ10" s="31">
        <v>0</v>
      </c>
      <c r="AK10" s="31">
        <v>0</v>
      </c>
    </row>
    <row r="11" spans="1:38" x14ac:dyDescent="0.3">
      <c r="A11" s="27" t="s">
        <v>252</v>
      </c>
      <c r="B11" s="28">
        <f t="shared" si="1"/>
        <v>85047264.299999997</v>
      </c>
      <c r="C11" s="28">
        <f t="shared" si="1"/>
        <v>57273567.100000001</v>
      </c>
      <c r="D11" s="28">
        <f t="shared" si="1"/>
        <v>45907463.800999999</v>
      </c>
      <c r="E11" s="28">
        <f>E13+E15+E16+E17+E18+E19+E20+E21+E22+E23+E24+E25</f>
        <v>700501</v>
      </c>
      <c r="F11" s="28">
        <f>F13+F15+F16+F17+F18+F19+F20+F21+F22+F23+F24+F25+F12</f>
        <v>685337</v>
      </c>
      <c r="G11" s="28">
        <f>G13+G15+G16+G17+G18+G19+G20+G21+G22+G23+G24+G25+G12</f>
        <v>713091.70099999988</v>
      </c>
      <c r="H11" s="28">
        <f>H13+H15+H16+H17+H18+H19+H20+H21+H22+H23</f>
        <v>84346763.299999997</v>
      </c>
      <c r="I11" s="28">
        <f>I13+I15+I16+I17+I18+I19+I20+I21+I22+I23</f>
        <v>56588230.100000001</v>
      </c>
      <c r="J11" s="28">
        <f>J13+J15+J16+J17+J18+J19+J20+J21+J22+J23</f>
        <v>45194372.100000001</v>
      </c>
      <c r="K11" s="28">
        <f t="shared" ref="K11:Q11" si="3">K13+K15+K16+K17+K18+K19+K20+K21+K22+K23+K24+K25+K14</f>
        <v>3801</v>
      </c>
      <c r="L11" s="28">
        <f t="shared" si="3"/>
        <v>3295</v>
      </c>
      <c r="M11" s="28">
        <f t="shared" si="3"/>
        <v>3217</v>
      </c>
      <c r="N11" s="28">
        <f t="shared" si="3"/>
        <v>3029979.3</v>
      </c>
      <c r="O11" s="28">
        <f t="shared" si="3"/>
        <v>3191767.1</v>
      </c>
      <c r="P11" s="28">
        <f t="shared" si="3"/>
        <v>3191654.1</v>
      </c>
      <c r="Q11" s="28">
        <f t="shared" si="3"/>
        <v>17300</v>
      </c>
      <c r="R11" s="28">
        <f>R13+R15+R16+R17+R18+R19+R20+R21+R22+R23+R24+R25+R12+R14</f>
        <v>17946</v>
      </c>
      <c r="S11" s="28">
        <f>S13+S15+S16+S17+S18+S19+S20+S21+S22+S23+S24+S25+S12+S14</f>
        <v>17617</v>
      </c>
      <c r="T11" s="28">
        <f t="shared" ref="T11:Z11" si="4">T13+T15+T16+T17+T18+T19+T20+T21+T22+T23+T24+T25+T14</f>
        <v>6741</v>
      </c>
      <c r="U11" s="28">
        <f t="shared" si="4"/>
        <v>6904</v>
      </c>
      <c r="V11" s="28">
        <f t="shared" si="4"/>
        <v>5578</v>
      </c>
      <c r="W11" s="28">
        <f t="shared" si="4"/>
        <v>82460226</v>
      </c>
      <c r="X11" s="28">
        <f t="shared" si="4"/>
        <v>53941604</v>
      </c>
      <c r="Y11" s="28">
        <f t="shared" si="4"/>
        <v>42450523</v>
      </c>
      <c r="Z11" s="28">
        <f t="shared" si="4"/>
        <v>4116</v>
      </c>
      <c r="AA11" s="28">
        <f>AA13+AA15+AA16+AA17+AA18+AA19+AA20+AA21+AA22+AA23+AA24+AA25+AA12+AA14</f>
        <v>4032</v>
      </c>
      <c r="AB11" s="28">
        <f>AB13+AB15+AB16+AB17+AB18+AB19+AB20+AB21+AB22+AB23+AB24+AB25+AB12+AB14</f>
        <v>4106</v>
      </c>
      <c r="AC11" s="28">
        <f t="shared" ref="AC11:AK11" si="5">AC13+AC15+AC16+AC17+AC18+AC19+AC20+AC21+AC22+AC23+AC24+AC25+AC14</f>
        <v>10414</v>
      </c>
      <c r="AD11" s="28">
        <f t="shared" si="5"/>
        <v>9731</v>
      </c>
      <c r="AE11" s="28">
        <f t="shared" si="5"/>
        <v>9156</v>
      </c>
      <c r="AF11" s="28">
        <f t="shared" si="5"/>
        <v>7349</v>
      </c>
      <c r="AG11" s="28">
        <f t="shared" si="5"/>
        <v>7519</v>
      </c>
      <c r="AH11" s="28">
        <f t="shared" si="5"/>
        <v>7748</v>
      </c>
      <c r="AI11" s="28">
        <f t="shared" si="5"/>
        <v>8955</v>
      </c>
      <c r="AJ11" s="28">
        <f t="shared" si="5"/>
        <v>9212</v>
      </c>
      <c r="AK11" s="28">
        <f t="shared" si="5"/>
        <v>9105</v>
      </c>
    </row>
    <row r="12" spans="1:38" s="33" customFormat="1" x14ac:dyDescent="0.3">
      <c r="A12" s="29" t="s">
        <v>253</v>
      </c>
      <c r="B12" s="30"/>
      <c r="C12" s="30"/>
      <c r="D12" s="30"/>
      <c r="E12" s="30">
        <v>0</v>
      </c>
      <c r="F12" s="30">
        <v>3575</v>
      </c>
      <c r="G12" s="30">
        <v>7302</v>
      </c>
      <c r="H12" s="30"/>
      <c r="I12" s="30"/>
      <c r="J12" s="30"/>
      <c r="K12" s="30"/>
      <c r="L12" s="30">
        <v>82</v>
      </c>
      <c r="M12" s="30">
        <v>161</v>
      </c>
      <c r="N12" s="31"/>
      <c r="O12" s="31">
        <v>134</v>
      </c>
      <c r="P12" s="31">
        <v>263</v>
      </c>
      <c r="Q12" s="30">
        <v>0</v>
      </c>
      <c r="R12" s="30">
        <v>1731</v>
      </c>
      <c r="S12" s="30">
        <v>2983</v>
      </c>
      <c r="T12" s="31">
        <v>0</v>
      </c>
      <c r="U12" s="31"/>
      <c r="V12" s="31"/>
      <c r="W12" s="31"/>
      <c r="X12" s="31">
        <v>1348540</v>
      </c>
      <c r="Y12" s="31">
        <v>2691776</v>
      </c>
      <c r="Z12" s="31"/>
      <c r="AA12" s="30">
        <v>98</v>
      </c>
      <c r="AB12" s="30">
        <v>196</v>
      </c>
      <c r="AC12" s="31"/>
      <c r="AD12" s="31">
        <v>243</v>
      </c>
      <c r="AE12" s="31">
        <v>458</v>
      </c>
      <c r="AF12" s="30"/>
      <c r="AG12" s="30">
        <v>183</v>
      </c>
      <c r="AH12" s="30">
        <v>369</v>
      </c>
      <c r="AI12" s="31">
        <v>0</v>
      </c>
      <c r="AJ12" s="31"/>
      <c r="AK12" s="31"/>
    </row>
    <row r="13" spans="1:38" x14ac:dyDescent="0.3">
      <c r="A13" s="29" t="s">
        <v>254</v>
      </c>
      <c r="B13" s="30">
        <f t="shared" si="1"/>
        <v>15677967</v>
      </c>
      <c r="C13" s="30">
        <f t="shared" si="1"/>
        <v>15873927</v>
      </c>
      <c r="D13" s="30">
        <f t="shared" si="1"/>
        <v>4539831.8289999999</v>
      </c>
      <c r="E13" s="30">
        <v>56975</v>
      </c>
      <c r="F13" s="30">
        <v>56903</v>
      </c>
      <c r="G13" s="30">
        <f>F13*104.3%</f>
        <v>59349.828999999998</v>
      </c>
      <c r="H13" s="30">
        <f t="shared" ref="H13:J14" si="6">K13+N13+Q13+T13+W13+Z13+AC13+AF13+AI13</f>
        <v>15620992</v>
      </c>
      <c r="I13" s="30">
        <f t="shared" si="6"/>
        <v>15817024</v>
      </c>
      <c r="J13" s="30">
        <f t="shared" si="6"/>
        <v>4480482</v>
      </c>
      <c r="K13" s="30">
        <v>1145</v>
      </c>
      <c r="L13" s="30">
        <v>1145</v>
      </c>
      <c r="M13" s="30">
        <v>1145</v>
      </c>
      <c r="N13" s="30">
        <v>3027711</v>
      </c>
      <c r="O13" s="30">
        <v>3189594</v>
      </c>
      <c r="P13" s="30">
        <v>3189594</v>
      </c>
      <c r="Q13" s="30">
        <v>6746</v>
      </c>
      <c r="R13" s="30">
        <v>6587</v>
      </c>
      <c r="S13" s="30">
        <v>6731</v>
      </c>
      <c r="T13" s="30">
        <v>4126</v>
      </c>
      <c r="U13" s="30">
        <v>4252</v>
      </c>
      <c r="V13" s="30">
        <v>2806</v>
      </c>
      <c r="W13" s="30">
        <v>12566000</v>
      </c>
      <c r="X13" s="30">
        <v>12600000</v>
      </c>
      <c r="Y13" s="30">
        <v>1265000</v>
      </c>
      <c r="Z13" s="30">
        <v>2124</v>
      </c>
      <c r="AA13" s="30">
        <v>2124</v>
      </c>
      <c r="AB13" s="30">
        <v>2124</v>
      </c>
      <c r="AC13" s="30">
        <v>5086</v>
      </c>
      <c r="AD13" s="30">
        <v>5078</v>
      </c>
      <c r="AE13" s="30">
        <v>5078</v>
      </c>
      <c r="AF13" s="30">
        <v>2853</v>
      </c>
      <c r="AG13" s="30">
        <v>3043</v>
      </c>
      <c r="AH13" s="30">
        <v>3002</v>
      </c>
      <c r="AI13" s="30">
        <v>5201</v>
      </c>
      <c r="AJ13" s="30">
        <v>5201</v>
      </c>
      <c r="AK13" s="30">
        <v>5002</v>
      </c>
    </row>
    <row r="14" spans="1:38" x14ac:dyDescent="0.3">
      <c r="A14" s="29" t="s">
        <v>343</v>
      </c>
      <c r="B14" s="30">
        <f t="shared" si="1"/>
        <v>1504</v>
      </c>
      <c r="C14" s="30">
        <f t="shared" si="1"/>
        <v>1504</v>
      </c>
      <c r="D14" s="30">
        <f t="shared" si="1"/>
        <v>711</v>
      </c>
      <c r="E14" s="30">
        <v>0</v>
      </c>
      <c r="F14" s="30">
        <v>0</v>
      </c>
      <c r="G14" s="101">
        <f t="shared" ref="G14:G22" si="7">F14*104.3%</f>
        <v>0</v>
      </c>
      <c r="H14" s="30">
        <f t="shared" si="6"/>
        <v>1504</v>
      </c>
      <c r="I14" s="30">
        <f t="shared" si="6"/>
        <v>1504</v>
      </c>
      <c r="J14" s="30">
        <f t="shared" si="6"/>
        <v>711</v>
      </c>
      <c r="K14" s="30">
        <v>73</v>
      </c>
      <c r="L14" s="30">
        <v>73</v>
      </c>
      <c r="M14" s="30">
        <v>73</v>
      </c>
      <c r="N14" s="30">
        <v>113</v>
      </c>
      <c r="O14" s="30">
        <v>113</v>
      </c>
      <c r="P14" s="30">
        <v>0</v>
      </c>
      <c r="Q14" s="30">
        <v>340</v>
      </c>
      <c r="R14" s="30">
        <v>340</v>
      </c>
      <c r="S14" s="30">
        <v>0</v>
      </c>
      <c r="T14" s="30">
        <v>113</v>
      </c>
      <c r="U14" s="30">
        <v>113</v>
      </c>
      <c r="V14" s="30">
        <v>113</v>
      </c>
      <c r="W14" s="30">
        <v>0</v>
      </c>
      <c r="X14" s="30">
        <v>0</v>
      </c>
      <c r="Y14" s="30">
        <v>0</v>
      </c>
      <c r="Z14" s="30">
        <v>113</v>
      </c>
      <c r="AA14" s="30">
        <v>113</v>
      </c>
      <c r="AB14" s="30">
        <v>113</v>
      </c>
      <c r="AC14" s="30">
        <v>339</v>
      </c>
      <c r="AD14" s="30">
        <v>339</v>
      </c>
      <c r="AE14" s="30">
        <v>339</v>
      </c>
      <c r="AF14" s="30">
        <v>73</v>
      </c>
      <c r="AG14" s="30">
        <v>73</v>
      </c>
      <c r="AH14" s="30">
        <v>73</v>
      </c>
      <c r="AI14" s="30">
        <v>340</v>
      </c>
      <c r="AJ14" s="30">
        <v>340</v>
      </c>
      <c r="AK14" s="30">
        <v>0</v>
      </c>
    </row>
    <row r="15" spans="1:38" ht="28.2" x14ac:dyDescent="0.3">
      <c r="A15" s="29" t="s">
        <v>255</v>
      </c>
      <c r="B15" s="30">
        <f t="shared" si="1"/>
        <v>504116</v>
      </c>
      <c r="C15" s="30">
        <f t="shared" si="1"/>
        <v>503948</v>
      </c>
      <c r="D15" s="30">
        <f t="shared" si="1"/>
        <v>503936.35499999998</v>
      </c>
      <c r="E15" s="30">
        <v>2985</v>
      </c>
      <c r="F15" s="30">
        <v>2985</v>
      </c>
      <c r="G15" s="101">
        <f t="shared" si="7"/>
        <v>3113.3549999999996</v>
      </c>
      <c r="H15" s="30">
        <f t="shared" ref="H15:J25" si="8">K15+N15+Q15+T15+W15+Z15+AC15+AF15+AI15</f>
        <v>501131</v>
      </c>
      <c r="I15" s="30">
        <f t="shared" si="8"/>
        <v>500963</v>
      </c>
      <c r="J15" s="30">
        <f t="shared" si="8"/>
        <v>500823</v>
      </c>
      <c r="K15" s="30">
        <v>63</v>
      </c>
      <c r="L15" s="30">
        <v>63</v>
      </c>
      <c r="M15" s="30">
        <v>63</v>
      </c>
      <c r="N15" s="30">
        <v>46</v>
      </c>
      <c r="O15" s="30">
        <v>0</v>
      </c>
      <c r="P15" s="30">
        <v>1</v>
      </c>
      <c r="Q15" s="30">
        <v>230</v>
      </c>
      <c r="R15" s="30">
        <v>100</v>
      </c>
      <c r="S15" s="30">
        <v>50</v>
      </c>
      <c r="T15" s="30">
        <v>120</v>
      </c>
      <c r="U15" s="30">
        <v>123</v>
      </c>
      <c r="V15" s="30">
        <v>126</v>
      </c>
      <c r="W15" s="30">
        <v>500000</v>
      </c>
      <c r="X15" s="30">
        <v>500000</v>
      </c>
      <c r="Y15" s="30">
        <v>500000</v>
      </c>
      <c r="Z15" s="30">
        <v>80</v>
      </c>
      <c r="AA15" s="30">
        <v>60</v>
      </c>
      <c r="AB15" s="30">
        <v>63</v>
      </c>
      <c r="AC15" s="30">
        <v>60</v>
      </c>
      <c r="AD15" s="30">
        <v>32</v>
      </c>
      <c r="AE15" s="30">
        <v>20</v>
      </c>
      <c r="AF15" s="30">
        <v>422</v>
      </c>
      <c r="AG15" s="30">
        <v>445</v>
      </c>
      <c r="AH15" s="30">
        <v>450</v>
      </c>
      <c r="AI15" s="30">
        <v>110</v>
      </c>
      <c r="AJ15" s="30">
        <v>140</v>
      </c>
      <c r="AK15" s="30">
        <v>50</v>
      </c>
    </row>
    <row r="16" spans="1:38" x14ac:dyDescent="0.3">
      <c r="A16" s="29" t="s">
        <v>256</v>
      </c>
      <c r="B16" s="30">
        <f t="shared" si="1"/>
        <v>5764713</v>
      </c>
      <c r="C16" s="30">
        <f t="shared" si="1"/>
        <v>14795901</v>
      </c>
      <c r="D16" s="30">
        <f t="shared" si="1"/>
        <v>15253310.528999999</v>
      </c>
      <c r="E16" s="31">
        <v>10510</v>
      </c>
      <c r="F16" s="31">
        <v>8803</v>
      </c>
      <c r="G16" s="32">
        <f t="shared" si="7"/>
        <v>9181.5289999999986</v>
      </c>
      <c r="H16" s="30">
        <f t="shared" si="8"/>
        <v>5754203</v>
      </c>
      <c r="I16" s="30">
        <f t="shared" si="8"/>
        <v>14787098</v>
      </c>
      <c r="J16" s="30">
        <f t="shared" si="8"/>
        <v>15244129</v>
      </c>
      <c r="K16" s="31">
        <v>309</v>
      </c>
      <c r="L16" s="31">
        <v>309</v>
      </c>
      <c r="M16" s="31">
        <v>309</v>
      </c>
      <c r="N16" s="31">
        <v>2</v>
      </c>
      <c r="O16" s="31">
        <v>1</v>
      </c>
      <c r="P16" s="31">
        <v>0</v>
      </c>
      <c r="Q16" s="30">
        <v>2817</v>
      </c>
      <c r="R16" s="30">
        <v>2824</v>
      </c>
      <c r="S16" s="30">
        <v>2831</v>
      </c>
      <c r="T16" s="30">
        <v>133</v>
      </c>
      <c r="U16" s="30">
        <v>56</v>
      </c>
      <c r="V16" s="30">
        <v>59</v>
      </c>
      <c r="W16" s="30">
        <v>5750000</v>
      </c>
      <c r="X16" s="30">
        <v>14783000</v>
      </c>
      <c r="Y16" s="30">
        <v>15240000</v>
      </c>
      <c r="Z16" s="31">
        <v>0</v>
      </c>
      <c r="AA16" s="31">
        <v>0</v>
      </c>
      <c r="AB16" s="31">
        <v>0</v>
      </c>
      <c r="AC16" s="30">
        <v>85</v>
      </c>
      <c r="AD16" s="30">
        <v>0</v>
      </c>
      <c r="AE16" s="30">
        <v>0</v>
      </c>
      <c r="AF16" s="31">
        <v>467</v>
      </c>
      <c r="AG16" s="31">
        <v>498</v>
      </c>
      <c r="AH16" s="31">
        <v>530</v>
      </c>
      <c r="AI16" s="30">
        <v>390</v>
      </c>
      <c r="AJ16" s="31">
        <v>410</v>
      </c>
      <c r="AK16" s="31">
        <v>400</v>
      </c>
    </row>
    <row r="17" spans="1:38" x14ac:dyDescent="0.3">
      <c r="A17" s="29" t="s">
        <v>257</v>
      </c>
      <c r="B17" s="30">
        <f t="shared" si="1"/>
        <v>58068447</v>
      </c>
      <c r="C17" s="30">
        <f t="shared" si="1"/>
        <v>22098338</v>
      </c>
      <c r="D17" s="30">
        <f t="shared" si="1"/>
        <v>21539056.271000002</v>
      </c>
      <c r="E17" s="31">
        <v>114990</v>
      </c>
      <c r="F17" s="31">
        <v>118797</v>
      </c>
      <c r="G17" s="32">
        <f t="shared" si="7"/>
        <v>123905.27099999999</v>
      </c>
      <c r="H17" s="30">
        <f t="shared" si="8"/>
        <v>57953457</v>
      </c>
      <c r="I17" s="30">
        <f t="shared" si="8"/>
        <v>21979541</v>
      </c>
      <c r="J17" s="30">
        <f t="shared" si="8"/>
        <v>21415151</v>
      </c>
      <c r="K17" s="30">
        <v>356</v>
      </c>
      <c r="L17" s="30">
        <v>356</v>
      </c>
      <c r="M17" s="30">
        <v>356</v>
      </c>
      <c r="N17" s="30">
        <v>115</v>
      </c>
      <c r="O17" s="30">
        <v>0</v>
      </c>
      <c r="P17" s="30">
        <v>0</v>
      </c>
      <c r="Q17" s="30">
        <v>4593</v>
      </c>
      <c r="R17" s="30">
        <v>3553</v>
      </c>
      <c r="S17" s="30">
        <v>3032</v>
      </c>
      <c r="T17" s="30">
        <v>439</v>
      </c>
      <c r="U17" s="30">
        <v>459</v>
      </c>
      <c r="V17" s="30">
        <v>480</v>
      </c>
      <c r="W17" s="30">
        <v>57944226</v>
      </c>
      <c r="X17" s="30">
        <v>21971735</v>
      </c>
      <c r="Y17" s="30">
        <v>21408223</v>
      </c>
      <c r="Z17" s="31">
        <v>0</v>
      </c>
      <c r="AA17" s="31">
        <v>0</v>
      </c>
      <c r="AB17" s="31">
        <v>0</v>
      </c>
      <c r="AC17" s="30">
        <v>2168</v>
      </c>
      <c r="AD17" s="30">
        <v>1706</v>
      </c>
      <c r="AE17" s="30">
        <v>1043</v>
      </c>
      <c r="AF17" s="30">
        <v>450</v>
      </c>
      <c r="AG17" s="30">
        <v>522</v>
      </c>
      <c r="AH17" s="30">
        <v>570</v>
      </c>
      <c r="AI17" s="30">
        <v>1110</v>
      </c>
      <c r="AJ17" s="30">
        <v>1210</v>
      </c>
      <c r="AK17" s="30">
        <v>1447</v>
      </c>
    </row>
    <row r="18" spans="1:38" x14ac:dyDescent="0.3">
      <c r="A18" s="29" t="s">
        <v>258</v>
      </c>
      <c r="B18" s="31">
        <f t="shared" si="1"/>
        <v>100010</v>
      </c>
      <c r="C18" s="31">
        <f t="shared" si="1"/>
        <v>100010</v>
      </c>
      <c r="D18" s="31">
        <f t="shared" si="1"/>
        <v>100010</v>
      </c>
      <c r="E18" s="31">
        <v>0</v>
      </c>
      <c r="F18" s="31">
        <v>0</v>
      </c>
      <c r="G18" s="32">
        <f t="shared" si="7"/>
        <v>0</v>
      </c>
      <c r="H18" s="31">
        <f t="shared" si="8"/>
        <v>100010</v>
      </c>
      <c r="I18" s="31">
        <f t="shared" si="8"/>
        <v>100010</v>
      </c>
      <c r="J18" s="31">
        <f t="shared" si="8"/>
        <v>100010</v>
      </c>
      <c r="K18" s="31">
        <v>10</v>
      </c>
      <c r="L18" s="31">
        <v>10</v>
      </c>
      <c r="M18" s="31">
        <v>10</v>
      </c>
      <c r="N18" s="31">
        <v>0</v>
      </c>
      <c r="O18" s="31">
        <v>0</v>
      </c>
      <c r="P18" s="31">
        <v>0</v>
      </c>
      <c r="Q18" s="31">
        <v>0</v>
      </c>
      <c r="R18" s="31">
        <v>0</v>
      </c>
      <c r="S18" s="31">
        <v>0</v>
      </c>
      <c r="T18" s="31">
        <v>0</v>
      </c>
      <c r="U18" s="31">
        <v>0</v>
      </c>
      <c r="V18" s="31">
        <v>0</v>
      </c>
      <c r="W18" s="31">
        <v>100000</v>
      </c>
      <c r="X18" s="31">
        <v>100000</v>
      </c>
      <c r="Y18" s="31">
        <v>100000</v>
      </c>
      <c r="Z18" s="31">
        <v>0</v>
      </c>
      <c r="AA18" s="31">
        <v>0</v>
      </c>
      <c r="AB18" s="31">
        <v>0</v>
      </c>
      <c r="AC18" s="31">
        <v>0</v>
      </c>
      <c r="AD18" s="31">
        <v>0</v>
      </c>
      <c r="AE18" s="31">
        <v>0</v>
      </c>
      <c r="AF18" s="31">
        <v>0</v>
      </c>
      <c r="AG18" s="31">
        <v>0</v>
      </c>
      <c r="AH18" s="31">
        <v>0</v>
      </c>
      <c r="AI18" s="31">
        <v>0</v>
      </c>
      <c r="AJ18" s="31">
        <v>0</v>
      </c>
      <c r="AK18" s="31">
        <v>0</v>
      </c>
    </row>
    <row r="19" spans="1:38" x14ac:dyDescent="0.3">
      <c r="A19" s="29" t="s">
        <v>259</v>
      </c>
      <c r="B19" s="30">
        <f t="shared" si="1"/>
        <v>623199.30000000005</v>
      </c>
      <c r="C19" s="30">
        <f t="shared" si="1"/>
        <v>585366.1</v>
      </c>
      <c r="D19" s="30">
        <f t="shared" si="1"/>
        <v>603222.41899999999</v>
      </c>
      <c r="E19" s="30">
        <v>423166</v>
      </c>
      <c r="F19" s="30">
        <f>405333+10000</f>
        <v>415333</v>
      </c>
      <c r="G19" s="101">
        <f t="shared" si="7"/>
        <v>433192.31899999996</v>
      </c>
      <c r="H19" s="30">
        <f t="shared" si="8"/>
        <v>200033.3</v>
      </c>
      <c r="I19" s="30">
        <f t="shared" si="8"/>
        <v>170033.1</v>
      </c>
      <c r="J19" s="30">
        <f t="shared" si="8"/>
        <v>170030.1</v>
      </c>
      <c r="K19" s="31"/>
      <c r="L19" s="31"/>
      <c r="M19" s="31"/>
      <c r="N19" s="31">
        <v>0.3</v>
      </c>
      <c r="O19" s="31">
        <v>0.1</v>
      </c>
      <c r="P19" s="31">
        <v>0.1</v>
      </c>
      <c r="Q19" s="31">
        <v>0</v>
      </c>
      <c r="R19" s="31">
        <v>0</v>
      </c>
      <c r="S19" s="31">
        <v>0</v>
      </c>
      <c r="T19" s="31">
        <v>3</v>
      </c>
      <c r="U19" s="31">
        <v>3</v>
      </c>
      <c r="V19" s="31">
        <v>0</v>
      </c>
      <c r="W19" s="30">
        <v>200000</v>
      </c>
      <c r="X19" s="30">
        <v>170000</v>
      </c>
      <c r="Y19" s="30">
        <v>170000</v>
      </c>
      <c r="Z19" s="31">
        <v>0</v>
      </c>
      <c r="AA19" s="31">
        <v>0</v>
      </c>
      <c r="AB19" s="31">
        <v>0</v>
      </c>
      <c r="AC19" s="30">
        <v>30</v>
      </c>
      <c r="AD19" s="30">
        <v>30</v>
      </c>
      <c r="AE19" s="30">
        <v>30</v>
      </c>
      <c r="AF19" s="31">
        <v>0</v>
      </c>
      <c r="AG19" s="31">
        <v>0</v>
      </c>
      <c r="AH19" s="31">
        <v>0</v>
      </c>
      <c r="AI19" s="31">
        <v>0</v>
      </c>
      <c r="AJ19" s="31">
        <v>0</v>
      </c>
      <c r="AK19" s="31">
        <v>0</v>
      </c>
    </row>
    <row r="20" spans="1:38" x14ac:dyDescent="0.3">
      <c r="A20" s="29" t="s">
        <v>260</v>
      </c>
      <c r="B20" s="30">
        <f t="shared" si="1"/>
        <v>2931426</v>
      </c>
      <c r="C20" s="30">
        <f t="shared" si="1"/>
        <v>1782286</v>
      </c>
      <c r="D20" s="30">
        <f t="shared" si="1"/>
        <v>1783322.2120000001</v>
      </c>
      <c r="E20" s="30">
        <f>14968+1905</f>
        <v>16873</v>
      </c>
      <c r="F20" s="30">
        <f>12284+6000</f>
        <v>18284</v>
      </c>
      <c r="G20" s="101">
        <f>F20*104.3%</f>
        <v>19070.212</v>
      </c>
      <c r="H20" s="30">
        <f t="shared" si="8"/>
        <v>2914553</v>
      </c>
      <c r="I20" s="30">
        <f t="shared" si="8"/>
        <v>1764002</v>
      </c>
      <c r="J20" s="30">
        <f t="shared" si="8"/>
        <v>1764252</v>
      </c>
      <c r="K20" s="30">
        <v>1339</v>
      </c>
      <c r="L20" s="30">
        <v>867</v>
      </c>
      <c r="M20" s="30">
        <v>789</v>
      </c>
      <c r="N20" s="30">
        <v>1959</v>
      </c>
      <c r="O20" s="30">
        <v>2059</v>
      </c>
      <c r="P20" s="30">
        <v>2059</v>
      </c>
      <c r="Q20" s="30">
        <v>1845</v>
      </c>
      <c r="R20" s="30">
        <v>2130</v>
      </c>
      <c r="S20" s="30">
        <v>1657</v>
      </c>
      <c r="T20" s="30">
        <v>1754</v>
      </c>
      <c r="U20" s="30">
        <v>1845</v>
      </c>
      <c r="V20" s="30">
        <v>1940</v>
      </c>
      <c r="W20" s="30">
        <v>2900000</v>
      </c>
      <c r="X20" s="30">
        <v>1749602</v>
      </c>
      <c r="Y20" s="30">
        <v>1750000</v>
      </c>
      <c r="Z20" s="30">
        <v>1799</v>
      </c>
      <c r="AA20" s="30">
        <v>1637</v>
      </c>
      <c r="AB20" s="30">
        <v>1610</v>
      </c>
      <c r="AC20" s="30">
        <v>2401</v>
      </c>
      <c r="AD20" s="30">
        <v>2496</v>
      </c>
      <c r="AE20" s="30">
        <v>2596</v>
      </c>
      <c r="AF20" s="30">
        <v>2915</v>
      </c>
      <c r="AG20" s="30">
        <v>2774</v>
      </c>
      <c r="AH20" s="30">
        <v>2954</v>
      </c>
      <c r="AI20" s="30">
        <v>541</v>
      </c>
      <c r="AJ20" s="30">
        <v>592</v>
      </c>
      <c r="AK20" s="30">
        <v>647</v>
      </c>
    </row>
    <row r="21" spans="1:38" x14ac:dyDescent="0.3">
      <c r="A21" s="29" t="s">
        <v>261</v>
      </c>
      <c r="B21" s="32">
        <f t="shared" si="1"/>
        <v>573</v>
      </c>
      <c r="C21" s="32">
        <f t="shared" si="1"/>
        <v>573</v>
      </c>
      <c r="D21" s="32">
        <f t="shared" si="1"/>
        <v>597.63900000000001</v>
      </c>
      <c r="E21" s="32">
        <v>573</v>
      </c>
      <c r="F21" s="31">
        <v>573</v>
      </c>
      <c r="G21" s="32">
        <f t="shared" si="7"/>
        <v>597.63900000000001</v>
      </c>
      <c r="H21" s="31">
        <f t="shared" si="8"/>
        <v>0</v>
      </c>
      <c r="I21" s="31">
        <f t="shared" si="8"/>
        <v>0</v>
      </c>
      <c r="J21" s="31">
        <f t="shared" si="8"/>
        <v>0</v>
      </c>
      <c r="K21" s="31"/>
      <c r="L21" s="31"/>
      <c r="M21" s="31"/>
      <c r="N21" s="31">
        <v>0</v>
      </c>
      <c r="O21" s="31">
        <v>0</v>
      </c>
      <c r="P21" s="31">
        <v>0</v>
      </c>
      <c r="Q21" s="31">
        <v>0</v>
      </c>
      <c r="R21" s="31">
        <v>0</v>
      </c>
      <c r="S21" s="31">
        <v>0</v>
      </c>
      <c r="T21" s="31">
        <v>0</v>
      </c>
      <c r="U21" s="31">
        <v>0</v>
      </c>
      <c r="V21" s="31">
        <v>0</v>
      </c>
      <c r="W21" s="31">
        <v>0</v>
      </c>
      <c r="X21" s="31">
        <v>0</v>
      </c>
      <c r="Y21" s="31">
        <v>0</v>
      </c>
      <c r="Z21" s="31">
        <v>0</v>
      </c>
      <c r="AA21" s="31">
        <v>0</v>
      </c>
      <c r="AB21" s="31">
        <v>0</v>
      </c>
      <c r="AC21" s="31">
        <v>0</v>
      </c>
      <c r="AD21" s="31">
        <v>0</v>
      </c>
      <c r="AE21" s="31">
        <v>0</v>
      </c>
      <c r="AF21" s="31">
        <v>0</v>
      </c>
      <c r="AG21" s="31">
        <v>0</v>
      </c>
      <c r="AH21" s="31">
        <v>0</v>
      </c>
      <c r="AI21" s="31">
        <v>0</v>
      </c>
      <c r="AJ21" s="31">
        <v>0</v>
      </c>
      <c r="AK21" s="31">
        <v>0</v>
      </c>
    </row>
    <row r="22" spans="1:38" x14ac:dyDescent="0.3">
      <c r="A22" s="29" t="s">
        <v>262</v>
      </c>
      <c r="B22" s="30">
        <f t="shared" si="1"/>
        <v>1140881</v>
      </c>
      <c r="C22" s="30">
        <f t="shared" si="1"/>
        <v>1285315</v>
      </c>
      <c r="D22" s="30">
        <f t="shared" si="1"/>
        <v>1337298.297</v>
      </c>
      <c r="E22" s="30">
        <v>40373</v>
      </c>
      <c r="F22" s="30">
        <v>44379</v>
      </c>
      <c r="G22" s="101">
        <f t="shared" si="7"/>
        <v>46287.296999999999</v>
      </c>
      <c r="H22" s="30">
        <f t="shared" si="8"/>
        <v>1100508</v>
      </c>
      <c r="I22" s="30">
        <f t="shared" si="8"/>
        <v>1240936</v>
      </c>
      <c r="J22" s="30">
        <f t="shared" si="8"/>
        <v>1291011</v>
      </c>
      <c r="K22" s="30">
        <v>10</v>
      </c>
      <c r="L22" s="30">
        <v>80</v>
      </c>
      <c r="M22" s="30">
        <v>80</v>
      </c>
      <c r="N22" s="31">
        <v>0</v>
      </c>
      <c r="O22" s="31">
        <v>0</v>
      </c>
      <c r="P22" s="31">
        <v>0</v>
      </c>
      <c r="Q22" s="30">
        <v>147</v>
      </c>
      <c r="R22" s="30">
        <v>149</v>
      </c>
      <c r="S22" s="30">
        <v>151</v>
      </c>
      <c r="T22" s="31">
        <v>0</v>
      </c>
      <c r="U22" s="31">
        <v>0</v>
      </c>
      <c r="V22" s="31">
        <v>0</v>
      </c>
      <c r="W22" s="30">
        <v>1100000</v>
      </c>
      <c r="X22" s="30">
        <v>1240267</v>
      </c>
      <c r="Y22" s="30">
        <v>1290300</v>
      </c>
      <c r="Z22" s="31">
        <v>0</v>
      </c>
      <c r="AA22" s="31">
        <v>0</v>
      </c>
      <c r="AB22" s="31">
        <v>0</v>
      </c>
      <c r="AC22" s="30">
        <v>15</v>
      </c>
      <c r="AD22" s="30">
        <v>50</v>
      </c>
      <c r="AE22" s="30">
        <v>50</v>
      </c>
      <c r="AF22" s="30">
        <v>151</v>
      </c>
      <c r="AG22" s="30">
        <v>159</v>
      </c>
      <c r="AH22" s="30">
        <v>169</v>
      </c>
      <c r="AI22" s="30">
        <v>185</v>
      </c>
      <c r="AJ22" s="30">
        <v>231</v>
      </c>
      <c r="AK22" s="30">
        <v>261</v>
      </c>
    </row>
    <row r="23" spans="1:38" x14ac:dyDescent="0.3">
      <c r="A23" s="29" t="s">
        <v>263</v>
      </c>
      <c r="B23" s="30">
        <f t="shared" si="1"/>
        <v>220616</v>
      </c>
      <c r="C23" s="30">
        <f t="shared" si="1"/>
        <v>231323</v>
      </c>
      <c r="D23" s="30">
        <f t="shared" si="1"/>
        <v>228484</v>
      </c>
      <c r="E23" s="31">
        <v>18740</v>
      </c>
      <c r="F23" s="31">
        <v>2700</v>
      </c>
      <c r="G23" s="32">
        <v>0</v>
      </c>
      <c r="H23" s="30">
        <f t="shared" si="8"/>
        <v>201876</v>
      </c>
      <c r="I23" s="30">
        <f t="shared" si="8"/>
        <v>228623</v>
      </c>
      <c r="J23" s="30">
        <f t="shared" si="8"/>
        <v>228484</v>
      </c>
      <c r="K23" s="31"/>
      <c r="L23" s="31"/>
      <c r="M23" s="31"/>
      <c r="N23" s="31">
        <v>33</v>
      </c>
      <c r="O23" s="31">
        <v>0</v>
      </c>
      <c r="P23" s="31">
        <v>0</v>
      </c>
      <c r="Q23" s="30">
        <v>532</v>
      </c>
      <c r="R23" s="30">
        <v>532</v>
      </c>
      <c r="S23" s="30">
        <v>182</v>
      </c>
      <c r="T23" s="31">
        <v>3</v>
      </c>
      <c r="U23" s="31">
        <v>3</v>
      </c>
      <c r="V23" s="31">
        <v>4</v>
      </c>
      <c r="W23" s="30">
        <v>200000</v>
      </c>
      <c r="X23" s="30">
        <v>227000</v>
      </c>
      <c r="Y23" s="30">
        <v>227000</v>
      </c>
      <c r="Z23" s="31">
        <v>0</v>
      </c>
      <c r="AA23" s="31"/>
      <c r="AB23" s="31">
        <v>0</v>
      </c>
      <c r="AC23" s="30">
        <v>230</v>
      </c>
      <c r="AD23" s="30">
        <v>0</v>
      </c>
      <c r="AE23" s="30">
        <v>0</v>
      </c>
      <c r="AF23" s="31">
        <v>0</v>
      </c>
      <c r="AG23" s="31">
        <v>0</v>
      </c>
      <c r="AH23" s="31">
        <v>0</v>
      </c>
      <c r="AI23" s="30">
        <v>1078</v>
      </c>
      <c r="AJ23" s="30">
        <v>1088</v>
      </c>
      <c r="AK23" s="30">
        <v>1298</v>
      </c>
    </row>
    <row r="24" spans="1:38" ht="28.2" x14ac:dyDescent="0.3">
      <c r="A24" s="29" t="s">
        <v>264</v>
      </c>
      <c r="B24" s="30">
        <f t="shared" si="1"/>
        <v>1200084</v>
      </c>
      <c r="C24" s="30">
        <f t="shared" si="1"/>
        <v>600055</v>
      </c>
      <c r="D24" s="31">
        <f t="shared" si="1"/>
        <v>500088</v>
      </c>
      <c r="E24" s="30">
        <v>16</v>
      </c>
      <c r="F24" s="31">
        <v>0</v>
      </c>
      <c r="G24" s="32">
        <v>38</v>
      </c>
      <c r="H24" s="30">
        <f>K24+N24+Q24+T24+W24+Z24+AC24+AF24+AI24</f>
        <v>1200068</v>
      </c>
      <c r="I24" s="30">
        <f t="shared" si="8"/>
        <v>600055</v>
      </c>
      <c r="J24" s="31">
        <f t="shared" si="8"/>
        <v>500050</v>
      </c>
      <c r="K24" s="31"/>
      <c r="L24" s="31"/>
      <c r="M24" s="31"/>
      <c r="N24" s="31">
        <v>0</v>
      </c>
      <c r="O24" s="31">
        <v>0</v>
      </c>
      <c r="P24" s="31">
        <v>0</v>
      </c>
      <c r="Q24" s="31">
        <v>0</v>
      </c>
      <c r="R24" s="31">
        <v>0</v>
      </c>
      <c r="S24" s="31">
        <v>0</v>
      </c>
      <c r="T24" s="31">
        <v>50</v>
      </c>
      <c r="U24" s="31">
        <v>50</v>
      </c>
      <c r="V24" s="31">
        <v>50</v>
      </c>
      <c r="W24" s="30">
        <v>1200000</v>
      </c>
      <c r="X24" s="31">
        <v>600000</v>
      </c>
      <c r="Y24" s="31">
        <v>500000</v>
      </c>
      <c r="Z24" s="31">
        <v>0</v>
      </c>
      <c r="AA24" s="31">
        <v>0</v>
      </c>
      <c r="AB24" s="31">
        <v>0</v>
      </c>
      <c r="AC24" s="31">
        <v>0</v>
      </c>
      <c r="AD24" s="31">
        <v>0</v>
      </c>
      <c r="AE24" s="31">
        <v>0</v>
      </c>
      <c r="AF24" s="31">
        <v>18</v>
      </c>
      <c r="AG24" s="31">
        <v>5</v>
      </c>
      <c r="AH24" s="31">
        <v>0</v>
      </c>
      <c r="AI24" s="31">
        <v>0</v>
      </c>
      <c r="AJ24" s="31">
        <v>0</v>
      </c>
      <c r="AK24" s="31">
        <v>0</v>
      </c>
    </row>
    <row r="25" spans="1:38" ht="55.8" x14ac:dyDescent="0.3">
      <c r="A25" s="29" t="s">
        <v>265</v>
      </c>
      <c r="B25" s="30">
        <f>E25+H25</f>
        <v>15846</v>
      </c>
      <c r="C25" s="30">
        <f t="shared" si="1"/>
        <v>13397</v>
      </c>
      <c r="D25" s="30">
        <f t="shared" si="1"/>
        <v>11446.25</v>
      </c>
      <c r="E25" s="30">
        <v>15300</v>
      </c>
      <c r="F25" s="30">
        <v>13005</v>
      </c>
      <c r="G25" s="101">
        <f>F25*85%</f>
        <v>11054.25</v>
      </c>
      <c r="H25" s="30">
        <f t="shared" si="8"/>
        <v>546</v>
      </c>
      <c r="I25" s="30">
        <f t="shared" si="8"/>
        <v>392</v>
      </c>
      <c r="J25" s="30">
        <f t="shared" si="8"/>
        <v>392</v>
      </c>
      <c r="K25" s="31">
        <v>496</v>
      </c>
      <c r="L25" s="31">
        <v>392</v>
      </c>
      <c r="M25" s="31">
        <v>392</v>
      </c>
      <c r="N25" s="31">
        <v>0</v>
      </c>
      <c r="O25" s="31">
        <v>0</v>
      </c>
      <c r="P25" s="31">
        <v>0</v>
      </c>
      <c r="Q25" s="31">
        <v>50</v>
      </c>
      <c r="R25" s="31">
        <v>0</v>
      </c>
      <c r="S25" s="31">
        <v>0</v>
      </c>
      <c r="T25" s="31">
        <v>0</v>
      </c>
      <c r="U25" s="31">
        <v>0</v>
      </c>
      <c r="V25" s="31">
        <v>0</v>
      </c>
      <c r="W25" s="31"/>
      <c r="X25" s="31">
        <v>0</v>
      </c>
      <c r="Y25" s="31">
        <v>0</v>
      </c>
      <c r="Z25" s="31">
        <v>0</v>
      </c>
      <c r="AA25" s="31">
        <v>0</v>
      </c>
      <c r="AB25" s="31">
        <v>0</v>
      </c>
      <c r="AC25" s="31">
        <v>0</v>
      </c>
      <c r="AD25" s="31">
        <v>0</v>
      </c>
      <c r="AE25" s="31">
        <v>0</v>
      </c>
      <c r="AF25" s="31">
        <v>0</v>
      </c>
      <c r="AG25" s="31">
        <v>0</v>
      </c>
      <c r="AH25" s="31">
        <v>0</v>
      </c>
      <c r="AI25" s="31">
        <v>0</v>
      </c>
      <c r="AJ25" s="31">
        <v>0</v>
      </c>
      <c r="AK25" s="31">
        <v>0</v>
      </c>
    </row>
    <row r="26" spans="1:38" ht="28.2" x14ac:dyDescent="0.3">
      <c r="A26" s="27" t="s">
        <v>266</v>
      </c>
      <c r="B26" s="28">
        <f t="shared" si="1"/>
        <v>-84264924.200000003</v>
      </c>
      <c r="C26" s="28">
        <f t="shared" si="1"/>
        <v>-56492382</v>
      </c>
      <c r="D26" s="28">
        <f t="shared" si="1"/>
        <v>-45120417.800999999</v>
      </c>
      <c r="E26" s="28">
        <f>E6-E11</f>
        <v>-14795</v>
      </c>
      <c r="F26" s="28">
        <f>F6-F11</f>
        <v>-2533</v>
      </c>
      <c r="G26" s="28">
        <f>G6-G11</f>
        <v>-23060.700999999885</v>
      </c>
      <c r="H26" s="28">
        <f t="shared" ref="H26:AK26" si="9">H6-H11</f>
        <v>-84250129.200000003</v>
      </c>
      <c r="I26" s="28">
        <f t="shared" si="9"/>
        <v>-56489849</v>
      </c>
      <c r="J26" s="28">
        <f t="shared" si="9"/>
        <v>-45097357.100000001</v>
      </c>
      <c r="K26" s="34">
        <f t="shared" si="9"/>
        <v>-3496.1</v>
      </c>
      <c r="L26" s="34">
        <f t="shared" si="9"/>
        <v>-2978.3</v>
      </c>
      <c r="M26" s="34">
        <f t="shared" si="9"/>
        <v>-2974</v>
      </c>
      <c r="N26" s="28">
        <f t="shared" si="9"/>
        <v>-3027257.1999999997</v>
      </c>
      <c r="O26" s="28">
        <f t="shared" si="9"/>
        <v>-3188929.5</v>
      </c>
      <c r="P26" s="28">
        <f t="shared" si="9"/>
        <v>-3188955.1</v>
      </c>
      <c r="Q26" s="34">
        <f t="shared" si="9"/>
        <v>-0.2999999999992724</v>
      </c>
      <c r="R26" s="34">
        <f t="shared" si="9"/>
        <v>1</v>
      </c>
      <c r="S26" s="34">
        <f>S6-S11</f>
        <v>1</v>
      </c>
      <c r="T26" s="28">
        <f t="shared" si="9"/>
        <v>-3926.9</v>
      </c>
      <c r="U26" s="28">
        <f t="shared" si="9"/>
        <v>-3969.7</v>
      </c>
      <c r="V26" s="28">
        <f t="shared" si="9"/>
        <v>-2646</v>
      </c>
      <c r="W26" s="28">
        <f t="shared" si="9"/>
        <v>-82410635.799999997</v>
      </c>
      <c r="X26" s="28">
        <f t="shared" si="9"/>
        <v>-53891924.799999997</v>
      </c>
      <c r="Y26" s="28">
        <f t="shared" si="9"/>
        <v>-42401183</v>
      </c>
      <c r="Z26" s="28">
        <f t="shared" si="9"/>
        <v>-165.59999999999991</v>
      </c>
      <c r="AA26" s="28">
        <f t="shared" si="9"/>
        <v>-51</v>
      </c>
      <c r="AB26" s="28">
        <f t="shared" si="9"/>
        <v>-346</v>
      </c>
      <c r="AC26" s="28">
        <f t="shared" si="9"/>
        <v>-3829.3999999999996</v>
      </c>
      <c r="AD26" s="28">
        <f>AD6-AD11</f>
        <v>-2856.6000000000004</v>
      </c>
      <c r="AE26" s="28">
        <f t="shared" si="9"/>
        <v>-2502</v>
      </c>
      <c r="AF26" s="28">
        <f t="shared" si="9"/>
        <v>-2935.7</v>
      </c>
      <c r="AG26" s="28">
        <f t="shared" si="9"/>
        <v>-2919.8</v>
      </c>
      <c r="AH26" s="28">
        <f t="shared" si="9"/>
        <v>-3085</v>
      </c>
      <c r="AI26" s="28">
        <f t="shared" si="9"/>
        <v>-0.2000000000007276</v>
      </c>
      <c r="AJ26" s="34">
        <f t="shared" si="9"/>
        <v>-0.2999999999992724</v>
      </c>
      <c r="AK26" s="34">
        <f t="shared" si="9"/>
        <v>1</v>
      </c>
    </row>
    <row r="27" spans="1:38" ht="28.2" x14ac:dyDescent="0.3">
      <c r="A27" s="27" t="s">
        <v>267</v>
      </c>
      <c r="B27" s="28">
        <f>E27+H27</f>
        <v>-14795.300000000001</v>
      </c>
      <c r="C27" s="28">
        <f>F27+I27</f>
        <v>-15839.2</v>
      </c>
      <c r="D27" s="28">
        <f>G27+J27</f>
        <v>-16561.900000000001</v>
      </c>
      <c r="E27" s="28">
        <f>-(E7+E8)*10%</f>
        <v>-14795.300000000001</v>
      </c>
      <c r="F27" s="28">
        <f>-(F7+F8)*10%</f>
        <v>-15839.2</v>
      </c>
      <c r="G27" s="28">
        <f>-(G7+G8)*10%</f>
        <v>-16561.900000000001</v>
      </c>
      <c r="H27" s="34">
        <v>0</v>
      </c>
      <c r="I27" s="34">
        <v>0</v>
      </c>
      <c r="J27" s="34">
        <v>0</v>
      </c>
      <c r="K27" s="35">
        <f t="shared" ref="K27:P27" si="10">-(K7+K8)*5%</f>
        <v>-10.950000000000001</v>
      </c>
      <c r="L27" s="35">
        <f t="shared" si="10"/>
        <v>-11.5</v>
      </c>
      <c r="M27" s="35">
        <f t="shared" si="10"/>
        <v>-12.15</v>
      </c>
      <c r="N27" s="35">
        <f t="shared" si="10"/>
        <v>-128.30000000000001</v>
      </c>
      <c r="O27" s="35">
        <f t="shared" si="10"/>
        <v>-133.95000000000002</v>
      </c>
      <c r="P27" s="35">
        <f t="shared" si="10"/>
        <v>-134.95000000000002</v>
      </c>
      <c r="Q27" s="35">
        <f t="shared" ref="Q27:AK27" si="11">-(Q7+Q8)*10%</f>
        <v>-1663.7</v>
      </c>
      <c r="R27" s="35">
        <f t="shared" si="11"/>
        <v>-1727.4</v>
      </c>
      <c r="S27" s="35">
        <f t="shared" si="11"/>
        <v>-1761.8000000000002</v>
      </c>
      <c r="T27" s="35">
        <f t="shared" si="11"/>
        <v>-264.60000000000002</v>
      </c>
      <c r="U27" s="35">
        <f t="shared" si="11"/>
        <v>-276.3</v>
      </c>
      <c r="V27" s="35">
        <f t="shared" si="11"/>
        <v>-293.2</v>
      </c>
      <c r="W27" s="35">
        <f t="shared" si="11"/>
        <v>-4927</v>
      </c>
      <c r="X27" s="35">
        <f t="shared" si="11"/>
        <v>-4934</v>
      </c>
      <c r="Y27" s="35">
        <f t="shared" si="11"/>
        <v>-4934</v>
      </c>
      <c r="Z27" s="35">
        <f t="shared" si="11"/>
        <v>-362.1</v>
      </c>
      <c r="AA27" s="35">
        <f t="shared" si="11"/>
        <v>-369.20000000000005</v>
      </c>
      <c r="AB27" s="35">
        <f t="shared" si="11"/>
        <v>-376</v>
      </c>
      <c r="AC27" s="35">
        <f t="shared" si="11"/>
        <v>-607.20000000000005</v>
      </c>
      <c r="AD27" s="35">
        <f t="shared" si="11"/>
        <v>-635.6</v>
      </c>
      <c r="AE27" s="35">
        <f t="shared" si="11"/>
        <v>-665.40000000000009</v>
      </c>
      <c r="AF27" s="35">
        <f t="shared" si="11"/>
        <v>-427.40000000000003</v>
      </c>
      <c r="AG27" s="35">
        <f t="shared" si="11"/>
        <v>-445.6</v>
      </c>
      <c r="AH27" s="35">
        <f t="shared" si="11"/>
        <v>-466.3</v>
      </c>
      <c r="AI27" s="35">
        <f t="shared" si="11"/>
        <v>-840</v>
      </c>
      <c r="AJ27" s="35">
        <f t="shared" si="11"/>
        <v>-865</v>
      </c>
      <c r="AK27" s="35">
        <f t="shared" si="11"/>
        <v>-910.6</v>
      </c>
    </row>
    <row r="28" spans="1:38" ht="28.2" x14ac:dyDescent="0.3">
      <c r="A28" s="29" t="s">
        <v>268</v>
      </c>
      <c r="B28" s="36"/>
      <c r="C28" s="36"/>
      <c r="D28" s="36"/>
      <c r="E28" s="37">
        <f>(E7+E8)*24.12%</f>
        <v>35686.263599999998</v>
      </c>
      <c r="F28" s="37">
        <f>(F7+F8)*24.12%</f>
        <v>38204.150399999999</v>
      </c>
      <c r="G28" s="37">
        <f>(G7+G8)*24.12%</f>
        <v>39947.302799999998</v>
      </c>
      <c r="H28" s="36"/>
      <c r="I28" s="36"/>
      <c r="J28" s="36"/>
      <c r="K28" s="37">
        <f>(K7+K8+K9)*31.56%</f>
        <v>96.226439999999997</v>
      </c>
      <c r="L28" s="37">
        <f>(L7+L8+L9)*31.56%</f>
        <v>99.950519999999997</v>
      </c>
      <c r="M28" s="37">
        <f>(M7+M8+M9)*31.56%</f>
        <v>76.690799999999996</v>
      </c>
      <c r="N28" s="37">
        <f>(N7+N8+N9)*57.92%</f>
        <v>1576.64032</v>
      </c>
      <c r="O28" s="37">
        <f>(O7+O8+O9)*57.92%</f>
        <v>1643.53792</v>
      </c>
      <c r="P28" s="37">
        <f>(P7+P8+P9)*57.92%</f>
        <v>1563.2608</v>
      </c>
      <c r="Q28" s="37">
        <f>(Q7+Q8+Q9)*34.38%</f>
        <v>5947.6368600000014</v>
      </c>
      <c r="R28" s="37">
        <f>(R7+R8+R9)*34.38%</f>
        <v>6170.1786000000011</v>
      </c>
      <c r="S28" s="37">
        <f>(S7+S8+S9)*34.38%</f>
        <v>6057.068400000001</v>
      </c>
      <c r="T28" s="37">
        <f>(T7+T8+T9)*42.14%</f>
        <v>1185.8617400000001</v>
      </c>
      <c r="U28" s="37">
        <f>(U7+U8+U9)*42.14%</f>
        <v>1236.5140200000001</v>
      </c>
      <c r="V28" s="37">
        <f>(V7+V8+V9)*42.14%</f>
        <v>1235.5447999999999</v>
      </c>
      <c r="W28" s="30">
        <f>(W7+W8+W9)*18.45%</f>
        <v>9149.3918999999987</v>
      </c>
      <c r="X28" s="30">
        <f>(X7+X8+X9)*18.45%</f>
        <v>9165.8123999999989</v>
      </c>
      <c r="Y28" s="30">
        <f>(Y7+Y8+Y9)*18.45%</f>
        <v>9103.23</v>
      </c>
      <c r="Z28" s="37">
        <f>(Z7+Z8+Z9)*51.52%</f>
        <v>2035.2460800000001</v>
      </c>
      <c r="AA28" s="37">
        <f>(AA7+AA8+AA9)*51.52%</f>
        <v>2051.0111999999999</v>
      </c>
      <c r="AB28" s="37">
        <f>(AB7+AB8+AB9)*51.52%</f>
        <v>1937.152</v>
      </c>
      <c r="AC28" s="26"/>
      <c r="AD28" s="26"/>
      <c r="AE28" s="26"/>
      <c r="AF28" s="37">
        <f>(AF7+AF8+AF9)*62.41%</f>
        <v>2754.3405299999999</v>
      </c>
      <c r="AG28" s="37">
        <f>(AG7+AG8+AG9)*62.41%</f>
        <v>2870.3607199999997</v>
      </c>
      <c r="AH28" s="37">
        <f>(AH7+AH8+AH9)*62.41%</f>
        <v>2910.1783</v>
      </c>
      <c r="AI28" s="37">
        <f>(AI7+AI8+AI9)*51.71%</f>
        <v>4630.5270799999998</v>
      </c>
      <c r="AJ28" s="37">
        <f>(AJ7+AJ8+AJ9)*51.71%</f>
        <v>4763.3700700000009</v>
      </c>
      <c r="AK28" s="37">
        <f>(AK7+AK8+AK9)*51.71%</f>
        <v>4708.7125999999998</v>
      </c>
    </row>
    <row r="29" spans="1:38" x14ac:dyDescent="0.3">
      <c r="A29" s="36"/>
      <c r="B29" s="36"/>
      <c r="C29" s="36"/>
      <c r="D29" s="36"/>
      <c r="E29" s="1219">
        <v>30.48</v>
      </c>
      <c r="F29" s="1219"/>
      <c r="G29" s="1219"/>
      <c r="H29" s="36"/>
      <c r="I29" s="36"/>
      <c r="J29" s="36"/>
      <c r="K29" s="1219">
        <v>39.159999999999997</v>
      </c>
      <c r="L29" s="1219"/>
      <c r="M29" s="1219"/>
      <c r="N29" s="1219">
        <v>58.04</v>
      </c>
      <c r="O29" s="1219"/>
      <c r="P29" s="1219"/>
      <c r="Q29" s="1219">
        <v>34.32</v>
      </c>
      <c r="R29" s="1219"/>
      <c r="S29" s="1219"/>
      <c r="T29" s="1220">
        <v>50.96</v>
      </c>
      <c r="U29" s="1220"/>
      <c r="V29" s="1220"/>
      <c r="W29" s="1219">
        <v>21.76</v>
      </c>
      <c r="X29" s="1219"/>
      <c r="Y29" s="1219"/>
      <c r="Z29" s="1219">
        <v>47.27</v>
      </c>
      <c r="AA29" s="1219"/>
      <c r="AB29" s="1219"/>
      <c r="AC29" s="1219">
        <v>52.15</v>
      </c>
      <c r="AD29" s="1219"/>
      <c r="AE29" s="1219"/>
      <c r="AF29" s="1219">
        <v>58.91</v>
      </c>
      <c r="AG29" s="1219"/>
      <c r="AH29" s="1219"/>
      <c r="AI29" s="1219">
        <v>59.51</v>
      </c>
      <c r="AJ29" s="1219"/>
      <c r="AK29" s="1219"/>
    </row>
    <row r="30" spans="1:38" ht="28.2" x14ac:dyDescent="0.3">
      <c r="A30" s="27" t="s">
        <v>269</v>
      </c>
      <c r="B30" s="28">
        <f>-B26</f>
        <v>84264924.200000003</v>
      </c>
      <c r="C30" s="28">
        <f t="shared" ref="C30:AK30" si="12">-C26</f>
        <v>56492382</v>
      </c>
      <c r="D30" s="28">
        <f t="shared" si="12"/>
        <v>45120417.800999999</v>
      </c>
      <c r="E30" s="28">
        <f t="shared" si="12"/>
        <v>14795</v>
      </c>
      <c r="F30" s="28">
        <f t="shared" si="12"/>
        <v>2533</v>
      </c>
      <c r="G30" s="28">
        <f t="shared" si="12"/>
        <v>23060.700999999885</v>
      </c>
      <c r="H30" s="28">
        <f t="shared" si="12"/>
        <v>84250129.200000003</v>
      </c>
      <c r="I30" s="28">
        <f t="shared" si="12"/>
        <v>56489849</v>
      </c>
      <c r="J30" s="28">
        <f t="shared" si="12"/>
        <v>45097357.100000001</v>
      </c>
      <c r="K30" s="34">
        <f t="shared" si="12"/>
        <v>3496.1</v>
      </c>
      <c r="L30" s="34">
        <f t="shared" si="12"/>
        <v>2978.3</v>
      </c>
      <c r="M30" s="34">
        <f t="shared" si="12"/>
        <v>2974</v>
      </c>
      <c r="N30" s="28">
        <f t="shared" si="12"/>
        <v>3027257.1999999997</v>
      </c>
      <c r="O30" s="28">
        <f t="shared" si="12"/>
        <v>3188929.5</v>
      </c>
      <c r="P30" s="28">
        <f t="shared" si="12"/>
        <v>3188955.1</v>
      </c>
      <c r="Q30" s="34">
        <f t="shared" si="12"/>
        <v>0.2999999999992724</v>
      </c>
      <c r="R30" s="34">
        <f t="shared" si="12"/>
        <v>-1</v>
      </c>
      <c r="S30" s="34">
        <f t="shared" si="12"/>
        <v>-1</v>
      </c>
      <c r="T30" s="28">
        <f t="shared" si="12"/>
        <v>3926.9</v>
      </c>
      <c r="U30" s="28">
        <f t="shared" si="12"/>
        <v>3969.7</v>
      </c>
      <c r="V30" s="28">
        <f t="shared" si="12"/>
        <v>2646</v>
      </c>
      <c r="W30" s="28">
        <f t="shared" si="12"/>
        <v>82410635.799999997</v>
      </c>
      <c r="X30" s="28">
        <f t="shared" si="12"/>
        <v>53891924.799999997</v>
      </c>
      <c r="Y30" s="28">
        <f t="shared" si="12"/>
        <v>42401183</v>
      </c>
      <c r="Z30" s="28">
        <f t="shared" si="12"/>
        <v>165.59999999999991</v>
      </c>
      <c r="AA30" s="28">
        <f t="shared" si="12"/>
        <v>51</v>
      </c>
      <c r="AB30" s="28">
        <f t="shared" si="12"/>
        <v>346</v>
      </c>
      <c r="AC30" s="28">
        <f t="shared" si="12"/>
        <v>3829.3999999999996</v>
      </c>
      <c r="AD30" s="28">
        <f t="shared" si="12"/>
        <v>2856.6000000000004</v>
      </c>
      <c r="AE30" s="28">
        <f t="shared" si="12"/>
        <v>2502</v>
      </c>
      <c r="AF30" s="28">
        <f t="shared" si="12"/>
        <v>2935.7</v>
      </c>
      <c r="AG30" s="28">
        <f t="shared" si="12"/>
        <v>2919.8</v>
      </c>
      <c r="AH30" s="28">
        <f t="shared" si="12"/>
        <v>3085</v>
      </c>
      <c r="AI30" s="28">
        <f t="shared" si="12"/>
        <v>0.2000000000007276</v>
      </c>
      <c r="AJ30" s="28">
        <f t="shared" si="12"/>
        <v>0.2999999999992724</v>
      </c>
      <c r="AK30" s="28">
        <f t="shared" si="12"/>
        <v>-1</v>
      </c>
      <c r="AL30" s="38"/>
    </row>
    <row r="31" spans="1:38" ht="28.2" x14ac:dyDescent="0.3">
      <c r="A31" s="29" t="s">
        <v>270</v>
      </c>
      <c r="B31" s="30">
        <f t="shared" ref="B31:D35" si="13">E31+H31</f>
        <v>85467042.200000003</v>
      </c>
      <c r="C31" s="30">
        <f t="shared" si="13"/>
        <v>57096161.999999993</v>
      </c>
      <c r="D31" s="30">
        <f t="shared" si="13"/>
        <v>45624749.800999999</v>
      </c>
      <c r="E31" s="30">
        <f>E11-E6</f>
        <v>14795</v>
      </c>
      <c r="F31" s="30">
        <f>F11-F6</f>
        <v>2533</v>
      </c>
      <c r="G31" s="30">
        <f>G11-G6</f>
        <v>23060.700999999885</v>
      </c>
      <c r="H31" s="31">
        <f t="shared" ref="H31:J35" si="14">K31+N31+Q31+T31+W31+Z31+AC31+AF31+AI31</f>
        <v>85452247.200000003</v>
      </c>
      <c r="I31" s="31">
        <f t="shared" si="14"/>
        <v>57093628.999999993</v>
      </c>
      <c r="J31" s="31">
        <f t="shared" si="14"/>
        <v>45601689.100000001</v>
      </c>
      <c r="K31" s="31">
        <f t="shared" ref="K31:AK31" si="15">K11-K6</f>
        <v>3496.1</v>
      </c>
      <c r="L31" s="31">
        <f t="shared" si="15"/>
        <v>2978.3</v>
      </c>
      <c r="M31" s="31">
        <f t="shared" si="15"/>
        <v>2974</v>
      </c>
      <c r="N31" s="31">
        <f t="shared" si="15"/>
        <v>3027257.1999999997</v>
      </c>
      <c r="O31" s="31">
        <f t="shared" si="15"/>
        <v>3188929.5</v>
      </c>
      <c r="P31" s="31">
        <f t="shared" si="15"/>
        <v>3188955.1</v>
      </c>
      <c r="Q31" s="31">
        <f t="shared" si="15"/>
        <v>0.2999999999992724</v>
      </c>
      <c r="R31" s="31">
        <f t="shared" si="15"/>
        <v>-1</v>
      </c>
      <c r="S31" s="31">
        <f t="shared" si="15"/>
        <v>-1</v>
      </c>
      <c r="T31" s="31">
        <f t="shared" si="15"/>
        <v>3926.9</v>
      </c>
      <c r="U31" s="31">
        <f t="shared" si="15"/>
        <v>3969.7</v>
      </c>
      <c r="V31" s="31">
        <f t="shared" si="15"/>
        <v>2646</v>
      </c>
      <c r="W31" s="31">
        <f t="shared" si="15"/>
        <v>82410635.799999997</v>
      </c>
      <c r="X31" s="31">
        <f t="shared" si="15"/>
        <v>53891924.799999997</v>
      </c>
      <c r="Y31" s="31">
        <f t="shared" si="15"/>
        <v>42401183</v>
      </c>
      <c r="Z31" s="31">
        <f t="shared" si="15"/>
        <v>165.59999999999991</v>
      </c>
      <c r="AA31" s="31">
        <f t="shared" si="15"/>
        <v>51</v>
      </c>
      <c r="AB31" s="31">
        <f t="shared" si="15"/>
        <v>346</v>
      </c>
      <c r="AC31" s="31">
        <f t="shared" si="15"/>
        <v>3829.3999999999996</v>
      </c>
      <c r="AD31" s="31">
        <f t="shared" si="15"/>
        <v>2856.6000000000004</v>
      </c>
      <c r="AE31" s="31">
        <f t="shared" si="15"/>
        <v>2502</v>
      </c>
      <c r="AF31" s="31">
        <f t="shared" si="15"/>
        <v>2935.7</v>
      </c>
      <c r="AG31" s="31">
        <f t="shared" si="15"/>
        <v>2919.8</v>
      </c>
      <c r="AH31" s="31">
        <f t="shared" si="15"/>
        <v>3085</v>
      </c>
      <c r="AI31" s="31">
        <f t="shared" si="15"/>
        <v>0.2000000000007276</v>
      </c>
      <c r="AJ31" s="31">
        <f t="shared" si="15"/>
        <v>0.2999999999992724</v>
      </c>
      <c r="AK31" s="31">
        <f t="shared" si="15"/>
        <v>-1</v>
      </c>
    </row>
    <row r="32" spans="1:38" ht="42" x14ac:dyDescent="0.3">
      <c r="A32" s="29" t="s">
        <v>271</v>
      </c>
      <c r="B32" s="31">
        <f t="shared" si="13"/>
        <v>0</v>
      </c>
      <c r="C32" s="31">
        <f t="shared" si="13"/>
        <v>0</v>
      </c>
      <c r="D32" s="31">
        <f t="shared" si="13"/>
        <v>0</v>
      </c>
      <c r="E32" s="31">
        <v>0</v>
      </c>
      <c r="F32" s="31">
        <v>0</v>
      </c>
      <c r="G32" s="31">
        <v>0</v>
      </c>
      <c r="H32" s="31">
        <f t="shared" si="14"/>
        <v>0</v>
      </c>
      <c r="I32" s="31">
        <f t="shared" si="14"/>
        <v>0</v>
      </c>
      <c r="J32" s="31">
        <f t="shared" si="14"/>
        <v>0</v>
      </c>
      <c r="K32" s="31">
        <v>0</v>
      </c>
      <c r="L32" s="31">
        <v>0</v>
      </c>
      <c r="M32" s="31">
        <v>0</v>
      </c>
      <c r="N32" s="31">
        <v>0</v>
      </c>
      <c r="O32" s="31">
        <v>0</v>
      </c>
      <c r="P32" s="31">
        <v>0</v>
      </c>
      <c r="Q32" s="31">
        <v>0</v>
      </c>
      <c r="R32" s="31">
        <v>0</v>
      </c>
      <c r="S32" s="31">
        <v>0</v>
      </c>
      <c r="T32" s="31">
        <v>0</v>
      </c>
      <c r="U32" s="31">
        <v>0</v>
      </c>
      <c r="V32" s="31">
        <v>0</v>
      </c>
      <c r="W32" s="31">
        <v>0</v>
      </c>
      <c r="X32" s="31">
        <v>0</v>
      </c>
      <c r="Y32" s="31">
        <v>0</v>
      </c>
      <c r="Z32" s="31">
        <v>0</v>
      </c>
      <c r="AA32" s="31">
        <v>0</v>
      </c>
      <c r="AB32" s="31">
        <v>0</v>
      </c>
      <c r="AC32" s="31">
        <v>0</v>
      </c>
      <c r="AD32" s="31">
        <v>0</v>
      </c>
      <c r="AE32" s="31">
        <v>0</v>
      </c>
      <c r="AF32" s="31">
        <v>0</v>
      </c>
      <c r="AG32" s="31">
        <v>0</v>
      </c>
      <c r="AH32" s="31">
        <v>0</v>
      </c>
      <c r="AI32" s="31">
        <v>0</v>
      </c>
      <c r="AJ32" s="31">
        <v>0</v>
      </c>
      <c r="AK32" s="31">
        <v>0</v>
      </c>
    </row>
    <row r="33" spans="1:37" ht="42" x14ac:dyDescent="0.3">
      <c r="A33" s="29" t="s">
        <v>272</v>
      </c>
      <c r="B33" s="31">
        <f t="shared" si="13"/>
        <v>0</v>
      </c>
      <c r="C33" s="31">
        <f t="shared" si="13"/>
        <v>0</v>
      </c>
      <c r="D33" s="31">
        <f t="shared" si="13"/>
        <v>0</v>
      </c>
      <c r="E33" s="31">
        <v>0</v>
      </c>
      <c r="F33" s="31">
        <v>0</v>
      </c>
      <c r="G33" s="31">
        <v>0</v>
      </c>
      <c r="H33" s="31">
        <f t="shared" si="14"/>
        <v>0</v>
      </c>
      <c r="I33" s="31">
        <f t="shared" si="14"/>
        <v>0</v>
      </c>
      <c r="J33" s="31">
        <f t="shared" si="14"/>
        <v>0</v>
      </c>
      <c r="K33" s="31">
        <v>0</v>
      </c>
      <c r="L33" s="31">
        <v>0</v>
      </c>
      <c r="M33" s="31">
        <v>0</v>
      </c>
      <c r="N33" s="31">
        <v>0</v>
      </c>
      <c r="O33" s="31">
        <v>0</v>
      </c>
      <c r="P33" s="31">
        <v>0</v>
      </c>
      <c r="Q33" s="31">
        <v>0</v>
      </c>
      <c r="R33" s="31">
        <v>0</v>
      </c>
      <c r="S33" s="31">
        <v>0</v>
      </c>
      <c r="T33" s="31">
        <v>0</v>
      </c>
      <c r="U33" s="31">
        <v>0</v>
      </c>
      <c r="V33" s="31">
        <v>0</v>
      </c>
      <c r="W33" s="31">
        <v>0</v>
      </c>
      <c r="X33" s="31">
        <v>0</v>
      </c>
      <c r="Y33" s="31">
        <v>0</v>
      </c>
      <c r="Z33" s="31">
        <v>0</v>
      </c>
      <c r="AA33" s="31">
        <v>0</v>
      </c>
      <c r="AB33" s="31">
        <v>0</v>
      </c>
      <c r="AC33" s="31">
        <v>0</v>
      </c>
      <c r="AD33" s="31">
        <v>0</v>
      </c>
      <c r="AE33" s="31">
        <v>0</v>
      </c>
      <c r="AF33" s="31">
        <v>0</v>
      </c>
      <c r="AG33" s="31">
        <v>0</v>
      </c>
      <c r="AH33" s="31">
        <v>0</v>
      </c>
      <c r="AI33" s="31">
        <v>0</v>
      </c>
      <c r="AJ33" s="31">
        <v>0</v>
      </c>
      <c r="AK33" s="31">
        <v>0</v>
      </c>
    </row>
    <row r="34" spans="1:37" ht="42" x14ac:dyDescent="0.3">
      <c r="A34" s="29" t="s">
        <v>273</v>
      </c>
      <c r="B34" s="31">
        <f t="shared" si="13"/>
        <v>-5230</v>
      </c>
      <c r="C34" s="31">
        <f t="shared" si="13"/>
        <v>-3313</v>
      </c>
      <c r="D34" s="31">
        <f t="shared" si="13"/>
        <v>-1375</v>
      </c>
      <c r="E34" s="31">
        <v>-956</v>
      </c>
      <c r="F34" s="31">
        <v>-719</v>
      </c>
      <c r="G34" s="31">
        <v>-1272</v>
      </c>
      <c r="H34" s="31">
        <f t="shared" si="14"/>
        <v>-4274</v>
      </c>
      <c r="I34" s="31">
        <f t="shared" si="14"/>
        <v>-2594</v>
      </c>
      <c r="J34" s="31">
        <f t="shared" si="14"/>
        <v>-103</v>
      </c>
      <c r="K34" s="31">
        <v>0</v>
      </c>
      <c r="L34" s="31">
        <v>0</v>
      </c>
      <c r="M34" s="31">
        <v>0</v>
      </c>
      <c r="N34" s="31">
        <v>0</v>
      </c>
      <c r="O34" s="31">
        <v>0</v>
      </c>
      <c r="P34" s="31">
        <v>0</v>
      </c>
      <c r="Q34" s="31">
        <v>0</v>
      </c>
      <c r="R34" s="31">
        <v>0</v>
      </c>
      <c r="S34" s="31">
        <v>0</v>
      </c>
      <c r="T34" s="31">
        <f>-460-360-146-194-301</f>
        <v>-1461</v>
      </c>
      <c r="U34" s="31">
        <f>-380-280-94-192-325</f>
        <v>-1271</v>
      </c>
      <c r="V34" s="31">
        <v>-103</v>
      </c>
      <c r="W34" s="31">
        <f>-1668-592</f>
        <v>-2260</v>
      </c>
      <c r="X34" s="31">
        <f>-691-447</f>
        <v>-1138</v>
      </c>
      <c r="Y34" s="31">
        <v>0</v>
      </c>
      <c r="Z34" s="31">
        <v>0</v>
      </c>
      <c r="AA34" s="31">
        <v>0</v>
      </c>
      <c r="AB34" s="31">
        <v>0</v>
      </c>
      <c r="AC34" s="31">
        <v>0</v>
      </c>
      <c r="AD34" s="31">
        <v>0</v>
      </c>
      <c r="AE34" s="31">
        <v>0</v>
      </c>
      <c r="AF34" s="31">
        <f>-553</f>
        <v>-553</v>
      </c>
      <c r="AG34" s="31">
        <v>-185</v>
      </c>
      <c r="AH34" s="31">
        <v>0</v>
      </c>
      <c r="AI34" s="31">
        <v>0</v>
      </c>
      <c r="AJ34" s="31">
        <v>0</v>
      </c>
      <c r="AK34" s="31">
        <v>0</v>
      </c>
    </row>
    <row r="35" spans="1:37" ht="42" x14ac:dyDescent="0.3">
      <c r="A35" s="29" t="s">
        <v>274</v>
      </c>
      <c r="B35" s="31">
        <f t="shared" si="13"/>
        <v>4274</v>
      </c>
      <c r="C35" s="31">
        <f t="shared" si="13"/>
        <v>2593</v>
      </c>
      <c r="D35" s="31">
        <f t="shared" si="13"/>
        <v>103</v>
      </c>
      <c r="E35" s="30">
        <v>4274</v>
      </c>
      <c r="F35" s="30">
        <v>2593</v>
      </c>
      <c r="G35" s="31">
        <v>103</v>
      </c>
      <c r="H35" s="31">
        <f t="shared" si="14"/>
        <v>0</v>
      </c>
      <c r="I35" s="31">
        <f t="shared" si="14"/>
        <v>0</v>
      </c>
      <c r="J35" s="31">
        <f t="shared" si="14"/>
        <v>0</v>
      </c>
      <c r="K35" s="31">
        <v>0</v>
      </c>
      <c r="L35" s="31">
        <v>0</v>
      </c>
      <c r="M35" s="31">
        <v>0</v>
      </c>
      <c r="N35" s="31">
        <v>0</v>
      </c>
      <c r="O35" s="31">
        <v>0</v>
      </c>
      <c r="P35" s="31">
        <v>0</v>
      </c>
      <c r="Q35" s="31">
        <v>0</v>
      </c>
      <c r="R35" s="31">
        <v>0</v>
      </c>
      <c r="S35" s="31">
        <v>0</v>
      </c>
      <c r="T35" s="31">
        <v>0</v>
      </c>
      <c r="U35" s="31">
        <v>0</v>
      </c>
      <c r="V35" s="31">
        <v>0</v>
      </c>
      <c r="W35" s="31">
        <v>0</v>
      </c>
      <c r="X35" s="31">
        <v>0</v>
      </c>
      <c r="Y35" s="31">
        <v>0</v>
      </c>
      <c r="Z35" s="31">
        <v>0</v>
      </c>
      <c r="AA35" s="31">
        <v>0</v>
      </c>
      <c r="AB35" s="31">
        <v>0</v>
      </c>
      <c r="AC35" s="31">
        <v>0</v>
      </c>
      <c r="AD35" s="31">
        <v>0</v>
      </c>
      <c r="AE35" s="31">
        <v>0</v>
      </c>
      <c r="AF35" s="39">
        <v>0</v>
      </c>
      <c r="AG35" s="39">
        <v>0</v>
      </c>
      <c r="AH35" s="39">
        <v>0</v>
      </c>
      <c r="AI35" s="39">
        <v>0</v>
      </c>
      <c r="AJ35" s="39">
        <v>0</v>
      </c>
      <c r="AK35" s="31">
        <v>0</v>
      </c>
    </row>
    <row r="36" spans="1:37" ht="42" x14ac:dyDescent="0.3">
      <c r="A36" s="29" t="s">
        <v>275</v>
      </c>
      <c r="B36" s="31">
        <f>E36+H36</f>
        <v>0</v>
      </c>
      <c r="C36" s="31">
        <f>F36+I36</f>
        <v>0</v>
      </c>
      <c r="D36" s="31">
        <f>G36+J36</f>
        <v>0</v>
      </c>
      <c r="E36" s="31">
        <v>0</v>
      </c>
      <c r="F36" s="31">
        <v>0</v>
      </c>
      <c r="G36" s="31">
        <v>0</v>
      </c>
      <c r="H36" s="31">
        <v>0</v>
      </c>
      <c r="I36" s="31">
        <v>0</v>
      </c>
      <c r="J36" s="31">
        <v>0</v>
      </c>
      <c r="K36" s="31">
        <v>0</v>
      </c>
      <c r="L36" s="31">
        <v>0</v>
      </c>
      <c r="M36" s="31">
        <v>0</v>
      </c>
      <c r="N36" s="31">
        <v>0</v>
      </c>
      <c r="O36" s="31">
        <v>0</v>
      </c>
      <c r="P36" s="31">
        <v>0</v>
      </c>
      <c r="Q36" s="31">
        <v>0</v>
      </c>
      <c r="R36" s="31">
        <v>0</v>
      </c>
      <c r="S36" s="31">
        <v>0</v>
      </c>
      <c r="T36" s="31">
        <v>0</v>
      </c>
      <c r="U36" s="31">
        <v>0</v>
      </c>
      <c r="V36" s="31">
        <v>0</v>
      </c>
      <c r="W36" s="31">
        <v>0</v>
      </c>
      <c r="X36" s="31">
        <v>0</v>
      </c>
      <c r="Y36" s="31">
        <v>0</v>
      </c>
      <c r="Z36" s="31">
        <v>0</v>
      </c>
      <c r="AA36" s="31">
        <v>0</v>
      </c>
      <c r="AB36" s="31">
        <v>0</v>
      </c>
      <c r="AC36" s="31">
        <v>0</v>
      </c>
      <c r="AD36" s="31">
        <v>0</v>
      </c>
      <c r="AE36" s="31">
        <v>0</v>
      </c>
      <c r="AF36" s="31">
        <v>0</v>
      </c>
      <c r="AG36" s="31">
        <v>0</v>
      </c>
      <c r="AH36" s="31">
        <v>0</v>
      </c>
      <c r="AI36" s="31">
        <v>0</v>
      </c>
      <c r="AJ36" s="31">
        <v>0</v>
      </c>
      <c r="AK36" s="31">
        <v>0</v>
      </c>
    </row>
    <row r="37" spans="1:37" x14ac:dyDescent="0.3">
      <c r="A37" s="29" t="s">
        <v>276</v>
      </c>
      <c r="B37" s="102">
        <v>0</v>
      </c>
      <c r="C37" s="102">
        <v>0</v>
      </c>
      <c r="D37" s="102">
        <v>0</v>
      </c>
      <c r="E37" s="102">
        <v>0</v>
      </c>
      <c r="F37" s="102">
        <v>0</v>
      </c>
      <c r="G37" s="102">
        <v>0</v>
      </c>
      <c r="H37" s="102">
        <v>0</v>
      </c>
      <c r="I37" s="102">
        <v>0</v>
      </c>
      <c r="J37" s="102">
        <v>0</v>
      </c>
      <c r="K37" s="102">
        <v>0</v>
      </c>
      <c r="L37" s="102">
        <v>0</v>
      </c>
      <c r="M37" s="102">
        <v>0</v>
      </c>
      <c r="N37" s="102">
        <v>0</v>
      </c>
      <c r="O37" s="102">
        <v>0</v>
      </c>
      <c r="P37" s="102">
        <v>0</v>
      </c>
      <c r="Q37" s="102">
        <v>0</v>
      </c>
      <c r="R37" s="102">
        <v>0</v>
      </c>
      <c r="S37" s="102">
        <v>0</v>
      </c>
      <c r="T37" s="102">
        <v>0</v>
      </c>
      <c r="U37" s="102">
        <v>0</v>
      </c>
      <c r="V37" s="102">
        <v>0</v>
      </c>
      <c r="W37" s="102">
        <v>0</v>
      </c>
      <c r="X37" s="102">
        <v>0</v>
      </c>
      <c r="Y37" s="102">
        <v>0</v>
      </c>
      <c r="Z37" s="102">
        <v>0</v>
      </c>
      <c r="AA37" s="102">
        <v>0</v>
      </c>
      <c r="AB37" s="102">
        <v>0</v>
      </c>
      <c r="AC37" s="102">
        <v>0</v>
      </c>
      <c r="AD37" s="102">
        <v>0</v>
      </c>
      <c r="AE37" s="102">
        <v>0</v>
      </c>
      <c r="AF37" s="102">
        <v>0</v>
      </c>
      <c r="AG37" s="102">
        <v>0</v>
      </c>
      <c r="AH37" s="102">
        <v>0</v>
      </c>
      <c r="AI37" s="102">
        <v>0</v>
      </c>
      <c r="AJ37" s="102">
        <v>0</v>
      </c>
      <c r="AK37" s="102">
        <v>0</v>
      </c>
    </row>
    <row r="38" spans="1:37" x14ac:dyDescent="0.3">
      <c r="A38" s="36" t="s">
        <v>277</v>
      </c>
      <c r="B38" s="102">
        <f t="shared" ref="B38:D40" si="16">E38+H38</f>
        <v>-85452247.200000003</v>
      </c>
      <c r="C38" s="102">
        <f t="shared" si="16"/>
        <v>-57093628.999999993</v>
      </c>
      <c r="D38" s="102">
        <f t="shared" si="16"/>
        <v>-45601689.100000001</v>
      </c>
      <c r="E38" s="102">
        <v>0</v>
      </c>
      <c r="F38" s="102">
        <v>0</v>
      </c>
      <c r="G38" s="102">
        <v>0</v>
      </c>
      <c r="H38" s="102">
        <f t="shared" ref="H38:J40" si="17">K38+N38+Q38+T38+W38+Z38+AC38+AF38+AI38</f>
        <v>-85452247.200000003</v>
      </c>
      <c r="I38" s="102">
        <f t="shared" si="17"/>
        <v>-57093628.999999993</v>
      </c>
      <c r="J38" s="102">
        <f t="shared" si="17"/>
        <v>-45601689.100000001</v>
      </c>
      <c r="K38" s="102">
        <f>K6-K11</f>
        <v>-3496.1</v>
      </c>
      <c r="L38" s="102">
        <f t="shared" ref="L38:AK38" si="18">L6-L11</f>
        <v>-2978.3</v>
      </c>
      <c r="M38" s="102">
        <f t="shared" si="18"/>
        <v>-2974</v>
      </c>
      <c r="N38" s="102">
        <f t="shared" si="18"/>
        <v>-3027257.1999999997</v>
      </c>
      <c r="O38" s="102">
        <f t="shared" si="18"/>
        <v>-3188929.5</v>
      </c>
      <c r="P38" s="102">
        <f t="shared" si="18"/>
        <v>-3188955.1</v>
      </c>
      <c r="Q38" s="102">
        <f t="shared" si="18"/>
        <v>-0.2999999999992724</v>
      </c>
      <c r="R38" s="102">
        <f t="shared" si="18"/>
        <v>1</v>
      </c>
      <c r="S38" s="102">
        <f t="shared" si="18"/>
        <v>1</v>
      </c>
      <c r="T38" s="102">
        <f t="shared" si="18"/>
        <v>-3926.9</v>
      </c>
      <c r="U38" s="102">
        <f t="shared" si="18"/>
        <v>-3969.7</v>
      </c>
      <c r="V38" s="102">
        <f t="shared" si="18"/>
        <v>-2646</v>
      </c>
      <c r="W38" s="102">
        <f t="shared" si="18"/>
        <v>-82410635.799999997</v>
      </c>
      <c r="X38" s="102">
        <f t="shared" si="18"/>
        <v>-53891924.799999997</v>
      </c>
      <c r="Y38" s="102">
        <f t="shared" si="18"/>
        <v>-42401183</v>
      </c>
      <c r="Z38" s="102">
        <f t="shared" si="18"/>
        <v>-165.59999999999991</v>
      </c>
      <c r="AA38" s="102">
        <f t="shared" si="18"/>
        <v>-51</v>
      </c>
      <c r="AB38" s="102">
        <f t="shared" si="18"/>
        <v>-346</v>
      </c>
      <c r="AC38" s="102">
        <f t="shared" si="18"/>
        <v>-3829.3999999999996</v>
      </c>
      <c r="AD38" s="102">
        <f t="shared" si="18"/>
        <v>-2856.6000000000004</v>
      </c>
      <c r="AE38" s="102">
        <f t="shared" si="18"/>
        <v>-2502</v>
      </c>
      <c r="AF38" s="102">
        <f t="shared" si="18"/>
        <v>-2935.7</v>
      </c>
      <c r="AG38" s="102">
        <f t="shared" si="18"/>
        <v>-2919.8</v>
      </c>
      <c r="AH38" s="102">
        <f t="shared" si="18"/>
        <v>-3085</v>
      </c>
      <c r="AI38" s="102">
        <f t="shared" si="18"/>
        <v>-0.2000000000007276</v>
      </c>
      <c r="AJ38" s="102">
        <f t="shared" si="18"/>
        <v>-0.2999999999992724</v>
      </c>
      <c r="AK38" s="102">
        <f t="shared" si="18"/>
        <v>1</v>
      </c>
    </row>
    <row r="39" spans="1:37" ht="28.2" x14ac:dyDescent="0.3">
      <c r="A39" s="29" t="s">
        <v>278</v>
      </c>
      <c r="B39" s="103">
        <f t="shared" si="16"/>
        <v>-786614.1</v>
      </c>
      <c r="C39" s="103">
        <f t="shared" si="16"/>
        <v>-783778.1</v>
      </c>
      <c r="D39" s="103">
        <f t="shared" si="16"/>
        <v>-786943</v>
      </c>
      <c r="E39" s="103">
        <f>-E6-E35</f>
        <v>-689980</v>
      </c>
      <c r="F39" s="103">
        <f>-F6-F35</f>
        <v>-685397</v>
      </c>
      <c r="G39" s="103">
        <f>-G6+G35</f>
        <v>-689928</v>
      </c>
      <c r="H39" s="103">
        <f t="shared" si="17"/>
        <v>-96634.1</v>
      </c>
      <c r="I39" s="103">
        <f t="shared" si="17"/>
        <v>-98381.099999999977</v>
      </c>
      <c r="J39" s="103">
        <f t="shared" si="17"/>
        <v>-97015</v>
      </c>
      <c r="K39" s="103">
        <f>-(K6+K33+K35+K36)</f>
        <v>-304.89999999999998</v>
      </c>
      <c r="L39" s="103">
        <f>-(L6+L33+L35+L36)</f>
        <v>-316.7</v>
      </c>
      <c r="M39" s="103">
        <f>-(M6+M33+M35+M36)</f>
        <v>-243</v>
      </c>
      <c r="N39" s="103">
        <f>-N6+N33+N35+N36</f>
        <v>-2722.1</v>
      </c>
      <c r="O39" s="103">
        <f>-O6+O33+O35+O36</f>
        <v>-2837.6</v>
      </c>
      <c r="P39" s="103">
        <f>-P6+P33+P35+P36</f>
        <v>-2699</v>
      </c>
      <c r="Q39" s="103">
        <f>-(Q6+Q33+Q35+Q36)</f>
        <v>-17299.7</v>
      </c>
      <c r="R39" s="103">
        <f>-(R6+R33+R35+R36)</f>
        <v>-17947</v>
      </c>
      <c r="S39" s="103">
        <f>-(S6+S33+S35+S36)</f>
        <v>-17618</v>
      </c>
      <c r="T39" s="103">
        <f t="shared" ref="T39:Y39" si="19">-T6+T33+T35+T36</f>
        <v>-2814.1</v>
      </c>
      <c r="U39" s="103">
        <f t="shared" si="19"/>
        <v>-2934.3</v>
      </c>
      <c r="V39" s="103">
        <f t="shared" si="19"/>
        <v>-2932</v>
      </c>
      <c r="W39" s="103">
        <f t="shared" si="19"/>
        <v>-49590.2</v>
      </c>
      <c r="X39" s="103">
        <f t="shared" si="19"/>
        <v>-49679.199999999997</v>
      </c>
      <c r="Y39" s="103">
        <f t="shared" si="19"/>
        <v>-49340</v>
      </c>
      <c r="Z39" s="103">
        <f>-(Z6+Z33+Z35+Z36)</f>
        <v>-3950.4</v>
      </c>
      <c r="AA39" s="103">
        <f>-(AA6+AA33+AA35+AA36)</f>
        <v>-3981</v>
      </c>
      <c r="AB39" s="103">
        <f>-(AB6+AB33+AB35+AB36)</f>
        <v>-3760</v>
      </c>
      <c r="AC39" s="103">
        <f t="shared" ref="AC39:AK39" si="20">-AC6+AC33+AC35+AC36</f>
        <v>-6584.6</v>
      </c>
      <c r="AD39" s="103">
        <f t="shared" si="20"/>
        <v>-6874.4</v>
      </c>
      <c r="AE39" s="103">
        <f t="shared" si="20"/>
        <v>-6654</v>
      </c>
      <c r="AF39" s="103">
        <f t="shared" si="20"/>
        <v>-4413.3</v>
      </c>
      <c r="AG39" s="103">
        <f t="shared" si="20"/>
        <v>-4599.2</v>
      </c>
      <c r="AH39" s="103">
        <f t="shared" si="20"/>
        <v>-4663</v>
      </c>
      <c r="AI39" s="103">
        <f t="shared" si="20"/>
        <v>-8954.7999999999993</v>
      </c>
      <c r="AJ39" s="103">
        <f t="shared" si="20"/>
        <v>-9211.7000000000007</v>
      </c>
      <c r="AK39" s="103">
        <f t="shared" si="20"/>
        <v>-9106</v>
      </c>
    </row>
    <row r="40" spans="1:37" ht="28.2" x14ac:dyDescent="0.3">
      <c r="A40" s="29" t="s">
        <v>279</v>
      </c>
      <c r="B40" s="103">
        <f t="shared" si="16"/>
        <v>86246064.299999997</v>
      </c>
      <c r="C40" s="103">
        <f t="shared" si="16"/>
        <v>57875472.100000001</v>
      </c>
      <c r="D40" s="103">
        <f t="shared" si="16"/>
        <v>46412964.800999999</v>
      </c>
      <c r="E40" s="103">
        <f>E11-E34</f>
        <v>701457</v>
      </c>
      <c r="F40" s="103">
        <f>F11-F34</f>
        <v>686056</v>
      </c>
      <c r="G40" s="103">
        <f>G11-G34</f>
        <v>714363.70099999988</v>
      </c>
      <c r="H40" s="103">
        <f t="shared" si="17"/>
        <v>85544607.299999997</v>
      </c>
      <c r="I40" s="103">
        <f t="shared" si="17"/>
        <v>57189416.100000001</v>
      </c>
      <c r="J40" s="103">
        <f t="shared" si="17"/>
        <v>45698601.100000001</v>
      </c>
      <c r="K40" s="103">
        <f>K11+K32+K34-K35</f>
        <v>3801</v>
      </c>
      <c r="L40" s="103">
        <f t="shared" ref="L40:AK40" si="21">L11+L32+L34-L35</f>
        <v>3295</v>
      </c>
      <c r="M40" s="103">
        <f t="shared" si="21"/>
        <v>3217</v>
      </c>
      <c r="N40" s="103">
        <f t="shared" si="21"/>
        <v>3029979.3</v>
      </c>
      <c r="O40" s="103">
        <f t="shared" si="21"/>
        <v>3191767.1</v>
      </c>
      <c r="P40" s="103">
        <f t="shared" si="21"/>
        <v>3191654.1</v>
      </c>
      <c r="Q40" s="103">
        <f t="shared" si="21"/>
        <v>17300</v>
      </c>
      <c r="R40" s="103">
        <f t="shared" si="21"/>
        <v>17946</v>
      </c>
      <c r="S40" s="103">
        <f t="shared" si="21"/>
        <v>17617</v>
      </c>
      <c r="T40" s="103">
        <f t="shared" si="21"/>
        <v>5280</v>
      </c>
      <c r="U40" s="103">
        <f t="shared" si="21"/>
        <v>5633</v>
      </c>
      <c r="V40" s="103">
        <f t="shared" si="21"/>
        <v>5475</v>
      </c>
      <c r="W40" s="103">
        <f t="shared" si="21"/>
        <v>82457966</v>
      </c>
      <c r="X40" s="103">
        <f t="shared" si="21"/>
        <v>53940466</v>
      </c>
      <c r="Y40" s="103">
        <f t="shared" si="21"/>
        <v>42450523</v>
      </c>
      <c r="Z40" s="103">
        <f t="shared" si="21"/>
        <v>4116</v>
      </c>
      <c r="AA40" s="103">
        <f t="shared" si="21"/>
        <v>4032</v>
      </c>
      <c r="AB40" s="103">
        <f t="shared" si="21"/>
        <v>4106</v>
      </c>
      <c r="AC40" s="103">
        <f t="shared" si="21"/>
        <v>10414</v>
      </c>
      <c r="AD40" s="103">
        <f t="shared" si="21"/>
        <v>9731</v>
      </c>
      <c r="AE40" s="103">
        <f t="shared" si="21"/>
        <v>9156</v>
      </c>
      <c r="AF40" s="103">
        <f t="shared" si="21"/>
        <v>6796</v>
      </c>
      <c r="AG40" s="103">
        <f t="shared" si="21"/>
        <v>7334</v>
      </c>
      <c r="AH40" s="103">
        <f t="shared" si="21"/>
        <v>7748</v>
      </c>
      <c r="AI40" s="103">
        <f t="shared" si="21"/>
        <v>8955</v>
      </c>
      <c r="AJ40" s="103">
        <f t="shared" si="21"/>
        <v>9212</v>
      </c>
      <c r="AK40" s="103">
        <f t="shared" si="21"/>
        <v>9105</v>
      </c>
    </row>
  </sheetData>
  <mergeCells count="25">
    <mergeCell ref="AJ2:AK2"/>
    <mergeCell ref="A3:A5"/>
    <mergeCell ref="B3:D4"/>
    <mergeCell ref="E3:G4"/>
    <mergeCell ref="H3:J4"/>
    <mergeCell ref="K3:P3"/>
    <mergeCell ref="K4:M4"/>
    <mergeCell ref="N4:P4"/>
    <mergeCell ref="Q4:S4"/>
    <mergeCell ref="T4:V4"/>
    <mergeCell ref="W4:Y4"/>
    <mergeCell ref="Z4:AB4"/>
    <mergeCell ref="AC4:AE4"/>
    <mergeCell ref="AF4:AH4"/>
    <mergeCell ref="AI4:AK4"/>
    <mergeCell ref="E29:G29"/>
    <mergeCell ref="K29:M29"/>
    <mergeCell ref="N29:P29"/>
    <mergeCell ref="Q29:S29"/>
    <mergeCell ref="T29:V29"/>
    <mergeCell ref="W29:Y29"/>
    <mergeCell ref="Z29:AB29"/>
    <mergeCell ref="AC29:AE29"/>
    <mergeCell ref="AF29:AH29"/>
    <mergeCell ref="AI29:AK29"/>
  </mergeCells>
  <pageMargins left="0.70866141732283472" right="0.11811023622047245" top="0.15748031496062992" bottom="0.15748031496062992" header="0.31496062992125984" footer="0.31496062992125984"/>
  <pageSetup paperSize="9"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2"/>
  <sheetViews>
    <sheetView topLeftCell="A4" workbookViewId="0">
      <pane xSplit="3" ySplit="3" topLeftCell="H14" activePane="bottomRight" state="frozen"/>
      <selection activeCell="A4" sqref="A4"/>
      <selection pane="topRight" activeCell="D4" sqref="D4"/>
      <selection pane="bottomLeft" activeCell="A7" sqref="A7"/>
      <selection pane="bottomRight" activeCell="R18" sqref="R18"/>
    </sheetView>
  </sheetViews>
  <sheetFormatPr defaultRowHeight="14.4" x14ac:dyDescent="0.3"/>
  <cols>
    <col min="1" max="1" width="5.33203125" customWidth="1"/>
    <col min="2" max="2" width="4.5546875" customWidth="1"/>
    <col min="3" max="3" width="28.44140625" customWidth="1"/>
    <col min="4" max="4" width="14" customWidth="1"/>
    <col min="5" max="5" width="13.6640625" customWidth="1"/>
    <col min="6" max="6" width="14" customWidth="1"/>
    <col min="7" max="7" width="13.88671875" customWidth="1"/>
    <col min="8" max="8" width="13.5546875" style="43" customWidth="1"/>
    <col min="9" max="9" width="14.109375" style="43" customWidth="1"/>
    <col min="10" max="10" width="13.44140625" style="43" customWidth="1"/>
    <col min="11" max="11" width="14.5546875" style="43" customWidth="1"/>
    <col min="12" max="12" width="14.33203125" style="43" customWidth="1"/>
    <col min="13" max="13" width="14.5546875" customWidth="1"/>
    <col min="14" max="14" width="14.44140625" customWidth="1"/>
    <col min="15" max="15" width="14" customWidth="1"/>
    <col min="257" max="257" width="5.33203125" customWidth="1"/>
    <col min="258" max="258" width="4.5546875" customWidth="1"/>
    <col min="259" max="259" width="28.44140625" customWidth="1"/>
    <col min="260" max="260" width="14" customWidth="1"/>
    <col min="261" max="261" width="13.6640625" customWidth="1"/>
    <col min="262" max="262" width="14" customWidth="1"/>
    <col min="263" max="263" width="13.88671875" customWidth="1"/>
    <col min="264" max="264" width="13.5546875" customWidth="1"/>
    <col min="265" max="265" width="14.109375" customWidth="1"/>
    <col min="266" max="266" width="13.44140625" customWidth="1"/>
    <col min="267" max="267" width="14.5546875" customWidth="1"/>
    <col min="268" max="268" width="14.33203125" customWidth="1"/>
    <col min="269" max="269" width="14.5546875" customWidth="1"/>
    <col min="270" max="270" width="14.44140625" customWidth="1"/>
    <col min="271" max="271" width="14" customWidth="1"/>
    <col min="513" max="513" width="5.33203125" customWidth="1"/>
    <col min="514" max="514" width="4.5546875" customWidth="1"/>
    <col min="515" max="515" width="28.44140625" customWidth="1"/>
    <col min="516" max="516" width="14" customWidth="1"/>
    <col min="517" max="517" width="13.6640625" customWidth="1"/>
    <col min="518" max="518" width="14" customWidth="1"/>
    <col min="519" max="519" width="13.88671875" customWidth="1"/>
    <col min="520" max="520" width="13.5546875" customWidth="1"/>
    <col min="521" max="521" width="14.109375" customWidth="1"/>
    <col min="522" max="522" width="13.44140625" customWidth="1"/>
    <col min="523" max="523" width="14.5546875" customWidth="1"/>
    <col min="524" max="524" width="14.33203125" customWidth="1"/>
    <col min="525" max="525" width="14.5546875" customWidth="1"/>
    <col min="526" max="526" width="14.44140625" customWidth="1"/>
    <col min="527" max="527" width="14" customWidth="1"/>
    <col min="769" max="769" width="5.33203125" customWidth="1"/>
    <col min="770" max="770" width="4.5546875" customWidth="1"/>
    <col min="771" max="771" width="28.44140625" customWidth="1"/>
    <col min="772" max="772" width="14" customWidth="1"/>
    <col min="773" max="773" width="13.6640625" customWidth="1"/>
    <col min="774" max="774" width="14" customWidth="1"/>
    <col min="775" max="775" width="13.88671875" customWidth="1"/>
    <col min="776" max="776" width="13.5546875" customWidth="1"/>
    <col min="777" max="777" width="14.109375" customWidth="1"/>
    <col min="778" max="778" width="13.44140625" customWidth="1"/>
    <col min="779" max="779" width="14.5546875" customWidth="1"/>
    <col min="780" max="780" width="14.33203125" customWidth="1"/>
    <col min="781" max="781" width="14.5546875" customWidth="1"/>
    <col min="782" max="782" width="14.44140625" customWidth="1"/>
    <col min="783" max="783" width="14" customWidth="1"/>
    <col min="1025" max="1025" width="5.33203125" customWidth="1"/>
    <col min="1026" max="1026" width="4.5546875" customWidth="1"/>
    <col min="1027" max="1027" width="28.44140625" customWidth="1"/>
    <col min="1028" max="1028" width="14" customWidth="1"/>
    <col min="1029" max="1029" width="13.6640625" customWidth="1"/>
    <col min="1030" max="1030" width="14" customWidth="1"/>
    <col min="1031" max="1031" width="13.88671875" customWidth="1"/>
    <col min="1032" max="1032" width="13.5546875" customWidth="1"/>
    <col min="1033" max="1033" width="14.109375" customWidth="1"/>
    <col min="1034" max="1034" width="13.44140625" customWidth="1"/>
    <col min="1035" max="1035" width="14.5546875" customWidth="1"/>
    <col min="1036" max="1036" width="14.33203125" customWidth="1"/>
    <col min="1037" max="1037" width="14.5546875" customWidth="1"/>
    <col min="1038" max="1038" width="14.44140625" customWidth="1"/>
    <col min="1039" max="1039" width="14" customWidth="1"/>
    <col min="1281" max="1281" width="5.33203125" customWidth="1"/>
    <col min="1282" max="1282" width="4.5546875" customWidth="1"/>
    <col min="1283" max="1283" width="28.44140625" customWidth="1"/>
    <col min="1284" max="1284" width="14" customWidth="1"/>
    <col min="1285" max="1285" width="13.6640625" customWidth="1"/>
    <col min="1286" max="1286" width="14" customWidth="1"/>
    <col min="1287" max="1287" width="13.88671875" customWidth="1"/>
    <col min="1288" max="1288" width="13.5546875" customWidth="1"/>
    <col min="1289" max="1289" width="14.109375" customWidth="1"/>
    <col min="1290" max="1290" width="13.44140625" customWidth="1"/>
    <col min="1291" max="1291" width="14.5546875" customWidth="1"/>
    <col min="1292" max="1292" width="14.33203125" customWidth="1"/>
    <col min="1293" max="1293" width="14.5546875" customWidth="1"/>
    <col min="1294" max="1294" width="14.44140625" customWidth="1"/>
    <col min="1295" max="1295" width="14" customWidth="1"/>
    <col min="1537" max="1537" width="5.33203125" customWidth="1"/>
    <col min="1538" max="1538" width="4.5546875" customWidth="1"/>
    <col min="1539" max="1539" width="28.44140625" customWidth="1"/>
    <col min="1540" max="1540" width="14" customWidth="1"/>
    <col min="1541" max="1541" width="13.6640625" customWidth="1"/>
    <col min="1542" max="1542" width="14" customWidth="1"/>
    <col min="1543" max="1543" width="13.88671875" customWidth="1"/>
    <col min="1544" max="1544" width="13.5546875" customWidth="1"/>
    <col min="1545" max="1545" width="14.109375" customWidth="1"/>
    <col min="1546" max="1546" width="13.44140625" customWidth="1"/>
    <col min="1547" max="1547" width="14.5546875" customWidth="1"/>
    <col min="1548" max="1548" width="14.33203125" customWidth="1"/>
    <col min="1549" max="1549" width="14.5546875" customWidth="1"/>
    <col min="1550" max="1550" width="14.44140625" customWidth="1"/>
    <col min="1551" max="1551" width="14" customWidth="1"/>
    <col min="1793" max="1793" width="5.33203125" customWidth="1"/>
    <col min="1794" max="1794" width="4.5546875" customWidth="1"/>
    <col min="1795" max="1795" width="28.44140625" customWidth="1"/>
    <col min="1796" max="1796" width="14" customWidth="1"/>
    <col min="1797" max="1797" width="13.6640625" customWidth="1"/>
    <col min="1798" max="1798" width="14" customWidth="1"/>
    <col min="1799" max="1799" width="13.88671875" customWidth="1"/>
    <col min="1800" max="1800" width="13.5546875" customWidth="1"/>
    <col min="1801" max="1801" width="14.109375" customWidth="1"/>
    <col min="1802" max="1802" width="13.44140625" customWidth="1"/>
    <col min="1803" max="1803" width="14.5546875" customWidth="1"/>
    <col min="1804" max="1804" width="14.33203125" customWidth="1"/>
    <col min="1805" max="1805" width="14.5546875" customWidth="1"/>
    <col min="1806" max="1806" width="14.44140625" customWidth="1"/>
    <col min="1807" max="1807" width="14" customWidth="1"/>
    <col min="2049" max="2049" width="5.33203125" customWidth="1"/>
    <col min="2050" max="2050" width="4.5546875" customWidth="1"/>
    <col min="2051" max="2051" width="28.44140625" customWidth="1"/>
    <col min="2052" max="2052" width="14" customWidth="1"/>
    <col min="2053" max="2053" width="13.6640625" customWidth="1"/>
    <col min="2054" max="2054" width="14" customWidth="1"/>
    <col min="2055" max="2055" width="13.88671875" customWidth="1"/>
    <col min="2056" max="2056" width="13.5546875" customWidth="1"/>
    <col min="2057" max="2057" width="14.109375" customWidth="1"/>
    <col min="2058" max="2058" width="13.44140625" customWidth="1"/>
    <col min="2059" max="2059" width="14.5546875" customWidth="1"/>
    <col min="2060" max="2060" width="14.33203125" customWidth="1"/>
    <col min="2061" max="2061" width="14.5546875" customWidth="1"/>
    <col min="2062" max="2062" width="14.44140625" customWidth="1"/>
    <col min="2063" max="2063" width="14" customWidth="1"/>
    <col min="2305" max="2305" width="5.33203125" customWidth="1"/>
    <col min="2306" max="2306" width="4.5546875" customWidth="1"/>
    <col min="2307" max="2307" width="28.44140625" customWidth="1"/>
    <col min="2308" max="2308" width="14" customWidth="1"/>
    <col min="2309" max="2309" width="13.6640625" customWidth="1"/>
    <col min="2310" max="2310" width="14" customWidth="1"/>
    <col min="2311" max="2311" width="13.88671875" customWidth="1"/>
    <col min="2312" max="2312" width="13.5546875" customWidth="1"/>
    <col min="2313" max="2313" width="14.109375" customWidth="1"/>
    <col min="2314" max="2314" width="13.44140625" customWidth="1"/>
    <col min="2315" max="2315" width="14.5546875" customWidth="1"/>
    <col min="2316" max="2316" width="14.33203125" customWidth="1"/>
    <col min="2317" max="2317" width="14.5546875" customWidth="1"/>
    <col min="2318" max="2318" width="14.44140625" customWidth="1"/>
    <col min="2319" max="2319" width="14" customWidth="1"/>
    <col min="2561" max="2561" width="5.33203125" customWidth="1"/>
    <col min="2562" max="2562" width="4.5546875" customWidth="1"/>
    <col min="2563" max="2563" width="28.44140625" customWidth="1"/>
    <col min="2564" max="2564" width="14" customWidth="1"/>
    <col min="2565" max="2565" width="13.6640625" customWidth="1"/>
    <col min="2566" max="2566" width="14" customWidth="1"/>
    <col min="2567" max="2567" width="13.88671875" customWidth="1"/>
    <col min="2568" max="2568" width="13.5546875" customWidth="1"/>
    <col min="2569" max="2569" width="14.109375" customWidth="1"/>
    <col min="2570" max="2570" width="13.44140625" customWidth="1"/>
    <col min="2571" max="2571" width="14.5546875" customWidth="1"/>
    <col min="2572" max="2572" width="14.33203125" customWidth="1"/>
    <col min="2573" max="2573" width="14.5546875" customWidth="1"/>
    <col min="2574" max="2574" width="14.44140625" customWidth="1"/>
    <col min="2575" max="2575" width="14" customWidth="1"/>
    <col min="2817" max="2817" width="5.33203125" customWidth="1"/>
    <col min="2818" max="2818" width="4.5546875" customWidth="1"/>
    <col min="2819" max="2819" width="28.44140625" customWidth="1"/>
    <col min="2820" max="2820" width="14" customWidth="1"/>
    <col min="2821" max="2821" width="13.6640625" customWidth="1"/>
    <col min="2822" max="2822" width="14" customWidth="1"/>
    <col min="2823" max="2823" width="13.88671875" customWidth="1"/>
    <col min="2824" max="2824" width="13.5546875" customWidth="1"/>
    <col min="2825" max="2825" width="14.109375" customWidth="1"/>
    <col min="2826" max="2826" width="13.44140625" customWidth="1"/>
    <col min="2827" max="2827" width="14.5546875" customWidth="1"/>
    <col min="2828" max="2828" width="14.33203125" customWidth="1"/>
    <col min="2829" max="2829" width="14.5546875" customWidth="1"/>
    <col min="2830" max="2830" width="14.44140625" customWidth="1"/>
    <col min="2831" max="2831" width="14" customWidth="1"/>
    <col min="3073" max="3073" width="5.33203125" customWidth="1"/>
    <col min="3074" max="3074" width="4.5546875" customWidth="1"/>
    <col min="3075" max="3075" width="28.44140625" customWidth="1"/>
    <col min="3076" max="3076" width="14" customWidth="1"/>
    <col min="3077" max="3077" width="13.6640625" customWidth="1"/>
    <col min="3078" max="3078" width="14" customWidth="1"/>
    <col min="3079" max="3079" width="13.88671875" customWidth="1"/>
    <col min="3080" max="3080" width="13.5546875" customWidth="1"/>
    <col min="3081" max="3081" width="14.109375" customWidth="1"/>
    <col min="3082" max="3082" width="13.44140625" customWidth="1"/>
    <col min="3083" max="3083" width="14.5546875" customWidth="1"/>
    <col min="3084" max="3084" width="14.33203125" customWidth="1"/>
    <col min="3085" max="3085" width="14.5546875" customWidth="1"/>
    <col min="3086" max="3086" width="14.44140625" customWidth="1"/>
    <col min="3087" max="3087" width="14" customWidth="1"/>
    <col min="3329" max="3329" width="5.33203125" customWidth="1"/>
    <col min="3330" max="3330" width="4.5546875" customWidth="1"/>
    <col min="3331" max="3331" width="28.44140625" customWidth="1"/>
    <col min="3332" max="3332" width="14" customWidth="1"/>
    <col min="3333" max="3333" width="13.6640625" customWidth="1"/>
    <col min="3334" max="3334" width="14" customWidth="1"/>
    <col min="3335" max="3335" width="13.88671875" customWidth="1"/>
    <col min="3336" max="3336" width="13.5546875" customWidth="1"/>
    <col min="3337" max="3337" width="14.109375" customWidth="1"/>
    <col min="3338" max="3338" width="13.44140625" customWidth="1"/>
    <col min="3339" max="3339" width="14.5546875" customWidth="1"/>
    <col min="3340" max="3340" width="14.33203125" customWidth="1"/>
    <col min="3341" max="3341" width="14.5546875" customWidth="1"/>
    <col min="3342" max="3342" width="14.44140625" customWidth="1"/>
    <col min="3343" max="3343" width="14" customWidth="1"/>
    <col min="3585" max="3585" width="5.33203125" customWidth="1"/>
    <col min="3586" max="3586" width="4.5546875" customWidth="1"/>
    <col min="3587" max="3587" width="28.44140625" customWidth="1"/>
    <col min="3588" max="3588" width="14" customWidth="1"/>
    <col min="3589" max="3589" width="13.6640625" customWidth="1"/>
    <col min="3590" max="3590" width="14" customWidth="1"/>
    <col min="3591" max="3591" width="13.88671875" customWidth="1"/>
    <col min="3592" max="3592" width="13.5546875" customWidth="1"/>
    <col min="3593" max="3593" width="14.109375" customWidth="1"/>
    <col min="3594" max="3594" width="13.44140625" customWidth="1"/>
    <col min="3595" max="3595" width="14.5546875" customWidth="1"/>
    <col min="3596" max="3596" width="14.33203125" customWidth="1"/>
    <col min="3597" max="3597" width="14.5546875" customWidth="1"/>
    <col min="3598" max="3598" width="14.44140625" customWidth="1"/>
    <col min="3599" max="3599" width="14" customWidth="1"/>
    <col min="3841" max="3841" width="5.33203125" customWidth="1"/>
    <col min="3842" max="3842" width="4.5546875" customWidth="1"/>
    <col min="3843" max="3843" width="28.44140625" customWidth="1"/>
    <col min="3844" max="3844" width="14" customWidth="1"/>
    <col min="3845" max="3845" width="13.6640625" customWidth="1"/>
    <col min="3846" max="3846" width="14" customWidth="1"/>
    <col min="3847" max="3847" width="13.88671875" customWidth="1"/>
    <col min="3848" max="3848" width="13.5546875" customWidth="1"/>
    <col min="3849" max="3849" width="14.109375" customWidth="1"/>
    <col min="3850" max="3850" width="13.44140625" customWidth="1"/>
    <col min="3851" max="3851" width="14.5546875" customWidth="1"/>
    <col min="3852" max="3852" width="14.33203125" customWidth="1"/>
    <col min="3853" max="3853" width="14.5546875" customWidth="1"/>
    <col min="3854" max="3854" width="14.44140625" customWidth="1"/>
    <col min="3855" max="3855" width="14" customWidth="1"/>
    <col min="4097" max="4097" width="5.33203125" customWidth="1"/>
    <col min="4098" max="4098" width="4.5546875" customWidth="1"/>
    <col min="4099" max="4099" width="28.44140625" customWidth="1"/>
    <col min="4100" max="4100" width="14" customWidth="1"/>
    <col min="4101" max="4101" width="13.6640625" customWidth="1"/>
    <col min="4102" max="4102" width="14" customWidth="1"/>
    <col min="4103" max="4103" width="13.88671875" customWidth="1"/>
    <col min="4104" max="4104" width="13.5546875" customWidth="1"/>
    <col min="4105" max="4105" width="14.109375" customWidth="1"/>
    <col min="4106" max="4106" width="13.44140625" customWidth="1"/>
    <col min="4107" max="4107" width="14.5546875" customWidth="1"/>
    <col min="4108" max="4108" width="14.33203125" customWidth="1"/>
    <col min="4109" max="4109" width="14.5546875" customWidth="1"/>
    <col min="4110" max="4110" width="14.44140625" customWidth="1"/>
    <col min="4111" max="4111" width="14" customWidth="1"/>
    <col min="4353" max="4353" width="5.33203125" customWidth="1"/>
    <col min="4354" max="4354" width="4.5546875" customWidth="1"/>
    <col min="4355" max="4355" width="28.44140625" customWidth="1"/>
    <col min="4356" max="4356" width="14" customWidth="1"/>
    <col min="4357" max="4357" width="13.6640625" customWidth="1"/>
    <col min="4358" max="4358" width="14" customWidth="1"/>
    <col min="4359" max="4359" width="13.88671875" customWidth="1"/>
    <col min="4360" max="4360" width="13.5546875" customWidth="1"/>
    <col min="4361" max="4361" width="14.109375" customWidth="1"/>
    <col min="4362" max="4362" width="13.44140625" customWidth="1"/>
    <col min="4363" max="4363" width="14.5546875" customWidth="1"/>
    <col min="4364" max="4364" width="14.33203125" customWidth="1"/>
    <col min="4365" max="4365" width="14.5546875" customWidth="1"/>
    <col min="4366" max="4366" width="14.44140625" customWidth="1"/>
    <col min="4367" max="4367" width="14" customWidth="1"/>
    <col min="4609" max="4609" width="5.33203125" customWidth="1"/>
    <col min="4610" max="4610" width="4.5546875" customWidth="1"/>
    <col min="4611" max="4611" width="28.44140625" customWidth="1"/>
    <col min="4612" max="4612" width="14" customWidth="1"/>
    <col min="4613" max="4613" width="13.6640625" customWidth="1"/>
    <col min="4614" max="4614" width="14" customWidth="1"/>
    <col min="4615" max="4615" width="13.88671875" customWidth="1"/>
    <col min="4616" max="4616" width="13.5546875" customWidth="1"/>
    <col min="4617" max="4617" width="14.109375" customWidth="1"/>
    <col min="4618" max="4618" width="13.44140625" customWidth="1"/>
    <col min="4619" max="4619" width="14.5546875" customWidth="1"/>
    <col min="4620" max="4620" width="14.33203125" customWidth="1"/>
    <col min="4621" max="4621" width="14.5546875" customWidth="1"/>
    <col min="4622" max="4622" width="14.44140625" customWidth="1"/>
    <col min="4623" max="4623" width="14" customWidth="1"/>
    <col min="4865" max="4865" width="5.33203125" customWidth="1"/>
    <col min="4866" max="4866" width="4.5546875" customWidth="1"/>
    <col min="4867" max="4867" width="28.44140625" customWidth="1"/>
    <col min="4868" max="4868" width="14" customWidth="1"/>
    <col min="4869" max="4869" width="13.6640625" customWidth="1"/>
    <col min="4870" max="4870" width="14" customWidth="1"/>
    <col min="4871" max="4871" width="13.88671875" customWidth="1"/>
    <col min="4872" max="4872" width="13.5546875" customWidth="1"/>
    <col min="4873" max="4873" width="14.109375" customWidth="1"/>
    <col min="4874" max="4874" width="13.44140625" customWidth="1"/>
    <col min="4875" max="4875" width="14.5546875" customWidth="1"/>
    <col min="4876" max="4876" width="14.33203125" customWidth="1"/>
    <col min="4877" max="4877" width="14.5546875" customWidth="1"/>
    <col min="4878" max="4878" width="14.44140625" customWidth="1"/>
    <col min="4879" max="4879" width="14" customWidth="1"/>
    <col min="5121" max="5121" width="5.33203125" customWidth="1"/>
    <col min="5122" max="5122" width="4.5546875" customWidth="1"/>
    <col min="5123" max="5123" width="28.44140625" customWidth="1"/>
    <col min="5124" max="5124" width="14" customWidth="1"/>
    <col min="5125" max="5125" width="13.6640625" customWidth="1"/>
    <col min="5126" max="5126" width="14" customWidth="1"/>
    <col min="5127" max="5127" width="13.88671875" customWidth="1"/>
    <col min="5128" max="5128" width="13.5546875" customWidth="1"/>
    <col min="5129" max="5129" width="14.109375" customWidth="1"/>
    <col min="5130" max="5130" width="13.44140625" customWidth="1"/>
    <col min="5131" max="5131" width="14.5546875" customWidth="1"/>
    <col min="5132" max="5132" width="14.33203125" customWidth="1"/>
    <col min="5133" max="5133" width="14.5546875" customWidth="1"/>
    <col min="5134" max="5134" width="14.44140625" customWidth="1"/>
    <col min="5135" max="5135" width="14" customWidth="1"/>
    <col min="5377" max="5377" width="5.33203125" customWidth="1"/>
    <col min="5378" max="5378" width="4.5546875" customWidth="1"/>
    <col min="5379" max="5379" width="28.44140625" customWidth="1"/>
    <col min="5380" max="5380" width="14" customWidth="1"/>
    <col min="5381" max="5381" width="13.6640625" customWidth="1"/>
    <col min="5382" max="5382" width="14" customWidth="1"/>
    <col min="5383" max="5383" width="13.88671875" customWidth="1"/>
    <col min="5384" max="5384" width="13.5546875" customWidth="1"/>
    <col min="5385" max="5385" width="14.109375" customWidth="1"/>
    <col min="5386" max="5386" width="13.44140625" customWidth="1"/>
    <col min="5387" max="5387" width="14.5546875" customWidth="1"/>
    <col min="5388" max="5388" width="14.33203125" customWidth="1"/>
    <col min="5389" max="5389" width="14.5546875" customWidth="1"/>
    <col min="5390" max="5390" width="14.44140625" customWidth="1"/>
    <col min="5391" max="5391" width="14" customWidth="1"/>
    <col min="5633" max="5633" width="5.33203125" customWidth="1"/>
    <col min="5634" max="5634" width="4.5546875" customWidth="1"/>
    <col min="5635" max="5635" width="28.44140625" customWidth="1"/>
    <col min="5636" max="5636" width="14" customWidth="1"/>
    <col min="5637" max="5637" width="13.6640625" customWidth="1"/>
    <col min="5638" max="5638" width="14" customWidth="1"/>
    <col min="5639" max="5639" width="13.88671875" customWidth="1"/>
    <col min="5640" max="5640" width="13.5546875" customWidth="1"/>
    <col min="5641" max="5641" width="14.109375" customWidth="1"/>
    <col min="5642" max="5642" width="13.44140625" customWidth="1"/>
    <col min="5643" max="5643" width="14.5546875" customWidth="1"/>
    <col min="5644" max="5644" width="14.33203125" customWidth="1"/>
    <col min="5645" max="5645" width="14.5546875" customWidth="1"/>
    <col min="5646" max="5646" width="14.44140625" customWidth="1"/>
    <col min="5647" max="5647" width="14" customWidth="1"/>
    <col min="5889" max="5889" width="5.33203125" customWidth="1"/>
    <col min="5890" max="5890" width="4.5546875" customWidth="1"/>
    <col min="5891" max="5891" width="28.44140625" customWidth="1"/>
    <col min="5892" max="5892" width="14" customWidth="1"/>
    <col min="5893" max="5893" width="13.6640625" customWidth="1"/>
    <col min="5894" max="5894" width="14" customWidth="1"/>
    <col min="5895" max="5895" width="13.88671875" customWidth="1"/>
    <col min="5896" max="5896" width="13.5546875" customWidth="1"/>
    <col min="5897" max="5897" width="14.109375" customWidth="1"/>
    <col min="5898" max="5898" width="13.44140625" customWidth="1"/>
    <col min="5899" max="5899" width="14.5546875" customWidth="1"/>
    <col min="5900" max="5900" width="14.33203125" customWidth="1"/>
    <col min="5901" max="5901" width="14.5546875" customWidth="1"/>
    <col min="5902" max="5902" width="14.44140625" customWidth="1"/>
    <col min="5903" max="5903" width="14" customWidth="1"/>
    <col min="6145" max="6145" width="5.33203125" customWidth="1"/>
    <col min="6146" max="6146" width="4.5546875" customWidth="1"/>
    <col min="6147" max="6147" width="28.44140625" customWidth="1"/>
    <col min="6148" max="6148" width="14" customWidth="1"/>
    <col min="6149" max="6149" width="13.6640625" customWidth="1"/>
    <col min="6150" max="6150" width="14" customWidth="1"/>
    <col min="6151" max="6151" width="13.88671875" customWidth="1"/>
    <col min="6152" max="6152" width="13.5546875" customWidth="1"/>
    <col min="6153" max="6153" width="14.109375" customWidth="1"/>
    <col min="6154" max="6154" width="13.44140625" customWidth="1"/>
    <col min="6155" max="6155" width="14.5546875" customWidth="1"/>
    <col min="6156" max="6156" width="14.33203125" customWidth="1"/>
    <col min="6157" max="6157" width="14.5546875" customWidth="1"/>
    <col min="6158" max="6158" width="14.44140625" customWidth="1"/>
    <col min="6159" max="6159" width="14" customWidth="1"/>
    <col min="6401" max="6401" width="5.33203125" customWidth="1"/>
    <col min="6402" max="6402" width="4.5546875" customWidth="1"/>
    <col min="6403" max="6403" width="28.44140625" customWidth="1"/>
    <col min="6404" max="6404" width="14" customWidth="1"/>
    <col min="6405" max="6405" width="13.6640625" customWidth="1"/>
    <col min="6406" max="6406" width="14" customWidth="1"/>
    <col min="6407" max="6407" width="13.88671875" customWidth="1"/>
    <col min="6408" max="6408" width="13.5546875" customWidth="1"/>
    <col min="6409" max="6409" width="14.109375" customWidth="1"/>
    <col min="6410" max="6410" width="13.44140625" customWidth="1"/>
    <col min="6411" max="6411" width="14.5546875" customWidth="1"/>
    <col min="6412" max="6412" width="14.33203125" customWidth="1"/>
    <col min="6413" max="6413" width="14.5546875" customWidth="1"/>
    <col min="6414" max="6414" width="14.44140625" customWidth="1"/>
    <col min="6415" max="6415" width="14" customWidth="1"/>
    <col min="6657" max="6657" width="5.33203125" customWidth="1"/>
    <col min="6658" max="6658" width="4.5546875" customWidth="1"/>
    <col min="6659" max="6659" width="28.44140625" customWidth="1"/>
    <col min="6660" max="6660" width="14" customWidth="1"/>
    <col min="6661" max="6661" width="13.6640625" customWidth="1"/>
    <col min="6662" max="6662" width="14" customWidth="1"/>
    <col min="6663" max="6663" width="13.88671875" customWidth="1"/>
    <col min="6664" max="6664" width="13.5546875" customWidth="1"/>
    <col min="6665" max="6665" width="14.109375" customWidth="1"/>
    <col min="6666" max="6666" width="13.44140625" customWidth="1"/>
    <col min="6667" max="6667" width="14.5546875" customWidth="1"/>
    <col min="6668" max="6668" width="14.33203125" customWidth="1"/>
    <col min="6669" max="6669" width="14.5546875" customWidth="1"/>
    <col min="6670" max="6670" width="14.44140625" customWidth="1"/>
    <col min="6671" max="6671" width="14" customWidth="1"/>
    <col min="6913" max="6913" width="5.33203125" customWidth="1"/>
    <col min="6914" max="6914" width="4.5546875" customWidth="1"/>
    <col min="6915" max="6915" width="28.44140625" customWidth="1"/>
    <col min="6916" max="6916" width="14" customWidth="1"/>
    <col min="6917" max="6917" width="13.6640625" customWidth="1"/>
    <col min="6918" max="6918" width="14" customWidth="1"/>
    <col min="6919" max="6919" width="13.88671875" customWidth="1"/>
    <col min="6920" max="6920" width="13.5546875" customWidth="1"/>
    <col min="6921" max="6921" width="14.109375" customWidth="1"/>
    <col min="6922" max="6922" width="13.44140625" customWidth="1"/>
    <col min="6923" max="6923" width="14.5546875" customWidth="1"/>
    <col min="6924" max="6924" width="14.33203125" customWidth="1"/>
    <col min="6925" max="6925" width="14.5546875" customWidth="1"/>
    <col min="6926" max="6926" width="14.44140625" customWidth="1"/>
    <col min="6927" max="6927" width="14" customWidth="1"/>
    <col min="7169" max="7169" width="5.33203125" customWidth="1"/>
    <col min="7170" max="7170" width="4.5546875" customWidth="1"/>
    <col min="7171" max="7171" width="28.44140625" customWidth="1"/>
    <col min="7172" max="7172" width="14" customWidth="1"/>
    <col min="7173" max="7173" width="13.6640625" customWidth="1"/>
    <col min="7174" max="7174" width="14" customWidth="1"/>
    <col min="7175" max="7175" width="13.88671875" customWidth="1"/>
    <col min="7176" max="7176" width="13.5546875" customWidth="1"/>
    <col min="7177" max="7177" width="14.109375" customWidth="1"/>
    <col min="7178" max="7178" width="13.44140625" customWidth="1"/>
    <col min="7179" max="7179" width="14.5546875" customWidth="1"/>
    <col min="7180" max="7180" width="14.33203125" customWidth="1"/>
    <col min="7181" max="7181" width="14.5546875" customWidth="1"/>
    <col min="7182" max="7182" width="14.44140625" customWidth="1"/>
    <col min="7183" max="7183" width="14" customWidth="1"/>
    <col min="7425" max="7425" width="5.33203125" customWidth="1"/>
    <col min="7426" max="7426" width="4.5546875" customWidth="1"/>
    <col min="7427" max="7427" width="28.44140625" customWidth="1"/>
    <col min="7428" max="7428" width="14" customWidth="1"/>
    <col min="7429" max="7429" width="13.6640625" customWidth="1"/>
    <col min="7430" max="7430" width="14" customWidth="1"/>
    <col min="7431" max="7431" width="13.88671875" customWidth="1"/>
    <col min="7432" max="7432" width="13.5546875" customWidth="1"/>
    <col min="7433" max="7433" width="14.109375" customWidth="1"/>
    <col min="7434" max="7434" width="13.44140625" customWidth="1"/>
    <col min="7435" max="7435" width="14.5546875" customWidth="1"/>
    <col min="7436" max="7436" width="14.33203125" customWidth="1"/>
    <col min="7437" max="7437" width="14.5546875" customWidth="1"/>
    <col min="7438" max="7438" width="14.44140625" customWidth="1"/>
    <col min="7439" max="7439" width="14" customWidth="1"/>
    <col min="7681" max="7681" width="5.33203125" customWidth="1"/>
    <col min="7682" max="7682" width="4.5546875" customWidth="1"/>
    <col min="7683" max="7683" width="28.44140625" customWidth="1"/>
    <col min="7684" max="7684" width="14" customWidth="1"/>
    <col min="7685" max="7685" width="13.6640625" customWidth="1"/>
    <col min="7686" max="7686" width="14" customWidth="1"/>
    <col min="7687" max="7687" width="13.88671875" customWidth="1"/>
    <col min="7688" max="7688" width="13.5546875" customWidth="1"/>
    <col min="7689" max="7689" width="14.109375" customWidth="1"/>
    <col min="7690" max="7690" width="13.44140625" customWidth="1"/>
    <col min="7691" max="7691" width="14.5546875" customWidth="1"/>
    <col min="7692" max="7692" width="14.33203125" customWidth="1"/>
    <col min="7693" max="7693" width="14.5546875" customWidth="1"/>
    <col min="7694" max="7694" width="14.44140625" customWidth="1"/>
    <col min="7695" max="7695" width="14" customWidth="1"/>
    <col min="7937" max="7937" width="5.33203125" customWidth="1"/>
    <col min="7938" max="7938" width="4.5546875" customWidth="1"/>
    <col min="7939" max="7939" width="28.44140625" customWidth="1"/>
    <col min="7940" max="7940" width="14" customWidth="1"/>
    <col min="7941" max="7941" width="13.6640625" customWidth="1"/>
    <col min="7942" max="7942" width="14" customWidth="1"/>
    <col min="7943" max="7943" width="13.88671875" customWidth="1"/>
    <col min="7944" max="7944" width="13.5546875" customWidth="1"/>
    <col min="7945" max="7945" width="14.109375" customWidth="1"/>
    <col min="7946" max="7946" width="13.44140625" customWidth="1"/>
    <col min="7947" max="7947" width="14.5546875" customWidth="1"/>
    <col min="7948" max="7948" width="14.33203125" customWidth="1"/>
    <col min="7949" max="7949" width="14.5546875" customWidth="1"/>
    <col min="7950" max="7950" width="14.44140625" customWidth="1"/>
    <col min="7951" max="7951" width="14" customWidth="1"/>
    <col min="8193" max="8193" width="5.33203125" customWidth="1"/>
    <col min="8194" max="8194" width="4.5546875" customWidth="1"/>
    <col min="8195" max="8195" width="28.44140625" customWidth="1"/>
    <col min="8196" max="8196" width="14" customWidth="1"/>
    <col min="8197" max="8197" width="13.6640625" customWidth="1"/>
    <col min="8198" max="8198" width="14" customWidth="1"/>
    <col min="8199" max="8199" width="13.88671875" customWidth="1"/>
    <col min="8200" max="8200" width="13.5546875" customWidth="1"/>
    <col min="8201" max="8201" width="14.109375" customWidth="1"/>
    <col min="8202" max="8202" width="13.44140625" customWidth="1"/>
    <col min="8203" max="8203" width="14.5546875" customWidth="1"/>
    <col min="8204" max="8204" width="14.33203125" customWidth="1"/>
    <col min="8205" max="8205" width="14.5546875" customWidth="1"/>
    <col min="8206" max="8206" width="14.44140625" customWidth="1"/>
    <col min="8207" max="8207" width="14" customWidth="1"/>
    <col min="8449" max="8449" width="5.33203125" customWidth="1"/>
    <col min="8450" max="8450" width="4.5546875" customWidth="1"/>
    <col min="8451" max="8451" width="28.44140625" customWidth="1"/>
    <col min="8452" max="8452" width="14" customWidth="1"/>
    <col min="8453" max="8453" width="13.6640625" customWidth="1"/>
    <col min="8454" max="8454" width="14" customWidth="1"/>
    <col min="8455" max="8455" width="13.88671875" customWidth="1"/>
    <col min="8456" max="8456" width="13.5546875" customWidth="1"/>
    <col min="8457" max="8457" width="14.109375" customWidth="1"/>
    <col min="8458" max="8458" width="13.44140625" customWidth="1"/>
    <col min="8459" max="8459" width="14.5546875" customWidth="1"/>
    <col min="8460" max="8460" width="14.33203125" customWidth="1"/>
    <col min="8461" max="8461" width="14.5546875" customWidth="1"/>
    <col min="8462" max="8462" width="14.44140625" customWidth="1"/>
    <col min="8463" max="8463" width="14" customWidth="1"/>
    <col min="8705" max="8705" width="5.33203125" customWidth="1"/>
    <col min="8706" max="8706" width="4.5546875" customWidth="1"/>
    <col min="8707" max="8707" width="28.44140625" customWidth="1"/>
    <col min="8708" max="8708" width="14" customWidth="1"/>
    <col min="8709" max="8709" width="13.6640625" customWidth="1"/>
    <col min="8710" max="8710" width="14" customWidth="1"/>
    <col min="8711" max="8711" width="13.88671875" customWidth="1"/>
    <col min="8712" max="8712" width="13.5546875" customWidth="1"/>
    <col min="8713" max="8713" width="14.109375" customWidth="1"/>
    <col min="8714" max="8714" width="13.44140625" customWidth="1"/>
    <col min="8715" max="8715" width="14.5546875" customWidth="1"/>
    <col min="8716" max="8716" width="14.33203125" customWidth="1"/>
    <col min="8717" max="8717" width="14.5546875" customWidth="1"/>
    <col min="8718" max="8718" width="14.44140625" customWidth="1"/>
    <col min="8719" max="8719" width="14" customWidth="1"/>
    <col min="8961" max="8961" width="5.33203125" customWidth="1"/>
    <col min="8962" max="8962" width="4.5546875" customWidth="1"/>
    <col min="8963" max="8963" width="28.44140625" customWidth="1"/>
    <col min="8964" max="8964" width="14" customWidth="1"/>
    <col min="8965" max="8965" width="13.6640625" customWidth="1"/>
    <col min="8966" max="8966" width="14" customWidth="1"/>
    <col min="8967" max="8967" width="13.88671875" customWidth="1"/>
    <col min="8968" max="8968" width="13.5546875" customWidth="1"/>
    <col min="8969" max="8969" width="14.109375" customWidth="1"/>
    <col min="8970" max="8970" width="13.44140625" customWidth="1"/>
    <col min="8971" max="8971" width="14.5546875" customWidth="1"/>
    <col min="8972" max="8972" width="14.33203125" customWidth="1"/>
    <col min="8973" max="8973" width="14.5546875" customWidth="1"/>
    <col min="8974" max="8974" width="14.44140625" customWidth="1"/>
    <col min="8975" max="8975" width="14" customWidth="1"/>
    <col min="9217" max="9217" width="5.33203125" customWidth="1"/>
    <col min="9218" max="9218" width="4.5546875" customWidth="1"/>
    <col min="9219" max="9219" width="28.44140625" customWidth="1"/>
    <col min="9220" max="9220" width="14" customWidth="1"/>
    <col min="9221" max="9221" width="13.6640625" customWidth="1"/>
    <col min="9222" max="9222" width="14" customWidth="1"/>
    <col min="9223" max="9223" width="13.88671875" customWidth="1"/>
    <col min="9224" max="9224" width="13.5546875" customWidth="1"/>
    <col min="9225" max="9225" width="14.109375" customWidth="1"/>
    <col min="9226" max="9226" width="13.44140625" customWidth="1"/>
    <col min="9227" max="9227" width="14.5546875" customWidth="1"/>
    <col min="9228" max="9228" width="14.33203125" customWidth="1"/>
    <col min="9229" max="9229" width="14.5546875" customWidth="1"/>
    <col min="9230" max="9230" width="14.44140625" customWidth="1"/>
    <col min="9231" max="9231" width="14" customWidth="1"/>
    <col min="9473" max="9473" width="5.33203125" customWidth="1"/>
    <col min="9474" max="9474" width="4.5546875" customWidth="1"/>
    <col min="9475" max="9475" width="28.44140625" customWidth="1"/>
    <col min="9476" max="9476" width="14" customWidth="1"/>
    <col min="9477" max="9477" width="13.6640625" customWidth="1"/>
    <col min="9478" max="9478" width="14" customWidth="1"/>
    <col min="9479" max="9479" width="13.88671875" customWidth="1"/>
    <col min="9480" max="9480" width="13.5546875" customWidth="1"/>
    <col min="9481" max="9481" width="14.109375" customWidth="1"/>
    <col min="9482" max="9482" width="13.44140625" customWidth="1"/>
    <col min="9483" max="9483" width="14.5546875" customWidth="1"/>
    <col min="9484" max="9484" width="14.33203125" customWidth="1"/>
    <col min="9485" max="9485" width="14.5546875" customWidth="1"/>
    <col min="9486" max="9486" width="14.44140625" customWidth="1"/>
    <col min="9487" max="9487" width="14" customWidth="1"/>
    <col min="9729" max="9729" width="5.33203125" customWidth="1"/>
    <col min="9730" max="9730" width="4.5546875" customWidth="1"/>
    <col min="9731" max="9731" width="28.44140625" customWidth="1"/>
    <col min="9732" max="9732" width="14" customWidth="1"/>
    <col min="9733" max="9733" width="13.6640625" customWidth="1"/>
    <col min="9734" max="9734" width="14" customWidth="1"/>
    <col min="9735" max="9735" width="13.88671875" customWidth="1"/>
    <col min="9736" max="9736" width="13.5546875" customWidth="1"/>
    <col min="9737" max="9737" width="14.109375" customWidth="1"/>
    <col min="9738" max="9738" width="13.44140625" customWidth="1"/>
    <col min="9739" max="9739" width="14.5546875" customWidth="1"/>
    <col min="9740" max="9740" width="14.33203125" customWidth="1"/>
    <col min="9741" max="9741" width="14.5546875" customWidth="1"/>
    <col min="9742" max="9742" width="14.44140625" customWidth="1"/>
    <col min="9743" max="9743" width="14" customWidth="1"/>
    <col min="9985" max="9985" width="5.33203125" customWidth="1"/>
    <col min="9986" max="9986" width="4.5546875" customWidth="1"/>
    <col min="9987" max="9987" width="28.44140625" customWidth="1"/>
    <col min="9988" max="9988" width="14" customWidth="1"/>
    <col min="9989" max="9989" width="13.6640625" customWidth="1"/>
    <col min="9990" max="9990" width="14" customWidth="1"/>
    <col min="9991" max="9991" width="13.88671875" customWidth="1"/>
    <col min="9992" max="9992" width="13.5546875" customWidth="1"/>
    <col min="9993" max="9993" width="14.109375" customWidth="1"/>
    <col min="9994" max="9994" width="13.44140625" customWidth="1"/>
    <col min="9995" max="9995" width="14.5546875" customWidth="1"/>
    <col min="9996" max="9996" width="14.33203125" customWidth="1"/>
    <col min="9997" max="9997" width="14.5546875" customWidth="1"/>
    <col min="9998" max="9998" width="14.44140625" customWidth="1"/>
    <col min="9999" max="9999" width="14" customWidth="1"/>
    <col min="10241" max="10241" width="5.33203125" customWidth="1"/>
    <col min="10242" max="10242" width="4.5546875" customWidth="1"/>
    <col min="10243" max="10243" width="28.44140625" customWidth="1"/>
    <col min="10244" max="10244" width="14" customWidth="1"/>
    <col min="10245" max="10245" width="13.6640625" customWidth="1"/>
    <col min="10246" max="10246" width="14" customWidth="1"/>
    <col min="10247" max="10247" width="13.88671875" customWidth="1"/>
    <col min="10248" max="10248" width="13.5546875" customWidth="1"/>
    <col min="10249" max="10249" width="14.109375" customWidth="1"/>
    <col min="10250" max="10250" width="13.44140625" customWidth="1"/>
    <col min="10251" max="10251" width="14.5546875" customWidth="1"/>
    <col min="10252" max="10252" width="14.33203125" customWidth="1"/>
    <col min="10253" max="10253" width="14.5546875" customWidth="1"/>
    <col min="10254" max="10254" width="14.44140625" customWidth="1"/>
    <col min="10255" max="10255" width="14" customWidth="1"/>
    <col min="10497" max="10497" width="5.33203125" customWidth="1"/>
    <col min="10498" max="10498" width="4.5546875" customWidth="1"/>
    <col min="10499" max="10499" width="28.44140625" customWidth="1"/>
    <col min="10500" max="10500" width="14" customWidth="1"/>
    <col min="10501" max="10501" width="13.6640625" customWidth="1"/>
    <col min="10502" max="10502" width="14" customWidth="1"/>
    <col min="10503" max="10503" width="13.88671875" customWidth="1"/>
    <col min="10504" max="10504" width="13.5546875" customWidth="1"/>
    <col min="10505" max="10505" width="14.109375" customWidth="1"/>
    <col min="10506" max="10506" width="13.44140625" customWidth="1"/>
    <col min="10507" max="10507" width="14.5546875" customWidth="1"/>
    <col min="10508" max="10508" width="14.33203125" customWidth="1"/>
    <col min="10509" max="10509" width="14.5546875" customWidth="1"/>
    <col min="10510" max="10510" width="14.44140625" customWidth="1"/>
    <col min="10511" max="10511" width="14" customWidth="1"/>
    <col min="10753" max="10753" width="5.33203125" customWidth="1"/>
    <col min="10754" max="10754" width="4.5546875" customWidth="1"/>
    <col min="10755" max="10755" width="28.44140625" customWidth="1"/>
    <col min="10756" max="10756" width="14" customWidth="1"/>
    <col min="10757" max="10757" width="13.6640625" customWidth="1"/>
    <col min="10758" max="10758" width="14" customWidth="1"/>
    <col min="10759" max="10759" width="13.88671875" customWidth="1"/>
    <col min="10760" max="10760" width="13.5546875" customWidth="1"/>
    <col min="10761" max="10761" width="14.109375" customWidth="1"/>
    <col min="10762" max="10762" width="13.44140625" customWidth="1"/>
    <col min="10763" max="10763" width="14.5546875" customWidth="1"/>
    <col min="10764" max="10764" width="14.33203125" customWidth="1"/>
    <col min="10765" max="10765" width="14.5546875" customWidth="1"/>
    <col min="10766" max="10766" width="14.44140625" customWidth="1"/>
    <col min="10767" max="10767" width="14" customWidth="1"/>
    <col min="11009" max="11009" width="5.33203125" customWidth="1"/>
    <col min="11010" max="11010" width="4.5546875" customWidth="1"/>
    <col min="11011" max="11011" width="28.44140625" customWidth="1"/>
    <col min="11012" max="11012" width="14" customWidth="1"/>
    <col min="11013" max="11013" width="13.6640625" customWidth="1"/>
    <col min="11014" max="11014" width="14" customWidth="1"/>
    <col min="11015" max="11015" width="13.88671875" customWidth="1"/>
    <col min="11016" max="11016" width="13.5546875" customWidth="1"/>
    <col min="11017" max="11017" width="14.109375" customWidth="1"/>
    <col min="11018" max="11018" width="13.44140625" customWidth="1"/>
    <col min="11019" max="11019" width="14.5546875" customWidth="1"/>
    <col min="11020" max="11020" width="14.33203125" customWidth="1"/>
    <col min="11021" max="11021" width="14.5546875" customWidth="1"/>
    <col min="11022" max="11022" width="14.44140625" customWidth="1"/>
    <col min="11023" max="11023" width="14" customWidth="1"/>
    <col min="11265" max="11265" width="5.33203125" customWidth="1"/>
    <col min="11266" max="11266" width="4.5546875" customWidth="1"/>
    <col min="11267" max="11267" width="28.44140625" customWidth="1"/>
    <col min="11268" max="11268" width="14" customWidth="1"/>
    <col min="11269" max="11269" width="13.6640625" customWidth="1"/>
    <col min="11270" max="11270" width="14" customWidth="1"/>
    <col min="11271" max="11271" width="13.88671875" customWidth="1"/>
    <col min="11272" max="11272" width="13.5546875" customWidth="1"/>
    <col min="11273" max="11273" width="14.109375" customWidth="1"/>
    <col min="11274" max="11274" width="13.44140625" customWidth="1"/>
    <col min="11275" max="11275" width="14.5546875" customWidth="1"/>
    <col min="11276" max="11276" width="14.33203125" customWidth="1"/>
    <col min="11277" max="11277" width="14.5546875" customWidth="1"/>
    <col min="11278" max="11278" width="14.44140625" customWidth="1"/>
    <col min="11279" max="11279" width="14" customWidth="1"/>
    <col min="11521" max="11521" width="5.33203125" customWidth="1"/>
    <col min="11522" max="11522" width="4.5546875" customWidth="1"/>
    <col min="11523" max="11523" width="28.44140625" customWidth="1"/>
    <col min="11524" max="11524" width="14" customWidth="1"/>
    <col min="11525" max="11525" width="13.6640625" customWidth="1"/>
    <col min="11526" max="11526" width="14" customWidth="1"/>
    <col min="11527" max="11527" width="13.88671875" customWidth="1"/>
    <col min="11528" max="11528" width="13.5546875" customWidth="1"/>
    <col min="11529" max="11529" width="14.109375" customWidth="1"/>
    <col min="11530" max="11530" width="13.44140625" customWidth="1"/>
    <col min="11531" max="11531" width="14.5546875" customWidth="1"/>
    <col min="11532" max="11532" width="14.33203125" customWidth="1"/>
    <col min="11533" max="11533" width="14.5546875" customWidth="1"/>
    <col min="11534" max="11534" width="14.44140625" customWidth="1"/>
    <col min="11535" max="11535" width="14" customWidth="1"/>
    <col min="11777" max="11777" width="5.33203125" customWidth="1"/>
    <col min="11778" max="11778" width="4.5546875" customWidth="1"/>
    <col min="11779" max="11779" width="28.44140625" customWidth="1"/>
    <col min="11780" max="11780" width="14" customWidth="1"/>
    <col min="11781" max="11781" width="13.6640625" customWidth="1"/>
    <col min="11782" max="11782" width="14" customWidth="1"/>
    <col min="11783" max="11783" width="13.88671875" customWidth="1"/>
    <col min="11784" max="11784" width="13.5546875" customWidth="1"/>
    <col min="11785" max="11785" width="14.109375" customWidth="1"/>
    <col min="11786" max="11786" width="13.44140625" customWidth="1"/>
    <col min="11787" max="11787" width="14.5546875" customWidth="1"/>
    <col min="11788" max="11788" width="14.33203125" customWidth="1"/>
    <col min="11789" max="11789" width="14.5546875" customWidth="1"/>
    <col min="11790" max="11790" width="14.44140625" customWidth="1"/>
    <col min="11791" max="11791" width="14" customWidth="1"/>
    <col min="12033" max="12033" width="5.33203125" customWidth="1"/>
    <col min="12034" max="12034" width="4.5546875" customWidth="1"/>
    <col min="12035" max="12035" width="28.44140625" customWidth="1"/>
    <col min="12036" max="12036" width="14" customWidth="1"/>
    <col min="12037" max="12037" width="13.6640625" customWidth="1"/>
    <col min="12038" max="12038" width="14" customWidth="1"/>
    <col min="12039" max="12039" width="13.88671875" customWidth="1"/>
    <col min="12040" max="12040" width="13.5546875" customWidth="1"/>
    <col min="12041" max="12041" width="14.109375" customWidth="1"/>
    <col min="12042" max="12042" width="13.44140625" customWidth="1"/>
    <col min="12043" max="12043" width="14.5546875" customWidth="1"/>
    <col min="12044" max="12044" width="14.33203125" customWidth="1"/>
    <col min="12045" max="12045" width="14.5546875" customWidth="1"/>
    <col min="12046" max="12046" width="14.44140625" customWidth="1"/>
    <col min="12047" max="12047" width="14" customWidth="1"/>
    <col min="12289" max="12289" width="5.33203125" customWidth="1"/>
    <col min="12290" max="12290" width="4.5546875" customWidth="1"/>
    <col min="12291" max="12291" width="28.44140625" customWidth="1"/>
    <col min="12292" max="12292" width="14" customWidth="1"/>
    <col min="12293" max="12293" width="13.6640625" customWidth="1"/>
    <col min="12294" max="12294" width="14" customWidth="1"/>
    <col min="12295" max="12295" width="13.88671875" customWidth="1"/>
    <col min="12296" max="12296" width="13.5546875" customWidth="1"/>
    <col min="12297" max="12297" width="14.109375" customWidth="1"/>
    <col min="12298" max="12298" width="13.44140625" customWidth="1"/>
    <col min="12299" max="12299" width="14.5546875" customWidth="1"/>
    <col min="12300" max="12300" width="14.33203125" customWidth="1"/>
    <col min="12301" max="12301" width="14.5546875" customWidth="1"/>
    <col min="12302" max="12302" width="14.44140625" customWidth="1"/>
    <col min="12303" max="12303" width="14" customWidth="1"/>
    <col min="12545" max="12545" width="5.33203125" customWidth="1"/>
    <col min="12546" max="12546" width="4.5546875" customWidth="1"/>
    <col min="12547" max="12547" width="28.44140625" customWidth="1"/>
    <col min="12548" max="12548" width="14" customWidth="1"/>
    <col min="12549" max="12549" width="13.6640625" customWidth="1"/>
    <col min="12550" max="12550" width="14" customWidth="1"/>
    <col min="12551" max="12551" width="13.88671875" customWidth="1"/>
    <col min="12552" max="12552" width="13.5546875" customWidth="1"/>
    <col min="12553" max="12553" width="14.109375" customWidth="1"/>
    <col min="12554" max="12554" width="13.44140625" customWidth="1"/>
    <col min="12555" max="12555" width="14.5546875" customWidth="1"/>
    <col min="12556" max="12556" width="14.33203125" customWidth="1"/>
    <col min="12557" max="12557" width="14.5546875" customWidth="1"/>
    <col min="12558" max="12558" width="14.44140625" customWidth="1"/>
    <col min="12559" max="12559" width="14" customWidth="1"/>
    <col min="12801" max="12801" width="5.33203125" customWidth="1"/>
    <col min="12802" max="12802" width="4.5546875" customWidth="1"/>
    <col min="12803" max="12803" width="28.44140625" customWidth="1"/>
    <col min="12804" max="12804" width="14" customWidth="1"/>
    <col min="12805" max="12805" width="13.6640625" customWidth="1"/>
    <col min="12806" max="12806" width="14" customWidth="1"/>
    <col min="12807" max="12807" width="13.88671875" customWidth="1"/>
    <col min="12808" max="12808" width="13.5546875" customWidth="1"/>
    <col min="12809" max="12809" width="14.109375" customWidth="1"/>
    <col min="12810" max="12810" width="13.44140625" customWidth="1"/>
    <col min="12811" max="12811" width="14.5546875" customWidth="1"/>
    <col min="12812" max="12812" width="14.33203125" customWidth="1"/>
    <col min="12813" max="12813" width="14.5546875" customWidth="1"/>
    <col min="12814" max="12814" width="14.44140625" customWidth="1"/>
    <col min="12815" max="12815" width="14" customWidth="1"/>
    <col min="13057" max="13057" width="5.33203125" customWidth="1"/>
    <col min="13058" max="13058" width="4.5546875" customWidth="1"/>
    <col min="13059" max="13059" width="28.44140625" customWidth="1"/>
    <col min="13060" max="13060" width="14" customWidth="1"/>
    <col min="13061" max="13061" width="13.6640625" customWidth="1"/>
    <col min="13062" max="13062" width="14" customWidth="1"/>
    <col min="13063" max="13063" width="13.88671875" customWidth="1"/>
    <col min="13064" max="13064" width="13.5546875" customWidth="1"/>
    <col min="13065" max="13065" width="14.109375" customWidth="1"/>
    <col min="13066" max="13066" width="13.44140625" customWidth="1"/>
    <col min="13067" max="13067" width="14.5546875" customWidth="1"/>
    <col min="13068" max="13068" width="14.33203125" customWidth="1"/>
    <col min="13069" max="13069" width="14.5546875" customWidth="1"/>
    <col min="13070" max="13070" width="14.44140625" customWidth="1"/>
    <col min="13071" max="13071" width="14" customWidth="1"/>
    <col min="13313" max="13313" width="5.33203125" customWidth="1"/>
    <col min="13314" max="13314" width="4.5546875" customWidth="1"/>
    <col min="13315" max="13315" width="28.44140625" customWidth="1"/>
    <col min="13316" max="13316" width="14" customWidth="1"/>
    <col min="13317" max="13317" width="13.6640625" customWidth="1"/>
    <col min="13318" max="13318" width="14" customWidth="1"/>
    <col min="13319" max="13319" width="13.88671875" customWidth="1"/>
    <col min="13320" max="13320" width="13.5546875" customWidth="1"/>
    <col min="13321" max="13321" width="14.109375" customWidth="1"/>
    <col min="13322" max="13322" width="13.44140625" customWidth="1"/>
    <col min="13323" max="13323" width="14.5546875" customWidth="1"/>
    <col min="13324" max="13324" width="14.33203125" customWidth="1"/>
    <col min="13325" max="13325" width="14.5546875" customWidth="1"/>
    <col min="13326" max="13326" width="14.44140625" customWidth="1"/>
    <col min="13327" max="13327" width="14" customWidth="1"/>
    <col min="13569" max="13569" width="5.33203125" customWidth="1"/>
    <col min="13570" max="13570" width="4.5546875" customWidth="1"/>
    <col min="13571" max="13571" width="28.44140625" customWidth="1"/>
    <col min="13572" max="13572" width="14" customWidth="1"/>
    <col min="13573" max="13573" width="13.6640625" customWidth="1"/>
    <col min="13574" max="13574" width="14" customWidth="1"/>
    <col min="13575" max="13575" width="13.88671875" customWidth="1"/>
    <col min="13576" max="13576" width="13.5546875" customWidth="1"/>
    <col min="13577" max="13577" width="14.109375" customWidth="1"/>
    <col min="13578" max="13578" width="13.44140625" customWidth="1"/>
    <col min="13579" max="13579" width="14.5546875" customWidth="1"/>
    <col min="13580" max="13580" width="14.33203125" customWidth="1"/>
    <col min="13581" max="13581" width="14.5546875" customWidth="1"/>
    <col min="13582" max="13582" width="14.44140625" customWidth="1"/>
    <col min="13583" max="13583" width="14" customWidth="1"/>
    <col min="13825" max="13825" width="5.33203125" customWidth="1"/>
    <col min="13826" max="13826" width="4.5546875" customWidth="1"/>
    <col min="13827" max="13827" width="28.44140625" customWidth="1"/>
    <col min="13828" max="13828" width="14" customWidth="1"/>
    <col min="13829" max="13829" width="13.6640625" customWidth="1"/>
    <col min="13830" max="13830" width="14" customWidth="1"/>
    <col min="13831" max="13831" width="13.88671875" customWidth="1"/>
    <col min="13832" max="13832" width="13.5546875" customWidth="1"/>
    <col min="13833" max="13833" width="14.109375" customWidth="1"/>
    <col min="13834" max="13834" width="13.44140625" customWidth="1"/>
    <col min="13835" max="13835" width="14.5546875" customWidth="1"/>
    <col min="13836" max="13836" width="14.33203125" customWidth="1"/>
    <col min="13837" max="13837" width="14.5546875" customWidth="1"/>
    <col min="13838" max="13838" width="14.44140625" customWidth="1"/>
    <col min="13839" max="13839" width="14" customWidth="1"/>
    <col min="14081" max="14081" width="5.33203125" customWidth="1"/>
    <col min="14082" max="14082" width="4.5546875" customWidth="1"/>
    <col min="14083" max="14083" width="28.44140625" customWidth="1"/>
    <col min="14084" max="14084" width="14" customWidth="1"/>
    <col min="14085" max="14085" width="13.6640625" customWidth="1"/>
    <col min="14086" max="14086" width="14" customWidth="1"/>
    <col min="14087" max="14087" width="13.88671875" customWidth="1"/>
    <col min="14088" max="14088" width="13.5546875" customWidth="1"/>
    <col min="14089" max="14089" width="14.109375" customWidth="1"/>
    <col min="14090" max="14090" width="13.44140625" customWidth="1"/>
    <col min="14091" max="14091" width="14.5546875" customWidth="1"/>
    <col min="14092" max="14092" width="14.33203125" customWidth="1"/>
    <col min="14093" max="14093" width="14.5546875" customWidth="1"/>
    <col min="14094" max="14094" width="14.44140625" customWidth="1"/>
    <col min="14095" max="14095" width="14" customWidth="1"/>
    <col min="14337" max="14337" width="5.33203125" customWidth="1"/>
    <col min="14338" max="14338" width="4.5546875" customWidth="1"/>
    <col min="14339" max="14339" width="28.44140625" customWidth="1"/>
    <col min="14340" max="14340" width="14" customWidth="1"/>
    <col min="14341" max="14341" width="13.6640625" customWidth="1"/>
    <col min="14342" max="14342" width="14" customWidth="1"/>
    <col min="14343" max="14343" width="13.88671875" customWidth="1"/>
    <col min="14344" max="14344" width="13.5546875" customWidth="1"/>
    <col min="14345" max="14345" width="14.109375" customWidth="1"/>
    <col min="14346" max="14346" width="13.44140625" customWidth="1"/>
    <col min="14347" max="14347" width="14.5546875" customWidth="1"/>
    <col min="14348" max="14348" width="14.33203125" customWidth="1"/>
    <col min="14349" max="14349" width="14.5546875" customWidth="1"/>
    <col min="14350" max="14350" width="14.44140625" customWidth="1"/>
    <col min="14351" max="14351" width="14" customWidth="1"/>
    <col min="14593" max="14593" width="5.33203125" customWidth="1"/>
    <col min="14594" max="14594" width="4.5546875" customWidth="1"/>
    <col min="14595" max="14595" width="28.44140625" customWidth="1"/>
    <col min="14596" max="14596" width="14" customWidth="1"/>
    <col min="14597" max="14597" width="13.6640625" customWidth="1"/>
    <col min="14598" max="14598" width="14" customWidth="1"/>
    <col min="14599" max="14599" width="13.88671875" customWidth="1"/>
    <col min="14600" max="14600" width="13.5546875" customWidth="1"/>
    <col min="14601" max="14601" width="14.109375" customWidth="1"/>
    <col min="14602" max="14602" width="13.44140625" customWidth="1"/>
    <col min="14603" max="14603" width="14.5546875" customWidth="1"/>
    <col min="14604" max="14604" width="14.33203125" customWidth="1"/>
    <col min="14605" max="14605" width="14.5546875" customWidth="1"/>
    <col min="14606" max="14606" width="14.44140625" customWidth="1"/>
    <col min="14607" max="14607" width="14" customWidth="1"/>
    <col min="14849" max="14849" width="5.33203125" customWidth="1"/>
    <col min="14850" max="14850" width="4.5546875" customWidth="1"/>
    <col min="14851" max="14851" width="28.44140625" customWidth="1"/>
    <col min="14852" max="14852" width="14" customWidth="1"/>
    <col min="14853" max="14853" width="13.6640625" customWidth="1"/>
    <col min="14854" max="14854" width="14" customWidth="1"/>
    <col min="14855" max="14855" width="13.88671875" customWidth="1"/>
    <col min="14856" max="14856" width="13.5546875" customWidth="1"/>
    <col min="14857" max="14857" width="14.109375" customWidth="1"/>
    <col min="14858" max="14858" width="13.44140625" customWidth="1"/>
    <col min="14859" max="14859" width="14.5546875" customWidth="1"/>
    <col min="14860" max="14860" width="14.33203125" customWidth="1"/>
    <col min="14861" max="14861" width="14.5546875" customWidth="1"/>
    <col min="14862" max="14862" width="14.44140625" customWidth="1"/>
    <col min="14863" max="14863" width="14" customWidth="1"/>
    <col min="15105" max="15105" width="5.33203125" customWidth="1"/>
    <col min="15106" max="15106" width="4.5546875" customWidth="1"/>
    <col min="15107" max="15107" width="28.44140625" customWidth="1"/>
    <col min="15108" max="15108" width="14" customWidth="1"/>
    <col min="15109" max="15109" width="13.6640625" customWidth="1"/>
    <col min="15110" max="15110" width="14" customWidth="1"/>
    <col min="15111" max="15111" width="13.88671875" customWidth="1"/>
    <col min="15112" max="15112" width="13.5546875" customWidth="1"/>
    <col min="15113" max="15113" width="14.109375" customWidth="1"/>
    <col min="15114" max="15114" width="13.44140625" customWidth="1"/>
    <col min="15115" max="15115" width="14.5546875" customWidth="1"/>
    <col min="15116" max="15116" width="14.33203125" customWidth="1"/>
    <col min="15117" max="15117" width="14.5546875" customWidth="1"/>
    <col min="15118" max="15118" width="14.44140625" customWidth="1"/>
    <col min="15119" max="15119" width="14" customWidth="1"/>
    <col min="15361" max="15361" width="5.33203125" customWidth="1"/>
    <col min="15362" max="15362" width="4.5546875" customWidth="1"/>
    <col min="15363" max="15363" width="28.44140625" customWidth="1"/>
    <col min="15364" max="15364" width="14" customWidth="1"/>
    <col min="15365" max="15365" width="13.6640625" customWidth="1"/>
    <col min="15366" max="15366" width="14" customWidth="1"/>
    <col min="15367" max="15367" width="13.88671875" customWidth="1"/>
    <col min="15368" max="15368" width="13.5546875" customWidth="1"/>
    <col min="15369" max="15369" width="14.109375" customWidth="1"/>
    <col min="15370" max="15370" width="13.44140625" customWidth="1"/>
    <col min="15371" max="15371" width="14.5546875" customWidth="1"/>
    <col min="15372" max="15372" width="14.33203125" customWidth="1"/>
    <col min="15373" max="15373" width="14.5546875" customWidth="1"/>
    <col min="15374" max="15374" width="14.44140625" customWidth="1"/>
    <col min="15375" max="15375" width="14" customWidth="1"/>
    <col min="15617" max="15617" width="5.33203125" customWidth="1"/>
    <col min="15618" max="15618" width="4.5546875" customWidth="1"/>
    <col min="15619" max="15619" width="28.44140625" customWidth="1"/>
    <col min="15620" max="15620" width="14" customWidth="1"/>
    <col min="15621" max="15621" width="13.6640625" customWidth="1"/>
    <col min="15622" max="15622" width="14" customWidth="1"/>
    <col min="15623" max="15623" width="13.88671875" customWidth="1"/>
    <col min="15624" max="15624" width="13.5546875" customWidth="1"/>
    <col min="15625" max="15625" width="14.109375" customWidth="1"/>
    <col min="15626" max="15626" width="13.44140625" customWidth="1"/>
    <col min="15627" max="15627" width="14.5546875" customWidth="1"/>
    <col min="15628" max="15628" width="14.33203125" customWidth="1"/>
    <col min="15629" max="15629" width="14.5546875" customWidth="1"/>
    <col min="15630" max="15630" width="14.44140625" customWidth="1"/>
    <col min="15631" max="15631" width="14" customWidth="1"/>
    <col min="15873" max="15873" width="5.33203125" customWidth="1"/>
    <col min="15874" max="15874" width="4.5546875" customWidth="1"/>
    <col min="15875" max="15875" width="28.44140625" customWidth="1"/>
    <col min="15876" max="15876" width="14" customWidth="1"/>
    <col min="15877" max="15877" width="13.6640625" customWidth="1"/>
    <col min="15878" max="15878" width="14" customWidth="1"/>
    <col min="15879" max="15879" width="13.88671875" customWidth="1"/>
    <col min="15880" max="15880" width="13.5546875" customWidth="1"/>
    <col min="15881" max="15881" width="14.109375" customWidth="1"/>
    <col min="15882" max="15882" width="13.44140625" customWidth="1"/>
    <col min="15883" max="15883" width="14.5546875" customWidth="1"/>
    <col min="15884" max="15884" width="14.33203125" customWidth="1"/>
    <col min="15885" max="15885" width="14.5546875" customWidth="1"/>
    <col min="15886" max="15886" width="14.44140625" customWidth="1"/>
    <col min="15887" max="15887" width="14" customWidth="1"/>
    <col min="16129" max="16129" width="5.33203125" customWidth="1"/>
    <col min="16130" max="16130" width="4.5546875" customWidth="1"/>
    <col min="16131" max="16131" width="28.44140625" customWidth="1"/>
    <col min="16132" max="16132" width="14" customWidth="1"/>
    <col min="16133" max="16133" width="13.6640625" customWidth="1"/>
    <col min="16134" max="16134" width="14" customWidth="1"/>
    <col min="16135" max="16135" width="13.88671875" customWidth="1"/>
    <col min="16136" max="16136" width="13.5546875" customWidth="1"/>
    <col min="16137" max="16137" width="14.109375" customWidth="1"/>
    <col min="16138" max="16138" width="13.44140625" customWidth="1"/>
    <col min="16139" max="16139" width="14.5546875" customWidth="1"/>
    <col min="16140" max="16140" width="14.33203125" customWidth="1"/>
    <col min="16141" max="16141" width="14.5546875" customWidth="1"/>
    <col min="16142" max="16142" width="14.44140625" customWidth="1"/>
    <col min="16143" max="16143" width="14" customWidth="1"/>
  </cols>
  <sheetData>
    <row r="1" spans="1:15" ht="15.6" x14ac:dyDescent="0.3">
      <c r="A1" s="40"/>
      <c r="B1" s="40"/>
      <c r="C1" s="1238" t="s">
        <v>280</v>
      </c>
      <c r="D1" s="1238"/>
      <c r="E1" s="1238"/>
      <c r="F1" s="1238"/>
      <c r="G1" s="1238"/>
      <c r="H1" s="1238"/>
      <c r="I1" s="1238"/>
      <c r="J1" s="1238"/>
      <c r="K1" s="1238"/>
      <c r="L1" s="1238"/>
      <c r="M1" s="1238"/>
      <c r="N1" s="1238"/>
      <c r="O1" s="1238"/>
    </row>
    <row r="2" spans="1:15" x14ac:dyDescent="0.3">
      <c r="A2" s="41"/>
      <c r="B2" s="41"/>
      <c r="C2" s="42"/>
    </row>
    <row r="3" spans="1:15" x14ac:dyDescent="0.3">
      <c r="A3" s="41"/>
      <c r="B3" s="41"/>
      <c r="C3" s="1239" t="s">
        <v>234</v>
      </c>
      <c r="D3" s="1239"/>
      <c r="E3" s="1239"/>
      <c r="F3" s="1239"/>
      <c r="G3" s="1239"/>
      <c r="H3" s="1239"/>
      <c r="I3" s="1239"/>
      <c r="J3" s="1239"/>
      <c r="K3" s="1239"/>
      <c r="L3" s="1239"/>
      <c r="M3" s="1239"/>
      <c r="N3" s="1239"/>
      <c r="O3" s="1239"/>
    </row>
    <row r="4" spans="1:15" ht="15" customHeight="1" x14ac:dyDescent="0.3">
      <c r="A4" s="1240" t="s">
        <v>281</v>
      </c>
      <c r="B4" s="1241"/>
      <c r="C4" s="1244" t="s">
        <v>6</v>
      </c>
      <c r="D4" s="1244" t="s">
        <v>282</v>
      </c>
      <c r="E4" s="1244"/>
      <c r="F4" s="1244"/>
      <c r="G4" s="1245" t="s">
        <v>283</v>
      </c>
      <c r="H4" s="1246"/>
      <c r="I4" s="1247"/>
      <c r="J4" s="1248" t="s">
        <v>284</v>
      </c>
      <c r="K4" s="1249"/>
      <c r="L4" s="1250"/>
      <c r="M4" s="1244" t="s">
        <v>285</v>
      </c>
      <c r="N4" s="1244"/>
      <c r="O4" s="1244"/>
    </row>
    <row r="5" spans="1:15" ht="43.2" x14ac:dyDescent="0.3">
      <c r="A5" s="1242"/>
      <c r="B5" s="1243"/>
      <c r="C5" s="1244"/>
      <c r="D5" s="44" t="s">
        <v>235</v>
      </c>
      <c r="E5" s="44" t="s">
        <v>236</v>
      </c>
      <c r="F5" s="44" t="s">
        <v>237</v>
      </c>
      <c r="G5" s="44" t="s">
        <v>235</v>
      </c>
      <c r="H5" s="45" t="s">
        <v>236</v>
      </c>
      <c r="I5" s="45" t="s">
        <v>237</v>
      </c>
      <c r="J5" s="45" t="s">
        <v>235</v>
      </c>
      <c r="K5" s="45" t="s">
        <v>236</v>
      </c>
      <c r="L5" s="45" t="s">
        <v>237</v>
      </c>
      <c r="M5" s="44" t="s">
        <v>235</v>
      </c>
      <c r="N5" s="44" t="s">
        <v>236</v>
      </c>
      <c r="O5" s="44" t="s">
        <v>237</v>
      </c>
    </row>
    <row r="6" spans="1:15" x14ac:dyDescent="0.3">
      <c r="A6" s="1251" t="s">
        <v>286</v>
      </c>
      <c r="B6" s="1252"/>
      <c r="C6" s="1252"/>
      <c r="D6" s="1252"/>
      <c r="E6" s="1252"/>
      <c r="F6" s="1252"/>
      <c r="G6" s="1252"/>
      <c r="H6" s="1252"/>
      <c r="I6" s="1252"/>
      <c r="J6" s="1252"/>
      <c r="K6" s="1252"/>
      <c r="L6" s="1252"/>
      <c r="M6" s="1252"/>
      <c r="N6" s="1252"/>
      <c r="O6" s="1253"/>
    </row>
    <row r="7" spans="1:15" x14ac:dyDescent="0.3">
      <c r="A7" s="46" t="s">
        <v>287</v>
      </c>
      <c r="B7" s="46" t="s">
        <v>288</v>
      </c>
      <c r="C7" s="46"/>
      <c r="D7" s="46"/>
      <c r="E7" s="46"/>
      <c r="F7" s="46"/>
      <c r="G7" s="46"/>
      <c r="H7" s="46"/>
      <c r="I7" s="46"/>
      <c r="J7" s="46"/>
      <c r="K7" s="46"/>
      <c r="L7" s="46"/>
      <c r="M7" s="46"/>
      <c r="N7" s="46"/>
      <c r="O7" s="46"/>
    </row>
    <row r="8" spans="1:15" x14ac:dyDescent="0.3">
      <c r="A8" s="47" t="s">
        <v>289</v>
      </c>
      <c r="B8" s="47" t="s">
        <v>290</v>
      </c>
      <c r="C8" s="48" t="s">
        <v>291</v>
      </c>
      <c r="D8" s="49">
        <f t="shared" ref="D8:D30" si="0">E8+F8</f>
        <v>209485</v>
      </c>
      <c r="E8" s="50">
        <v>140882</v>
      </c>
      <c r="F8" s="50">
        <v>68603</v>
      </c>
      <c r="G8" s="49">
        <f t="shared" ref="G8:G20" si="1">SUM(H8:I8)</f>
        <v>128463</v>
      </c>
      <c r="H8" s="51">
        <v>77268</v>
      </c>
      <c r="I8" s="51">
        <v>51195</v>
      </c>
      <c r="J8" s="52">
        <f>K8+L8</f>
        <v>210692</v>
      </c>
      <c r="K8" s="51">
        <v>140778</v>
      </c>
      <c r="L8" s="51">
        <v>69914</v>
      </c>
      <c r="M8" s="49">
        <f>N8+O8</f>
        <v>177723</v>
      </c>
      <c r="N8" s="50">
        <f>H8/9*12.75</f>
        <v>109463.00000000001</v>
      </c>
      <c r="O8" s="50">
        <f>I8/9*12</f>
        <v>68260</v>
      </c>
    </row>
    <row r="9" spans="1:15" ht="57.6" x14ac:dyDescent="0.3">
      <c r="A9" s="47" t="s">
        <v>289</v>
      </c>
      <c r="B9" s="47" t="s">
        <v>292</v>
      </c>
      <c r="C9" s="48" t="s">
        <v>293</v>
      </c>
      <c r="D9" s="49">
        <f t="shared" si="0"/>
        <v>6154</v>
      </c>
      <c r="E9" s="50">
        <v>2351</v>
      </c>
      <c r="F9" s="50">
        <v>3803</v>
      </c>
      <c r="G9" s="49">
        <f t="shared" si="1"/>
        <v>4957</v>
      </c>
      <c r="H9" s="51">
        <v>1336</v>
      </c>
      <c r="I9" s="51">
        <v>3621</v>
      </c>
      <c r="J9" s="52">
        <f>K9+L9</f>
        <v>7238</v>
      </c>
      <c r="K9" s="51">
        <v>2351</v>
      </c>
      <c r="L9" s="51">
        <v>4887</v>
      </c>
      <c r="M9" s="49">
        <f>N9+O9</f>
        <v>6609.3333333333339</v>
      </c>
      <c r="N9" s="50">
        <f t="shared" ref="N9:O20" si="2">H9/9*12</f>
        <v>1781.3333333333335</v>
      </c>
      <c r="O9" s="50">
        <f t="shared" si="2"/>
        <v>4828</v>
      </c>
    </row>
    <row r="10" spans="1:15" x14ac:dyDescent="0.3">
      <c r="A10" s="47" t="s">
        <v>289</v>
      </c>
      <c r="B10" s="47" t="s">
        <v>294</v>
      </c>
      <c r="C10" s="48" t="s">
        <v>295</v>
      </c>
      <c r="D10" s="49">
        <f t="shared" si="0"/>
        <v>15405</v>
      </c>
      <c r="E10" s="50">
        <v>15405</v>
      </c>
      <c r="F10" s="50">
        <v>0</v>
      </c>
      <c r="G10" s="49">
        <f t="shared" si="1"/>
        <v>17138</v>
      </c>
      <c r="H10" s="51">
        <v>17138</v>
      </c>
      <c r="I10" s="51">
        <v>0</v>
      </c>
      <c r="J10" s="52">
        <f t="shared" ref="J10:J30" si="3">K10+L10</f>
        <v>15405</v>
      </c>
      <c r="K10" s="51">
        <v>15405</v>
      </c>
      <c r="L10" s="51">
        <v>0</v>
      </c>
      <c r="M10" s="49">
        <f t="shared" ref="M10:M20" si="4">N10+O10</f>
        <v>22850.666666666664</v>
      </c>
      <c r="N10" s="50">
        <f t="shared" si="2"/>
        <v>22850.666666666664</v>
      </c>
      <c r="O10" s="50">
        <f t="shared" si="2"/>
        <v>0</v>
      </c>
    </row>
    <row r="11" spans="1:15" x14ac:dyDescent="0.3">
      <c r="A11" s="53" t="s">
        <v>289</v>
      </c>
      <c r="B11" s="53" t="s">
        <v>296</v>
      </c>
      <c r="C11" s="54" t="s">
        <v>297</v>
      </c>
      <c r="D11" s="49">
        <f t="shared" si="0"/>
        <v>6464</v>
      </c>
      <c r="E11" s="55">
        <v>16</v>
      </c>
      <c r="F11" s="50">
        <v>6448</v>
      </c>
      <c r="G11" s="49">
        <f t="shared" si="1"/>
        <v>4066</v>
      </c>
      <c r="H11" s="51">
        <v>12</v>
      </c>
      <c r="I11" s="51">
        <v>4054</v>
      </c>
      <c r="J11" s="52">
        <f t="shared" si="3"/>
        <v>6848</v>
      </c>
      <c r="K11" s="51">
        <v>16</v>
      </c>
      <c r="L11" s="51">
        <v>6832</v>
      </c>
      <c r="M11" s="49">
        <f t="shared" si="4"/>
        <v>5421.3333333333339</v>
      </c>
      <c r="N11" s="50">
        <f t="shared" si="2"/>
        <v>16</v>
      </c>
      <c r="O11" s="50">
        <f t="shared" si="2"/>
        <v>5405.3333333333339</v>
      </c>
    </row>
    <row r="12" spans="1:15" x14ac:dyDescent="0.3">
      <c r="A12" s="47" t="s">
        <v>289</v>
      </c>
      <c r="B12" s="47" t="s">
        <v>298</v>
      </c>
      <c r="C12" s="48" t="s">
        <v>299</v>
      </c>
      <c r="D12" s="49">
        <f t="shared" si="0"/>
        <v>3468</v>
      </c>
      <c r="E12" s="50">
        <v>3261</v>
      </c>
      <c r="F12" s="50">
        <v>207</v>
      </c>
      <c r="G12" s="49">
        <f t="shared" si="1"/>
        <v>2761</v>
      </c>
      <c r="H12" s="51">
        <v>2619</v>
      </c>
      <c r="I12" s="51">
        <v>142</v>
      </c>
      <c r="J12" s="52">
        <f t="shared" si="3"/>
        <v>3449</v>
      </c>
      <c r="K12" s="51">
        <v>3261</v>
      </c>
      <c r="L12" s="51">
        <v>188</v>
      </c>
      <c r="M12" s="49">
        <f>N12+O12</f>
        <v>3681.3333333333335</v>
      </c>
      <c r="N12" s="50">
        <f t="shared" si="2"/>
        <v>3492</v>
      </c>
      <c r="O12" s="50">
        <f t="shared" si="2"/>
        <v>189.33333333333334</v>
      </c>
    </row>
    <row r="13" spans="1:15" ht="53.4" x14ac:dyDescent="0.3">
      <c r="A13" s="53" t="s">
        <v>289</v>
      </c>
      <c r="B13" s="53" t="s">
        <v>300</v>
      </c>
      <c r="C13" s="54" t="s">
        <v>301</v>
      </c>
      <c r="D13" s="49">
        <f t="shared" si="0"/>
        <v>0</v>
      </c>
      <c r="E13" s="50">
        <v>0</v>
      </c>
      <c r="F13" s="50">
        <v>0</v>
      </c>
      <c r="G13" s="49">
        <f t="shared" si="1"/>
        <v>0</v>
      </c>
      <c r="H13" s="51">
        <v>0</v>
      </c>
      <c r="I13" s="51">
        <v>0</v>
      </c>
      <c r="J13" s="52">
        <f t="shared" si="3"/>
        <v>0</v>
      </c>
      <c r="K13" s="51">
        <v>0</v>
      </c>
      <c r="L13" s="51">
        <v>0</v>
      </c>
      <c r="M13" s="49">
        <f t="shared" si="4"/>
        <v>0</v>
      </c>
      <c r="N13" s="50">
        <f t="shared" si="2"/>
        <v>0</v>
      </c>
      <c r="O13" s="50">
        <f t="shared" si="2"/>
        <v>0</v>
      </c>
    </row>
    <row r="14" spans="1:15" ht="72" x14ac:dyDescent="0.3">
      <c r="A14" s="47" t="s">
        <v>289</v>
      </c>
      <c r="B14" s="47" t="s">
        <v>302</v>
      </c>
      <c r="C14" s="48" t="s">
        <v>303</v>
      </c>
      <c r="D14" s="49">
        <f t="shared" si="0"/>
        <v>22182</v>
      </c>
      <c r="E14" s="50">
        <v>8612</v>
      </c>
      <c r="F14" s="50">
        <v>13570</v>
      </c>
      <c r="G14" s="49">
        <f t="shared" si="1"/>
        <v>18357</v>
      </c>
      <c r="H14" s="51">
        <v>8582</v>
      </c>
      <c r="I14" s="51">
        <v>9775</v>
      </c>
      <c r="J14" s="52">
        <f t="shared" si="3"/>
        <v>28941</v>
      </c>
      <c r="K14" s="51">
        <v>8476</v>
      </c>
      <c r="L14" s="51">
        <v>20465</v>
      </c>
      <c r="M14" s="49">
        <f t="shared" si="4"/>
        <v>24476</v>
      </c>
      <c r="N14" s="50">
        <f t="shared" si="2"/>
        <v>11442.666666666666</v>
      </c>
      <c r="O14" s="50">
        <f t="shared" si="2"/>
        <v>13033.333333333332</v>
      </c>
    </row>
    <row r="15" spans="1:15" ht="28.8" x14ac:dyDescent="0.3">
      <c r="A15" s="47" t="s">
        <v>289</v>
      </c>
      <c r="B15" s="47" t="s">
        <v>304</v>
      </c>
      <c r="C15" s="48" t="s">
        <v>305</v>
      </c>
      <c r="D15" s="49">
        <f t="shared" si="0"/>
        <v>2573</v>
      </c>
      <c r="E15" s="50">
        <v>2573</v>
      </c>
      <c r="F15" s="50">
        <v>0</v>
      </c>
      <c r="G15" s="49">
        <f t="shared" si="1"/>
        <v>1964</v>
      </c>
      <c r="H15" s="51">
        <v>1964</v>
      </c>
      <c r="I15" s="51">
        <v>0</v>
      </c>
      <c r="J15" s="52">
        <f t="shared" si="3"/>
        <v>2573</v>
      </c>
      <c r="K15" s="51">
        <v>2573</v>
      </c>
      <c r="L15" s="51">
        <v>0</v>
      </c>
      <c r="M15" s="49">
        <f t="shared" si="4"/>
        <v>2618.666666666667</v>
      </c>
      <c r="N15" s="50">
        <f t="shared" si="2"/>
        <v>2618.666666666667</v>
      </c>
      <c r="O15" s="50">
        <f t="shared" si="2"/>
        <v>0</v>
      </c>
    </row>
    <row r="16" spans="1:15" ht="40.200000000000003" x14ac:dyDescent="0.3">
      <c r="A16" s="53" t="s">
        <v>289</v>
      </c>
      <c r="B16" s="53" t="s">
        <v>306</v>
      </c>
      <c r="C16" s="54" t="s">
        <v>307</v>
      </c>
      <c r="D16" s="49">
        <f t="shared" si="0"/>
        <v>0</v>
      </c>
      <c r="E16" s="50">
        <v>0</v>
      </c>
      <c r="F16" s="50">
        <v>0</v>
      </c>
      <c r="G16" s="49">
        <f t="shared" si="1"/>
        <v>104</v>
      </c>
      <c r="H16" s="51">
        <v>50</v>
      </c>
      <c r="I16" s="51">
        <v>54</v>
      </c>
      <c r="J16" s="52">
        <f t="shared" si="3"/>
        <v>104</v>
      </c>
      <c r="K16" s="51">
        <v>50</v>
      </c>
      <c r="L16" s="51">
        <v>54</v>
      </c>
      <c r="M16" s="49">
        <f t="shared" si="4"/>
        <v>104</v>
      </c>
      <c r="N16" s="50">
        <v>50</v>
      </c>
      <c r="O16" s="50">
        <v>54</v>
      </c>
    </row>
    <row r="17" spans="1:15" ht="43.2" x14ac:dyDescent="0.3">
      <c r="A17" s="47" t="s">
        <v>289</v>
      </c>
      <c r="B17" s="47" t="s">
        <v>308</v>
      </c>
      <c r="C17" s="48" t="s">
        <v>309</v>
      </c>
      <c r="D17" s="49">
        <f t="shared" si="0"/>
        <v>6068</v>
      </c>
      <c r="E17" s="50">
        <v>985</v>
      </c>
      <c r="F17" s="50">
        <v>5083</v>
      </c>
      <c r="G17" s="49">
        <f t="shared" si="1"/>
        <v>4145</v>
      </c>
      <c r="H17" s="51">
        <v>2280</v>
      </c>
      <c r="I17" s="51">
        <v>1865</v>
      </c>
      <c r="J17" s="52">
        <f t="shared" si="3"/>
        <v>7000</v>
      </c>
      <c r="K17" s="51">
        <v>1195</v>
      </c>
      <c r="L17" s="51">
        <v>5805</v>
      </c>
      <c r="M17" s="49">
        <f t="shared" si="4"/>
        <v>5526.666666666667</v>
      </c>
      <c r="N17" s="50">
        <f t="shared" si="2"/>
        <v>3040</v>
      </c>
      <c r="O17" s="50">
        <f t="shared" si="2"/>
        <v>2486.666666666667</v>
      </c>
    </row>
    <row r="18" spans="1:15" ht="28.8" x14ac:dyDescent="0.3">
      <c r="A18" s="47" t="s">
        <v>289</v>
      </c>
      <c r="B18" s="47" t="s">
        <v>310</v>
      </c>
      <c r="C18" s="48" t="s">
        <v>311</v>
      </c>
      <c r="D18" s="49">
        <f t="shared" si="0"/>
        <v>137</v>
      </c>
      <c r="E18" s="50">
        <v>37</v>
      </c>
      <c r="F18" s="50">
        <v>100</v>
      </c>
      <c r="G18" s="49">
        <f t="shared" si="1"/>
        <v>152</v>
      </c>
      <c r="H18" s="51">
        <v>2</v>
      </c>
      <c r="I18" s="51">
        <v>150</v>
      </c>
      <c r="J18" s="52">
        <f t="shared" si="3"/>
        <v>108</v>
      </c>
      <c r="K18" s="51">
        <v>2</v>
      </c>
      <c r="L18" s="51">
        <v>106</v>
      </c>
      <c r="M18" s="49">
        <f t="shared" si="4"/>
        <v>202.66666666666666</v>
      </c>
      <c r="N18" s="50">
        <f t="shared" si="2"/>
        <v>2.6666666666666665</v>
      </c>
      <c r="O18" s="50">
        <f t="shared" si="2"/>
        <v>200</v>
      </c>
    </row>
    <row r="19" spans="1:15" ht="28.8" x14ac:dyDescent="0.3">
      <c r="A19" s="47" t="s">
        <v>289</v>
      </c>
      <c r="B19" s="47" t="s">
        <v>312</v>
      </c>
      <c r="C19" s="48" t="s">
        <v>313</v>
      </c>
      <c r="D19" s="49">
        <f t="shared" si="0"/>
        <v>5408</v>
      </c>
      <c r="E19" s="50">
        <v>4872</v>
      </c>
      <c r="F19" s="50">
        <v>536</v>
      </c>
      <c r="G19" s="49">
        <f t="shared" si="1"/>
        <v>5373</v>
      </c>
      <c r="H19" s="51">
        <v>5349</v>
      </c>
      <c r="I19" s="51">
        <v>24</v>
      </c>
      <c r="J19" s="52">
        <f t="shared" si="3"/>
        <v>5474</v>
      </c>
      <c r="K19" s="51">
        <v>4926</v>
      </c>
      <c r="L19" s="51">
        <v>548</v>
      </c>
      <c r="M19" s="49">
        <f t="shared" si="4"/>
        <v>7164</v>
      </c>
      <c r="N19" s="50">
        <f t="shared" si="2"/>
        <v>7132</v>
      </c>
      <c r="O19" s="50">
        <f t="shared" si="2"/>
        <v>32</v>
      </c>
    </row>
    <row r="20" spans="1:15" x14ac:dyDescent="0.3">
      <c r="A20" s="53" t="s">
        <v>289</v>
      </c>
      <c r="B20" s="53" t="s">
        <v>314</v>
      </c>
      <c r="C20" s="54" t="s">
        <v>315</v>
      </c>
      <c r="D20" s="49">
        <f t="shared" si="0"/>
        <v>3131</v>
      </c>
      <c r="E20" s="50">
        <v>500</v>
      </c>
      <c r="F20" s="50">
        <v>2631</v>
      </c>
      <c r="G20" s="49">
        <f t="shared" si="1"/>
        <v>-6588</v>
      </c>
      <c r="H20" s="51">
        <v>409</v>
      </c>
      <c r="I20" s="51">
        <v>-6997</v>
      </c>
      <c r="J20" s="52">
        <f t="shared" si="3"/>
        <v>4100</v>
      </c>
      <c r="K20" s="51">
        <v>500</v>
      </c>
      <c r="L20" s="51">
        <v>3600</v>
      </c>
      <c r="M20" s="49">
        <f t="shared" si="4"/>
        <v>-8784</v>
      </c>
      <c r="N20" s="50">
        <f t="shared" si="2"/>
        <v>545.33333333333326</v>
      </c>
      <c r="O20" s="50">
        <f t="shared" si="2"/>
        <v>-9329.3333333333339</v>
      </c>
    </row>
    <row r="21" spans="1:15" x14ac:dyDescent="0.3">
      <c r="A21" s="56" t="s">
        <v>316</v>
      </c>
      <c r="B21" s="56" t="s">
        <v>317</v>
      </c>
      <c r="C21" s="57" t="s">
        <v>123</v>
      </c>
      <c r="D21" s="49">
        <f t="shared" si="0"/>
        <v>526367</v>
      </c>
      <c r="E21" s="49">
        <f>E22+E23+E24+E25+E27+E29+E26+E28</f>
        <v>519403</v>
      </c>
      <c r="F21" s="49">
        <f>F22+F23+F24+F25+F27+F29+F26+F28</f>
        <v>6964</v>
      </c>
      <c r="G21" s="49">
        <f>SUM(H21:I21)</f>
        <v>499503</v>
      </c>
      <c r="H21" s="52">
        <f>H22+H23+H24+H25+H27+H29+H26+H28</f>
        <v>405228</v>
      </c>
      <c r="I21" s="52">
        <f>I22+I23+I24+I25+I27+I29+I26+I28</f>
        <v>94275</v>
      </c>
      <c r="J21" s="52">
        <f t="shared" si="3"/>
        <v>665979</v>
      </c>
      <c r="K21" s="52">
        <f>K22+K23+K24+K25+K26+K28+K27</f>
        <v>561654</v>
      </c>
      <c r="L21" s="52">
        <f>L22+L23+L24+L25+L26+L13+L28</f>
        <v>104325</v>
      </c>
      <c r="M21" s="49">
        <f>N21+O21</f>
        <v>673070</v>
      </c>
      <c r="N21" s="49">
        <f>N22+N23+N24+N25+N26+N27+N29+N28</f>
        <v>568691</v>
      </c>
      <c r="O21" s="49">
        <f>O22+O23+O24+O25+O26+O27+O29+O28</f>
        <v>104379</v>
      </c>
    </row>
    <row r="22" spans="1:15" ht="43.2" x14ac:dyDescent="0.3">
      <c r="A22" s="46" t="s">
        <v>318</v>
      </c>
      <c r="B22" s="46" t="s">
        <v>316</v>
      </c>
      <c r="C22" s="58" t="s">
        <v>319</v>
      </c>
      <c r="D22" s="49">
        <f t="shared" si="0"/>
        <v>187678</v>
      </c>
      <c r="E22" s="59">
        <v>168523</v>
      </c>
      <c r="F22" s="59">
        <v>19155</v>
      </c>
      <c r="G22" s="49">
        <f t="shared" ref="G22:G30" si="5">SUM(H22:I22)</f>
        <v>141396</v>
      </c>
      <c r="H22" s="60">
        <v>126396</v>
      </c>
      <c r="I22" s="60">
        <v>15000</v>
      </c>
      <c r="J22" s="52">
        <f t="shared" si="3"/>
        <v>187378</v>
      </c>
      <c r="K22" s="60">
        <v>168523</v>
      </c>
      <c r="L22" s="60">
        <v>18855</v>
      </c>
      <c r="M22" s="49">
        <f t="shared" ref="M22:M30" si="6">N22+O22</f>
        <v>194415</v>
      </c>
      <c r="N22" s="59">
        <f>K22+7037</f>
        <v>175560</v>
      </c>
      <c r="O22" s="59">
        <v>18855</v>
      </c>
    </row>
    <row r="23" spans="1:15" ht="57.6" x14ac:dyDescent="0.3">
      <c r="A23" s="46" t="s">
        <v>318</v>
      </c>
      <c r="B23" s="46" t="s">
        <v>316</v>
      </c>
      <c r="C23" s="58" t="s">
        <v>320</v>
      </c>
      <c r="D23" s="49">
        <f t="shared" si="0"/>
        <v>0</v>
      </c>
      <c r="E23" s="59">
        <v>0</v>
      </c>
      <c r="F23" s="59">
        <v>0</v>
      </c>
      <c r="G23" s="49">
        <f t="shared" si="5"/>
        <v>72379</v>
      </c>
      <c r="H23" s="60">
        <v>21411</v>
      </c>
      <c r="I23" s="60">
        <v>50968</v>
      </c>
      <c r="J23" s="52">
        <f t="shared" si="3"/>
        <v>82951</v>
      </c>
      <c r="K23" s="60">
        <v>29728</v>
      </c>
      <c r="L23" s="60">
        <v>53223</v>
      </c>
      <c r="M23" s="49">
        <f t="shared" si="6"/>
        <v>82951</v>
      </c>
      <c r="N23" s="59">
        <v>29728</v>
      </c>
      <c r="O23" s="59">
        <v>53223</v>
      </c>
    </row>
    <row r="24" spans="1:15" ht="43.2" x14ac:dyDescent="0.3">
      <c r="A24" s="46" t="s">
        <v>318</v>
      </c>
      <c r="B24" s="46" t="s">
        <v>316</v>
      </c>
      <c r="C24" s="58" t="s">
        <v>321</v>
      </c>
      <c r="D24" s="49">
        <f t="shared" si="0"/>
        <v>150104</v>
      </c>
      <c r="E24" s="59">
        <v>148295</v>
      </c>
      <c r="F24" s="59">
        <v>1809</v>
      </c>
      <c r="G24" s="49">
        <f t="shared" si="5"/>
        <v>83369</v>
      </c>
      <c r="H24" s="60">
        <v>82121</v>
      </c>
      <c r="I24" s="60">
        <v>1248</v>
      </c>
      <c r="J24" s="52">
        <f t="shared" si="3"/>
        <v>135488</v>
      </c>
      <c r="K24" s="60">
        <v>133679</v>
      </c>
      <c r="L24" s="60">
        <v>1809</v>
      </c>
      <c r="M24" s="49">
        <f t="shared" si="6"/>
        <v>135488</v>
      </c>
      <c r="N24" s="59">
        <v>133679</v>
      </c>
      <c r="O24" s="59">
        <v>1809</v>
      </c>
    </row>
    <row r="25" spans="1:15" ht="28.8" x14ac:dyDescent="0.3">
      <c r="A25" s="46" t="s">
        <v>318</v>
      </c>
      <c r="B25" s="46" t="s">
        <v>316</v>
      </c>
      <c r="C25" s="58" t="s">
        <v>322</v>
      </c>
      <c r="D25" s="49">
        <f t="shared" si="0"/>
        <v>231855</v>
      </c>
      <c r="E25" s="59">
        <v>231855</v>
      </c>
      <c r="F25" s="59">
        <v>0</v>
      </c>
      <c r="G25" s="49">
        <f t="shared" si="5"/>
        <v>210699</v>
      </c>
      <c r="H25" s="60">
        <v>183501</v>
      </c>
      <c r="I25" s="60">
        <v>27198</v>
      </c>
      <c r="J25" s="52">
        <f t="shared" si="3"/>
        <v>268245</v>
      </c>
      <c r="K25" s="60">
        <v>237925</v>
      </c>
      <c r="L25" s="60">
        <v>30320</v>
      </c>
      <c r="M25" s="49">
        <f t="shared" si="6"/>
        <v>268245</v>
      </c>
      <c r="N25" s="59">
        <v>237925</v>
      </c>
      <c r="O25" s="59">
        <v>30320</v>
      </c>
    </row>
    <row r="26" spans="1:15" ht="28.8" x14ac:dyDescent="0.3">
      <c r="A26" s="46" t="s">
        <v>318</v>
      </c>
      <c r="B26" s="46" t="s">
        <v>316</v>
      </c>
      <c r="C26" s="58" t="s">
        <v>323</v>
      </c>
      <c r="D26" s="49">
        <f t="shared" si="0"/>
        <v>0</v>
      </c>
      <c r="E26" s="59"/>
      <c r="F26" s="59">
        <v>0</v>
      </c>
      <c r="G26" s="49">
        <f t="shared" si="5"/>
        <v>43</v>
      </c>
      <c r="H26" s="60">
        <v>0</v>
      </c>
      <c r="I26" s="60">
        <v>43</v>
      </c>
      <c r="J26" s="52">
        <f t="shared" si="3"/>
        <v>300</v>
      </c>
      <c r="K26" s="60">
        <v>0</v>
      </c>
      <c r="L26" s="60">
        <v>300</v>
      </c>
      <c r="M26" s="49">
        <f t="shared" si="6"/>
        <v>300</v>
      </c>
      <c r="N26" s="59">
        <f>H26/9*12</f>
        <v>0</v>
      </c>
      <c r="O26" s="59">
        <v>300</v>
      </c>
    </row>
    <row r="27" spans="1:15" ht="158.4" x14ac:dyDescent="0.3">
      <c r="A27" s="46" t="s">
        <v>318</v>
      </c>
      <c r="B27" s="46" t="s">
        <v>324</v>
      </c>
      <c r="C27" s="58" t="s">
        <v>325</v>
      </c>
      <c r="D27" s="49">
        <f t="shared" si="0"/>
        <v>0</v>
      </c>
      <c r="E27" s="59">
        <v>0</v>
      </c>
      <c r="F27" s="59">
        <v>0</v>
      </c>
      <c r="G27" s="49">
        <f t="shared" si="5"/>
        <v>54</v>
      </c>
      <c r="H27" s="60">
        <v>54</v>
      </c>
      <c r="I27" s="60">
        <v>0</v>
      </c>
      <c r="J27" s="52">
        <f t="shared" si="3"/>
        <v>54</v>
      </c>
      <c r="K27" s="60">
        <v>54</v>
      </c>
      <c r="L27" s="60">
        <v>0</v>
      </c>
      <c r="M27" s="49">
        <f t="shared" si="6"/>
        <v>108</v>
      </c>
      <c r="N27" s="59">
        <v>54</v>
      </c>
      <c r="O27" s="59">
        <v>54</v>
      </c>
    </row>
    <row r="28" spans="1:15" ht="72" x14ac:dyDescent="0.3">
      <c r="A28" s="61" t="s">
        <v>318</v>
      </c>
      <c r="B28" s="61" t="s">
        <v>326</v>
      </c>
      <c r="C28" s="62" t="s">
        <v>327</v>
      </c>
      <c r="D28" s="49">
        <f t="shared" si="0"/>
        <v>-43270</v>
      </c>
      <c r="E28" s="59">
        <v>-29270</v>
      </c>
      <c r="F28" s="59">
        <v>-14000</v>
      </c>
      <c r="G28" s="49">
        <f t="shared" si="5"/>
        <v>-8437</v>
      </c>
      <c r="H28" s="60">
        <v>-8255</v>
      </c>
      <c r="I28" s="60">
        <v>-182</v>
      </c>
      <c r="J28" s="52">
        <f t="shared" si="3"/>
        <v>-8437</v>
      </c>
      <c r="K28" s="60">
        <v>-8255</v>
      </c>
      <c r="L28" s="60">
        <v>-182</v>
      </c>
      <c r="M28" s="49">
        <f t="shared" si="6"/>
        <v>-8437</v>
      </c>
      <c r="N28" s="59">
        <v>-8255</v>
      </c>
      <c r="O28" s="59">
        <v>-182</v>
      </c>
    </row>
    <row r="29" spans="1:15" ht="28.8" x14ac:dyDescent="0.3">
      <c r="A29" s="46" t="s">
        <v>318</v>
      </c>
      <c r="B29" s="46" t="s">
        <v>316</v>
      </c>
      <c r="C29" s="58" t="s">
        <v>328</v>
      </c>
      <c r="D29" s="49">
        <f t="shared" si="0"/>
        <v>0</v>
      </c>
      <c r="E29" s="59">
        <v>0</v>
      </c>
      <c r="F29" s="59">
        <v>0</v>
      </c>
      <c r="G29" s="49">
        <f t="shared" si="5"/>
        <v>0</v>
      </c>
      <c r="H29" s="60">
        <v>0</v>
      </c>
      <c r="I29" s="60">
        <v>0</v>
      </c>
      <c r="J29" s="52">
        <f t="shared" si="3"/>
        <v>0</v>
      </c>
      <c r="K29" s="60">
        <v>0</v>
      </c>
      <c r="L29" s="60">
        <v>0</v>
      </c>
      <c r="M29" s="49">
        <f t="shared" si="6"/>
        <v>0</v>
      </c>
      <c r="N29" s="59">
        <f>H29/9*12</f>
        <v>0</v>
      </c>
      <c r="O29" s="59">
        <f>I29/9*12</f>
        <v>0</v>
      </c>
    </row>
    <row r="30" spans="1:15" x14ac:dyDescent="0.3">
      <c r="A30" s="1254" t="s">
        <v>329</v>
      </c>
      <c r="B30" s="1254"/>
      <c r="C30" s="1254"/>
      <c r="D30" s="49">
        <f t="shared" si="0"/>
        <v>806842</v>
      </c>
      <c r="E30" s="49">
        <f>E21+E8+E10+E12+E14+E15+E17+E18+E19+E11+E9+E20</f>
        <v>698897</v>
      </c>
      <c r="F30" s="49">
        <f>F21+F8+F10+F12+F14+F15+F17+F18+F19+F11+F20+F9</f>
        <v>107945</v>
      </c>
      <c r="G30" s="49">
        <f t="shared" si="5"/>
        <v>680395</v>
      </c>
      <c r="H30" s="52">
        <f>H21+H8+H10+H12+H14+H15+H17+H18+H19+H11+H20+H16+H13+H9</f>
        <v>522237</v>
      </c>
      <c r="I30" s="52">
        <f>I21+I8+I10+I12+I14+I15+I17+I18+I19+I11+I20+I16+I13+I9</f>
        <v>158158</v>
      </c>
      <c r="J30" s="52">
        <f t="shared" si="3"/>
        <v>957911</v>
      </c>
      <c r="K30" s="52">
        <f>K21+K8+K10+K12+K14+K15+K17+K18+K19+K11+K16+K20+K13+K9</f>
        <v>741187</v>
      </c>
      <c r="L30" s="52">
        <f>L21+L8+L10+L12+L14+L15+L17+L18+L19+L11+L16+L20+L13+L9</f>
        <v>216724</v>
      </c>
      <c r="M30" s="49">
        <f t="shared" si="6"/>
        <v>914054.33333333326</v>
      </c>
      <c r="N30" s="49">
        <f>N21+N8+N10+N12+N14+N15+N17+N18+N19+N11+N13+N16+N20</f>
        <v>729343.99999999988</v>
      </c>
      <c r="O30" s="49">
        <f>O21+O8+O10+O12+O14+O15+O17+O18+O19+O11+O13+O16+O20</f>
        <v>184710.33333333334</v>
      </c>
    </row>
    <row r="31" spans="1:15" x14ac:dyDescent="0.3">
      <c r="A31" s="1255" t="s">
        <v>330</v>
      </c>
      <c r="B31" s="1256"/>
      <c r="C31" s="1256"/>
      <c r="D31" s="1256"/>
      <c r="E31" s="1256"/>
      <c r="F31" s="1256"/>
      <c r="G31" s="1256"/>
      <c r="H31" s="1256"/>
      <c r="I31" s="1256"/>
      <c r="J31" s="1256"/>
      <c r="K31" s="1256"/>
      <c r="L31" s="1256"/>
      <c r="M31" s="1256"/>
      <c r="N31" s="1256"/>
      <c r="O31" s="1257"/>
    </row>
    <row r="32" spans="1:15" x14ac:dyDescent="0.3">
      <c r="A32" s="46" t="s">
        <v>331</v>
      </c>
      <c r="B32" s="46" t="s">
        <v>332</v>
      </c>
      <c r="C32" s="46"/>
      <c r="D32" s="63"/>
      <c r="E32" s="64"/>
      <c r="F32" s="64"/>
      <c r="G32" s="64"/>
      <c r="H32" s="65"/>
      <c r="I32" s="65"/>
      <c r="J32" s="65"/>
      <c r="K32" s="65"/>
      <c r="L32" s="65"/>
      <c r="M32" s="64"/>
      <c r="N32" s="64"/>
      <c r="O32" s="64"/>
    </row>
    <row r="33" spans="1:15" ht="27" x14ac:dyDescent="0.3">
      <c r="A33" s="56" t="s">
        <v>290</v>
      </c>
      <c r="B33" s="56" t="s">
        <v>317</v>
      </c>
      <c r="C33" s="57" t="s">
        <v>254</v>
      </c>
      <c r="D33" s="49">
        <f>E33+F33</f>
        <v>143053</v>
      </c>
      <c r="E33" s="49">
        <f>E34+E35+E36+E38+E39+E41+E40+E37</f>
        <v>96112</v>
      </c>
      <c r="F33" s="49">
        <f>F34+F35+F36+F38+F39+F41+F40+F37</f>
        <v>46941</v>
      </c>
      <c r="G33" s="49">
        <f>SUM(H33:I33)</f>
        <v>101733</v>
      </c>
      <c r="H33" s="52">
        <f>SUM(H34:H41)</f>
        <v>60022</v>
      </c>
      <c r="I33" s="52">
        <f>SUM(I34:I41)</f>
        <v>41711</v>
      </c>
      <c r="J33" s="52">
        <f>K33+L33</f>
        <v>137825</v>
      </c>
      <c r="K33" s="52">
        <f>K34+K35+K36+K38+K39+K41+K40+K37</f>
        <v>81113</v>
      </c>
      <c r="L33" s="52">
        <f>L34+L35+L36+L38+L39+L41+L40</f>
        <v>56712</v>
      </c>
      <c r="M33" s="49">
        <f>N33+O33</f>
        <v>136291.77777777778</v>
      </c>
      <c r="N33" s="49">
        <f>N34+N35+N36+N38+N39+N41+N40</f>
        <v>81450.166666666672</v>
      </c>
      <c r="O33" s="49">
        <f>O34+O35+O36+O38+O39+O41+O40</f>
        <v>54841.611111111109</v>
      </c>
    </row>
    <row r="34" spans="1:15" ht="43.2" x14ac:dyDescent="0.3">
      <c r="A34" s="46" t="s">
        <v>290</v>
      </c>
      <c r="B34" s="46" t="s">
        <v>316</v>
      </c>
      <c r="C34" s="58" t="s">
        <v>333</v>
      </c>
      <c r="D34" s="49">
        <f t="shared" ref="D34:D91" si="7">E34+F34</f>
        <v>8699</v>
      </c>
      <c r="E34" s="59">
        <v>1436</v>
      </c>
      <c r="F34" s="59">
        <v>7263</v>
      </c>
      <c r="G34" s="49">
        <f t="shared" ref="G34:G112" si="8">SUM(H34:I34)</f>
        <v>6209</v>
      </c>
      <c r="H34" s="60">
        <v>1359</v>
      </c>
      <c r="I34" s="60">
        <v>4850</v>
      </c>
      <c r="J34" s="52">
        <f t="shared" ref="J34:J112" si="9">K34+L34</f>
        <v>8782</v>
      </c>
      <c r="K34" s="60">
        <v>1481</v>
      </c>
      <c r="L34" s="60">
        <v>7301</v>
      </c>
      <c r="M34" s="49">
        <f t="shared" ref="M34:M92" si="10">N34+O34</f>
        <v>8278.6666666666679</v>
      </c>
      <c r="N34" s="59">
        <f>H34/9*12</f>
        <v>1812</v>
      </c>
      <c r="O34" s="59">
        <f>I34/9*12</f>
        <v>6466.666666666667</v>
      </c>
    </row>
    <row r="35" spans="1:15" ht="43.2" x14ac:dyDescent="0.3">
      <c r="A35" s="46" t="s">
        <v>290</v>
      </c>
      <c r="B35" s="46" t="s">
        <v>292</v>
      </c>
      <c r="C35" s="58" t="s">
        <v>334</v>
      </c>
      <c r="D35" s="49">
        <f t="shared" si="7"/>
        <v>3167</v>
      </c>
      <c r="E35" s="59">
        <v>2317</v>
      </c>
      <c r="F35" s="59">
        <v>850</v>
      </c>
      <c r="G35" s="49">
        <f t="shared" si="8"/>
        <v>2117</v>
      </c>
      <c r="H35" s="60">
        <v>1502</v>
      </c>
      <c r="I35" s="60">
        <v>615</v>
      </c>
      <c r="J35" s="52">
        <f t="shared" si="9"/>
        <v>3241</v>
      </c>
      <c r="K35" s="60">
        <v>2357</v>
      </c>
      <c r="L35" s="60">
        <v>884</v>
      </c>
      <c r="M35" s="49">
        <f t="shared" si="10"/>
        <v>2822.6666666666665</v>
      </c>
      <c r="N35" s="59">
        <f>H35/9*12</f>
        <v>2002.6666666666665</v>
      </c>
      <c r="O35" s="59">
        <f>I35/9*12</f>
        <v>820</v>
      </c>
    </row>
    <row r="36" spans="1:15" ht="28.8" x14ac:dyDescent="0.3">
      <c r="A36" s="46" t="s">
        <v>290</v>
      </c>
      <c r="B36" s="46" t="s">
        <v>335</v>
      </c>
      <c r="C36" s="58" t="s">
        <v>336</v>
      </c>
      <c r="D36" s="49">
        <f t="shared" si="7"/>
        <v>59280</v>
      </c>
      <c r="E36" s="59">
        <v>27153</v>
      </c>
      <c r="F36" s="59">
        <v>32127</v>
      </c>
      <c r="G36" s="49">
        <f t="shared" si="8"/>
        <v>41498</v>
      </c>
      <c r="H36" s="60">
        <v>19803</v>
      </c>
      <c r="I36" s="60">
        <v>21695</v>
      </c>
      <c r="J36" s="52">
        <f t="shared" si="9"/>
        <v>57981</v>
      </c>
      <c r="K36" s="60">
        <v>27242</v>
      </c>
      <c r="L36" s="60">
        <v>30739</v>
      </c>
      <c r="M36" s="49">
        <f t="shared" si="10"/>
        <v>57636.111111111109</v>
      </c>
      <c r="N36" s="59">
        <f>H36/9*12.5</f>
        <v>27504.166666666668</v>
      </c>
      <c r="O36" s="59">
        <f>I36/9*12.5</f>
        <v>30131.944444444445</v>
      </c>
    </row>
    <row r="37" spans="1:15" x14ac:dyDescent="0.3">
      <c r="A37" s="46" t="s">
        <v>290</v>
      </c>
      <c r="B37" s="46" t="s">
        <v>294</v>
      </c>
      <c r="C37" s="58" t="s">
        <v>337</v>
      </c>
      <c r="D37" s="49">
        <f t="shared" si="7"/>
        <v>0</v>
      </c>
      <c r="E37" s="59">
        <v>0</v>
      </c>
      <c r="F37" s="59">
        <v>0</v>
      </c>
      <c r="G37" s="49">
        <f t="shared" si="8"/>
        <v>0</v>
      </c>
      <c r="H37" s="60">
        <v>0</v>
      </c>
      <c r="I37" s="60">
        <v>0</v>
      </c>
      <c r="J37" s="52">
        <f t="shared" si="9"/>
        <v>0</v>
      </c>
      <c r="K37" s="60">
        <v>0</v>
      </c>
      <c r="L37" s="60">
        <v>0</v>
      </c>
      <c r="M37" s="49">
        <f t="shared" si="10"/>
        <v>0</v>
      </c>
      <c r="N37" s="59">
        <f>H37/9*12</f>
        <v>0</v>
      </c>
      <c r="O37" s="59">
        <f>I37/9*12</f>
        <v>0</v>
      </c>
    </row>
    <row r="38" spans="1:15" ht="43.2" x14ac:dyDescent="0.3">
      <c r="A38" s="46" t="s">
        <v>290</v>
      </c>
      <c r="B38" s="46" t="s">
        <v>296</v>
      </c>
      <c r="C38" s="58" t="s">
        <v>338</v>
      </c>
      <c r="D38" s="49">
        <f t="shared" si="7"/>
        <v>11290</v>
      </c>
      <c r="E38" s="59">
        <v>11290</v>
      </c>
      <c r="F38" s="59">
        <v>0</v>
      </c>
      <c r="G38" s="49">
        <f t="shared" si="8"/>
        <v>7506</v>
      </c>
      <c r="H38" s="60">
        <v>7506</v>
      </c>
      <c r="I38" s="60">
        <v>0</v>
      </c>
      <c r="J38" s="52">
        <f t="shared" si="9"/>
        <v>11290</v>
      </c>
      <c r="K38" s="60">
        <v>11290</v>
      </c>
      <c r="L38" s="60">
        <v>0</v>
      </c>
      <c r="M38" s="49">
        <f t="shared" si="10"/>
        <v>10842</v>
      </c>
      <c r="N38" s="59">
        <f>H38/9*13</f>
        <v>10842</v>
      </c>
      <c r="O38" s="59">
        <f>I38/9*12.5</f>
        <v>0</v>
      </c>
    </row>
    <row r="39" spans="1:15" ht="28.8" x14ac:dyDescent="0.3">
      <c r="A39" s="46" t="s">
        <v>290</v>
      </c>
      <c r="B39" s="46" t="s">
        <v>339</v>
      </c>
      <c r="C39" s="58" t="s">
        <v>340</v>
      </c>
      <c r="D39" s="49">
        <f t="shared" si="7"/>
        <v>1640</v>
      </c>
      <c r="E39" s="59">
        <v>1540</v>
      </c>
      <c r="F39" s="59">
        <v>100</v>
      </c>
      <c r="G39" s="49">
        <f t="shared" si="8"/>
        <v>2168</v>
      </c>
      <c r="H39" s="60">
        <v>1540</v>
      </c>
      <c r="I39" s="60">
        <v>628</v>
      </c>
      <c r="J39" s="52">
        <f t="shared" si="9"/>
        <v>2190</v>
      </c>
      <c r="K39" s="60">
        <v>1540</v>
      </c>
      <c r="L39" s="60">
        <v>650</v>
      </c>
      <c r="M39" s="49">
        <f t="shared" si="10"/>
        <v>2190</v>
      </c>
      <c r="N39" s="59">
        <v>1540</v>
      </c>
      <c r="O39" s="59">
        <v>650</v>
      </c>
    </row>
    <row r="40" spans="1:15" x14ac:dyDescent="0.3">
      <c r="A40" s="46" t="s">
        <v>290</v>
      </c>
      <c r="B40" s="46" t="s">
        <v>302</v>
      </c>
      <c r="C40" s="66" t="s">
        <v>341</v>
      </c>
      <c r="D40" s="49">
        <f t="shared" si="7"/>
        <v>865</v>
      </c>
      <c r="E40" s="59">
        <v>500</v>
      </c>
      <c r="F40" s="59">
        <v>365</v>
      </c>
      <c r="G40" s="49">
        <f t="shared" si="8"/>
        <v>0</v>
      </c>
      <c r="H40" s="60">
        <v>0</v>
      </c>
      <c r="I40" s="60">
        <v>0</v>
      </c>
      <c r="J40" s="52">
        <f t="shared" si="9"/>
        <v>645</v>
      </c>
      <c r="K40" s="60">
        <v>280</v>
      </c>
      <c r="L40" s="60">
        <v>365</v>
      </c>
      <c r="M40" s="49">
        <f t="shared" si="10"/>
        <v>0</v>
      </c>
      <c r="N40" s="59">
        <f>H40/9*12</f>
        <v>0</v>
      </c>
      <c r="O40" s="59">
        <f>I40/9*12</f>
        <v>0</v>
      </c>
    </row>
    <row r="41" spans="1:15" ht="27" x14ac:dyDescent="0.3">
      <c r="A41" s="46" t="s">
        <v>290</v>
      </c>
      <c r="B41" s="61" t="s">
        <v>306</v>
      </c>
      <c r="C41" s="66" t="s">
        <v>342</v>
      </c>
      <c r="D41" s="49">
        <f t="shared" si="7"/>
        <v>58112</v>
      </c>
      <c r="E41" s="59">
        <v>51876</v>
      </c>
      <c r="F41" s="59">
        <v>6236</v>
      </c>
      <c r="G41" s="49">
        <f t="shared" si="8"/>
        <v>42235</v>
      </c>
      <c r="H41" s="60">
        <v>28312</v>
      </c>
      <c r="I41" s="60">
        <v>13923</v>
      </c>
      <c r="J41" s="52">
        <f t="shared" si="9"/>
        <v>53696</v>
      </c>
      <c r="K41" s="60">
        <v>36923</v>
      </c>
      <c r="L41" s="60">
        <v>16773</v>
      </c>
      <c r="M41" s="49">
        <f t="shared" si="10"/>
        <v>54522.333333333336</v>
      </c>
      <c r="N41" s="59">
        <f>H41/9*12</f>
        <v>37749.333333333336</v>
      </c>
      <c r="O41" s="59">
        <v>16773</v>
      </c>
    </row>
    <row r="42" spans="1:15" x14ac:dyDescent="0.3">
      <c r="A42" s="56" t="s">
        <v>316</v>
      </c>
      <c r="B42" s="56" t="s">
        <v>317</v>
      </c>
      <c r="C42" s="57" t="s">
        <v>343</v>
      </c>
      <c r="D42" s="49">
        <f t="shared" si="7"/>
        <v>1502</v>
      </c>
      <c r="E42" s="49">
        <f>E43</f>
        <v>0</v>
      </c>
      <c r="F42" s="49">
        <f>F43</f>
        <v>1502</v>
      </c>
      <c r="G42" s="49">
        <f t="shared" si="8"/>
        <v>940</v>
      </c>
      <c r="H42" s="52">
        <f>H43</f>
        <v>0</v>
      </c>
      <c r="I42" s="52">
        <f>I43</f>
        <v>940</v>
      </c>
      <c r="J42" s="52">
        <f t="shared" si="9"/>
        <v>1502</v>
      </c>
      <c r="K42" s="52">
        <f>K43</f>
        <v>0</v>
      </c>
      <c r="L42" s="52">
        <f>L43</f>
        <v>1502</v>
      </c>
      <c r="M42" s="49">
        <f t="shared" si="10"/>
        <v>1502</v>
      </c>
      <c r="N42" s="49">
        <f>N43</f>
        <v>0</v>
      </c>
      <c r="O42" s="49">
        <f>O43</f>
        <v>1502</v>
      </c>
    </row>
    <row r="43" spans="1:15" ht="28.8" x14ac:dyDescent="0.3">
      <c r="A43" s="46" t="s">
        <v>316</v>
      </c>
      <c r="B43" s="46" t="s">
        <v>292</v>
      </c>
      <c r="C43" s="58" t="s">
        <v>344</v>
      </c>
      <c r="D43" s="49">
        <f t="shared" si="7"/>
        <v>1502</v>
      </c>
      <c r="E43" s="59">
        <v>0</v>
      </c>
      <c r="F43" s="59">
        <v>1502</v>
      </c>
      <c r="G43" s="49">
        <f t="shared" si="8"/>
        <v>940</v>
      </c>
      <c r="H43" s="60">
        <v>0</v>
      </c>
      <c r="I43" s="60">
        <v>940</v>
      </c>
      <c r="J43" s="52">
        <f t="shared" si="9"/>
        <v>1502</v>
      </c>
      <c r="K43" s="60">
        <v>0</v>
      </c>
      <c r="L43" s="60">
        <v>1502</v>
      </c>
      <c r="M43" s="49">
        <f t="shared" si="10"/>
        <v>1502</v>
      </c>
      <c r="N43" s="59">
        <f>H43/9*12</f>
        <v>0</v>
      </c>
      <c r="O43" s="59">
        <v>1502</v>
      </c>
    </row>
    <row r="44" spans="1:15" ht="40.200000000000003" x14ac:dyDescent="0.3">
      <c r="A44" s="56" t="s">
        <v>292</v>
      </c>
      <c r="B44" s="56" t="s">
        <v>317</v>
      </c>
      <c r="C44" s="57" t="s">
        <v>255</v>
      </c>
      <c r="D44" s="49">
        <f t="shared" si="7"/>
        <v>4719</v>
      </c>
      <c r="E44" s="49">
        <f>E45+E46+E47+E48</f>
        <v>2987</v>
      </c>
      <c r="F44" s="49">
        <f>F45+F46+F47+F48</f>
        <v>1732</v>
      </c>
      <c r="G44" s="49">
        <f t="shared" si="8"/>
        <v>2268</v>
      </c>
      <c r="H44" s="52">
        <f>H45+H46+H47+H48</f>
        <v>1744</v>
      </c>
      <c r="I44" s="52">
        <f>I45+I46+I47+I48</f>
        <v>524</v>
      </c>
      <c r="J44" s="52">
        <f t="shared" si="9"/>
        <v>5630</v>
      </c>
      <c r="K44" s="52">
        <f>K45+K46+K47+K48</f>
        <v>3207</v>
      </c>
      <c r="L44" s="52">
        <f>L45+L46+L47+L48</f>
        <v>2423</v>
      </c>
      <c r="M44" s="49">
        <f t="shared" si="10"/>
        <v>3037.8888888888887</v>
      </c>
      <c r="N44" s="49">
        <f>N45+N46+N47+N48</f>
        <v>2281.333333333333</v>
      </c>
      <c r="O44" s="49">
        <f>O45+O46+O47+O48</f>
        <v>756.55555555555566</v>
      </c>
    </row>
    <row r="45" spans="1:15" x14ac:dyDescent="0.3">
      <c r="A45" s="46" t="s">
        <v>292</v>
      </c>
      <c r="B45" s="46" t="s">
        <v>316</v>
      </c>
      <c r="C45" s="58" t="s">
        <v>345</v>
      </c>
      <c r="D45" s="49">
        <f t="shared" si="7"/>
        <v>0</v>
      </c>
      <c r="E45" s="59">
        <v>0</v>
      </c>
      <c r="F45" s="59">
        <v>0</v>
      </c>
      <c r="G45" s="49">
        <f t="shared" si="8"/>
        <v>0</v>
      </c>
      <c r="H45" s="60">
        <v>0</v>
      </c>
      <c r="I45" s="60">
        <v>0</v>
      </c>
      <c r="J45" s="52">
        <f t="shared" si="9"/>
        <v>0</v>
      </c>
      <c r="K45" s="60">
        <v>0</v>
      </c>
      <c r="L45" s="60">
        <v>0</v>
      </c>
      <c r="M45" s="49">
        <f t="shared" si="10"/>
        <v>0</v>
      </c>
      <c r="N45" s="59">
        <f>H45/9*12</f>
        <v>0</v>
      </c>
      <c r="O45" s="59">
        <f>I45/9*12</f>
        <v>0</v>
      </c>
    </row>
    <row r="46" spans="1:15" ht="66.599999999999994" x14ac:dyDescent="0.3">
      <c r="A46" s="67" t="s">
        <v>292</v>
      </c>
      <c r="B46" s="67" t="s">
        <v>300</v>
      </c>
      <c r="C46" s="68" t="s">
        <v>346</v>
      </c>
      <c r="D46" s="49">
        <f t="shared" si="7"/>
        <v>3825</v>
      </c>
      <c r="E46" s="59">
        <v>2987</v>
      </c>
      <c r="F46" s="59">
        <v>838</v>
      </c>
      <c r="G46" s="49">
        <f t="shared" si="8"/>
        <v>1855</v>
      </c>
      <c r="H46" s="60">
        <v>1546</v>
      </c>
      <c r="I46" s="60">
        <v>309</v>
      </c>
      <c r="J46" s="52">
        <f t="shared" si="9"/>
        <v>4331</v>
      </c>
      <c r="K46" s="60">
        <v>2987</v>
      </c>
      <c r="L46" s="60">
        <v>1344</v>
      </c>
      <c r="M46" s="49">
        <f t="shared" si="10"/>
        <v>2507.6666666666665</v>
      </c>
      <c r="N46" s="59">
        <f>H46/9*12</f>
        <v>2061.333333333333</v>
      </c>
      <c r="O46" s="59">
        <f>I46/9*13</f>
        <v>446.33333333333337</v>
      </c>
    </row>
    <row r="47" spans="1:15" ht="27" x14ac:dyDescent="0.3">
      <c r="A47" s="67" t="s">
        <v>292</v>
      </c>
      <c r="B47" s="67" t="s">
        <v>347</v>
      </c>
      <c r="C47" s="68" t="s">
        <v>348</v>
      </c>
      <c r="D47" s="49">
        <f t="shared" si="7"/>
        <v>814</v>
      </c>
      <c r="E47" s="59">
        <v>0</v>
      </c>
      <c r="F47" s="59">
        <v>814</v>
      </c>
      <c r="G47" s="49">
        <f t="shared" si="8"/>
        <v>410</v>
      </c>
      <c r="H47" s="60">
        <v>198</v>
      </c>
      <c r="I47" s="60">
        <v>212</v>
      </c>
      <c r="J47" s="52">
        <f t="shared" si="9"/>
        <v>1219</v>
      </c>
      <c r="K47" s="60">
        <v>220</v>
      </c>
      <c r="L47" s="60">
        <v>999</v>
      </c>
      <c r="M47" s="49">
        <f t="shared" si="10"/>
        <v>526.22222222222217</v>
      </c>
      <c r="N47" s="59">
        <v>220</v>
      </c>
      <c r="O47" s="59">
        <f>I47/9*13</f>
        <v>306.22222222222223</v>
      </c>
    </row>
    <row r="48" spans="1:15" ht="53.4" x14ac:dyDescent="0.3">
      <c r="A48" s="67" t="s">
        <v>292</v>
      </c>
      <c r="B48" s="67" t="s">
        <v>308</v>
      </c>
      <c r="C48" s="68" t="s">
        <v>349</v>
      </c>
      <c r="D48" s="49">
        <f t="shared" si="7"/>
        <v>80</v>
      </c>
      <c r="E48" s="59">
        <v>0</v>
      </c>
      <c r="F48" s="59">
        <v>80</v>
      </c>
      <c r="G48" s="49">
        <f t="shared" si="8"/>
        <v>3</v>
      </c>
      <c r="H48" s="60">
        <v>0</v>
      </c>
      <c r="I48" s="60">
        <v>3</v>
      </c>
      <c r="J48" s="52">
        <f t="shared" si="9"/>
        <v>80</v>
      </c>
      <c r="K48" s="60">
        <v>0</v>
      </c>
      <c r="L48" s="60">
        <v>80</v>
      </c>
      <c r="M48" s="49">
        <f t="shared" si="10"/>
        <v>4</v>
      </c>
      <c r="N48" s="59">
        <f>H48/9*12</f>
        <v>0</v>
      </c>
      <c r="O48" s="59">
        <f>I48/9*12</f>
        <v>4</v>
      </c>
    </row>
    <row r="49" spans="1:15" x14ac:dyDescent="0.3">
      <c r="A49" s="69" t="s">
        <v>335</v>
      </c>
      <c r="B49" s="69" t="s">
        <v>317</v>
      </c>
      <c r="C49" s="70" t="s">
        <v>256</v>
      </c>
      <c r="D49" s="49">
        <f t="shared" si="7"/>
        <v>20832</v>
      </c>
      <c r="E49" s="49">
        <f>E50+E51+E52+E53+E54+E55</f>
        <v>7160</v>
      </c>
      <c r="F49" s="49">
        <f>F50+F51+F52+F53+F54+F55</f>
        <v>13672</v>
      </c>
      <c r="G49" s="49">
        <f t="shared" si="8"/>
        <v>20171</v>
      </c>
      <c r="H49" s="52">
        <f>H50+H51+H52+H53+H54+H55</f>
        <v>1918</v>
      </c>
      <c r="I49" s="52">
        <f>I50+I51+I52+I53+I54+I55</f>
        <v>18253</v>
      </c>
      <c r="J49" s="52">
        <f t="shared" si="9"/>
        <v>35749</v>
      </c>
      <c r="K49" s="52">
        <f>K50+K51+K52+K53+K54+K55</f>
        <v>9398</v>
      </c>
      <c r="L49" s="52">
        <f>L50+L51+L52+L53+L54+L55</f>
        <v>26351</v>
      </c>
      <c r="M49" s="49">
        <f t="shared" si="10"/>
        <v>31282.666666666668</v>
      </c>
      <c r="N49" s="49">
        <f>N50+N51+N52+N53+N54+N55</f>
        <v>6945.333333333333</v>
      </c>
      <c r="O49" s="49">
        <f>O50+O51+O52+O53+O54+O55</f>
        <v>24337.333333333336</v>
      </c>
    </row>
    <row r="50" spans="1:15" x14ac:dyDescent="0.3">
      <c r="A50" s="67" t="s">
        <v>335</v>
      </c>
      <c r="B50" s="67" t="s">
        <v>290</v>
      </c>
      <c r="C50" s="68" t="s">
        <v>350</v>
      </c>
      <c r="D50" s="49">
        <f t="shared" si="7"/>
        <v>546</v>
      </c>
      <c r="E50" s="59">
        <v>546</v>
      </c>
      <c r="F50" s="59">
        <v>0</v>
      </c>
      <c r="G50" s="49">
        <f t="shared" si="8"/>
        <v>0</v>
      </c>
      <c r="H50" s="60">
        <v>0</v>
      </c>
      <c r="I50" s="60">
        <v>0</v>
      </c>
      <c r="J50" s="52">
        <f t="shared" si="9"/>
        <v>0</v>
      </c>
      <c r="K50" s="60">
        <v>0</v>
      </c>
      <c r="L50" s="60">
        <v>0</v>
      </c>
      <c r="M50" s="49">
        <f t="shared" si="10"/>
        <v>0</v>
      </c>
      <c r="N50" s="59">
        <v>0</v>
      </c>
      <c r="O50" s="59">
        <f>I50/9*12</f>
        <v>0</v>
      </c>
    </row>
    <row r="51" spans="1:15" ht="27" x14ac:dyDescent="0.3">
      <c r="A51" s="67" t="s">
        <v>335</v>
      </c>
      <c r="B51" s="67" t="s">
        <v>294</v>
      </c>
      <c r="C51" s="68" t="s">
        <v>351</v>
      </c>
      <c r="D51" s="49">
        <f t="shared" si="7"/>
        <v>1033</v>
      </c>
      <c r="E51" s="59">
        <v>1033</v>
      </c>
      <c r="F51" s="59">
        <v>0</v>
      </c>
      <c r="G51" s="49">
        <f t="shared" si="8"/>
        <v>0</v>
      </c>
      <c r="H51" s="60">
        <v>0</v>
      </c>
      <c r="I51" s="60">
        <v>0</v>
      </c>
      <c r="J51" s="52">
        <f t="shared" si="9"/>
        <v>1585</v>
      </c>
      <c r="K51" s="60">
        <v>1585</v>
      </c>
      <c r="L51" s="60">
        <v>0</v>
      </c>
      <c r="M51" s="49">
        <f t="shared" si="10"/>
        <v>1585</v>
      </c>
      <c r="N51" s="59">
        <v>1585</v>
      </c>
      <c r="O51" s="59">
        <f>I51/9*12</f>
        <v>0</v>
      </c>
    </row>
    <row r="52" spans="1:15" x14ac:dyDescent="0.3">
      <c r="A52" s="67" t="s">
        <v>335</v>
      </c>
      <c r="B52" s="67" t="s">
        <v>296</v>
      </c>
      <c r="C52" s="71" t="s">
        <v>352</v>
      </c>
      <c r="D52" s="49">
        <f t="shared" si="7"/>
        <v>0</v>
      </c>
      <c r="E52" s="59">
        <v>0</v>
      </c>
      <c r="F52" s="59">
        <v>0</v>
      </c>
      <c r="G52" s="49">
        <f t="shared" si="8"/>
        <v>0</v>
      </c>
      <c r="H52" s="60">
        <v>0</v>
      </c>
      <c r="I52" s="60">
        <v>0</v>
      </c>
      <c r="J52" s="52">
        <f t="shared" si="9"/>
        <v>2803</v>
      </c>
      <c r="K52" s="60">
        <v>2803</v>
      </c>
      <c r="L52" s="60">
        <v>0</v>
      </c>
      <c r="M52" s="49">
        <f t="shared" si="10"/>
        <v>2803</v>
      </c>
      <c r="N52" s="59">
        <v>2803</v>
      </c>
      <c r="O52" s="59">
        <v>0</v>
      </c>
    </row>
    <row r="53" spans="1:15" x14ac:dyDescent="0.3">
      <c r="A53" s="67" t="s">
        <v>335</v>
      </c>
      <c r="B53" s="67" t="s">
        <v>298</v>
      </c>
      <c r="C53" s="68" t="s">
        <v>353</v>
      </c>
      <c r="D53" s="49">
        <f t="shared" si="7"/>
        <v>3579</v>
      </c>
      <c r="E53" s="59">
        <v>1580</v>
      </c>
      <c r="F53" s="59">
        <v>1999</v>
      </c>
      <c r="G53" s="49">
        <f t="shared" si="8"/>
        <v>2714</v>
      </c>
      <c r="H53" s="60">
        <v>1557</v>
      </c>
      <c r="I53" s="60">
        <v>1157</v>
      </c>
      <c r="J53" s="52">
        <f t="shared" si="9"/>
        <v>3849</v>
      </c>
      <c r="K53" s="60">
        <v>1730</v>
      </c>
      <c r="L53" s="60">
        <v>2119</v>
      </c>
      <c r="M53" s="49">
        <f t="shared" si="10"/>
        <v>3618.6666666666665</v>
      </c>
      <c r="N53" s="59">
        <f>H53/9*12</f>
        <v>2076</v>
      </c>
      <c r="O53" s="59">
        <f>I53/9*12</f>
        <v>1542.6666666666665</v>
      </c>
    </row>
    <row r="54" spans="1:15" x14ac:dyDescent="0.3">
      <c r="A54" s="67" t="s">
        <v>335</v>
      </c>
      <c r="B54" s="67" t="s">
        <v>300</v>
      </c>
      <c r="C54" s="68" t="s">
        <v>354</v>
      </c>
      <c r="D54" s="49">
        <f t="shared" si="7"/>
        <v>14065</v>
      </c>
      <c r="E54" s="59">
        <v>3351</v>
      </c>
      <c r="F54" s="59">
        <v>10714</v>
      </c>
      <c r="G54" s="49">
        <f t="shared" si="8"/>
        <v>17083</v>
      </c>
      <c r="H54" s="60">
        <v>361</v>
      </c>
      <c r="I54" s="60">
        <v>16722</v>
      </c>
      <c r="J54" s="52">
        <f t="shared" si="9"/>
        <v>26048</v>
      </c>
      <c r="K54" s="60">
        <v>3193</v>
      </c>
      <c r="L54" s="60">
        <v>22855</v>
      </c>
      <c r="M54" s="49">
        <f t="shared" si="10"/>
        <v>22777.333333333332</v>
      </c>
      <c r="N54" s="59">
        <f t="shared" ref="N54:N55" si="11">H54/9*12</f>
        <v>481.33333333333337</v>
      </c>
      <c r="O54" s="59">
        <f t="shared" ref="O54:O55" si="12">I54/9*12</f>
        <v>22296</v>
      </c>
    </row>
    <row r="55" spans="1:15" ht="27" x14ac:dyDescent="0.3">
      <c r="A55" s="67" t="s">
        <v>335</v>
      </c>
      <c r="B55" s="67" t="s">
        <v>304</v>
      </c>
      <c r="C55" s="68" t="s">
        <v>355</v>
      </c>
      <c r="D55" s="49">
        <f t="shared" si="7"/>
        <v>1609</v>
      </c>
      <c r="E55" s="59">
        <v>650</v>
      </c>
      <c r="F55" s="59">
        <v>959</v>
      </c>
      <c r="G55" s="49">
        <f t="shared" si="8"/>
        <v>374</v>
      </c>
      <c r="H55" s="60">
        <v>0</v>
      </c>
      <c r="I55" s="60">
        <v>374</v>
      </c>
      <c r="J55" s="52">
        <f t="shared" si="9"/>
        <v>1464</v>
      </c>
      <c r="K55" s="60">
        <v>87</v>
      </c>
      <c r="L55" s="60">
        <v>1377</v>
      </c>
      <c r="M55" s="49">
        <f t="shared" si="10"/>
        <v>498.66666666666669</v>
      </c>
      <c r="N55" s="59">
        <f t="shared" si="11"/>
        <v>0</v>
      </c>
      <c r="O55" s="59">
        <f t="shared" si="12"/>
        <v>498.66666666666669</v>
      </c>
    </row>
    <row r="56" spans="1:15" ht="27" x14ac:dyDescent="0.3">
      <c r="A56" s="69" t="s">
        <v>294</v>
      </c>
      <c r="B56" s="69" t="s">
        <v>317</v>
      </c>
      <c r="C56" s="70" t="s">
        <v>257</v>
      </c>
      <c r="D56" s="49">
        <f t="shared" si="7"/>
        <v>164187</v>
      </c>
      <c r="E56" s="49">
        <f>E57+E58+E59+E60</f>
        <v>119696</v>
      </c>
      <c r="F56" s="49">
        <f>F57+F58+F59+F60</f>
        <v>44491</v>
      </c>
      <c r="G56" s="49">
        <f t="shared" si="8"/>
        <v>133853</v>
      </c>
      <c r="H56" s="52">
        <f>SUM(H57:H60)</f>
        <v>67062</v>
      </c>
      <c r="I56" s="52">
        <f>SUM(I57:I60)</f>
        <v>66791</v>
      </c>
      <c r="J56" s="52">
        <f t="shared" si="9"/>
        <v>261336</v>
      </c>
      <c r="K56" s="52">
        <f>K57+K58+K59+K60</f>
        <v>129316</v>
      </c>
      <c r="L56" s="52">
        <f>L57+L58+L59+L60</f>
        <v>132020</v>
      </c>
      <c r="M56" s="49">
        <f t="shared" si="10"/>
        <v>218687.7</v>
      </c>
      <c r="N56" s="49">
        <f>N57+N58+N59+N60</f>
        <v>113031.73333333334</v>
      </c>
      <c r="O56" s="49">
        <f>O57+O58+O59+O60</f>
        <v>105655.96666666666</v>
      </c>
    </row>
    <row r="57" spans="1:15" x14ac:dyDescent="0.3">
      <c r="A57" s="67" t="s">
        <v>294</v>
      </c>
      <c r="B57" s="67" t="s">
        <v>290</v>
      </c>
      <c r="C57" s="68" t="s">
        <v>356</v>
      </c>
      <c r="D57" s="49">
        <f t="shared" si="7"/>
        <v>29688</v>
      </c>
      <c r="E57" s="59">
        <v>5670</v>
      </c>
      <c r="F57" s="59">
        <v>24018</v>
      </c>
      <c r="G57" s="49">
        <f t="shared" si="8"/>
        <v>38145</v>
      </c>
      <c r="H57" s="60">
        <v>13519</v>
      </c>
      <c r="I57" s="60">
        <v>24626</v>
      </c>
      <c r="J57" s="52">
        <f t="shared" si="9"/>
        <v>110326</v>
      </c>
      <c r="K57" s="60">
        <v>37668</v>
      </c>
      <c r="L57" s="60">
        <v>72658</v>
      </c>
      <c r="M57" s="49">
        <f t="shared" si="10"/>
        <v>74046.311111111107</v>
      </c>
      <c r="N57" s="59">
        <f>H57/9*13+8000+164.4</f>
        <v>27691.844444444447</v>
      </c>
      <c r="O57" s="59">
        <f>I57/9*12+14419.8-900</f>
        <v>46354.46666666666</v>
      </c>
    </row>
    <row r="58" spans="1:15" x14ac:dyDescent="0.3">
      <c r="A58" s="67" t="s">
        <v>294</v>
      </c>
      <c r="B58" s="67" t="s">
        <v>316</v>
      </c>
      <c r="C58" s="68" t="s">
        <v>357</v>
      </c>
      <c r="D58" s="49">
        <f t="shared" si="7"/>
        <v>116153</v>
      </c>
      <c r="E58" s="59">
        <v>110526</v>
      </c>
      <c r="F58" s="59">
        <v>5627</v>
      </c>
      <c r="G58" s="49">
        <f t="shared" si="8"/>
        <v>63386</v>
      </c>
      <c r="H58" s="60">
        <v>53443</v>
      </c>
      <c r="I58" s="60">
        <v>9943</v>
      </c>
      <c r="J58" s="52">
        <f t="shared" si="9"/>
        <v>101611</v>
      </c>
      <c r="K58" s="60">
        <v>90298</v>
      </c>
      <c r="L58" s="60">
        <v>11313</v>
      </c>
      <c r="M58" s="49">
        <f t="shared" si="10"/>
        <v>96508.444444444453</v>
      </c>
      <c r="N58" s="59">
        <f>H58/9*13+8000</f>
        <v>85195.444444444453</v>
      </c>
      <c r="O58" s="59">
        <v>11313</v>
      </c>
    </row>
    <row r="59" spans="1:15" x14ac:dyDescent="0.3">
      <c r="A59" s="67" t="s">
        <v>294</v>
      </c>
      <c r="B59" s="67" t="s">
        <v>292</v>
      </c>
      <c r="C59" s="71" t="s">
        <v>358</v>
      </c>
      <c r="D59" s="49">
        <f t="shared" si="7"/>
        <v>12286</v>
      </c>
      <c r="E59" s="59">
        <v>3500</v>
      </c>
      <c r="F59" s="59">
        <v>8786</v>
      </c>
      <c r="G59" s="49">
        <f t="shared" si="8"/>
        <v>8115</v>
      </c>
      <c r="H59" s="60">
        <v>100</v>
      </c>
      <c r="I59" s="60">
        <v>8015</v>
      </c>
      <c r="J59" s="52">
        <f t="shared" si="9"/>
        <v>13028</v>
      </c>
      <c r="K59" s="60">
        <v>1350</v>
      </c>
      <c r="L59" s="60">
        <v>11678</v>
      </c>
      <c r="M59" s="49">
        <f t="shared" si="10"/>
        <v>11822.444444444445</v>
      </c>
      <c r="N59" s="59">
        <f>H59/9*13</f>
        <v>144.44444444444443</v>
      </c>
      <c r="O59" s="59">
        <v>11678</v>
      </c>
    </row>
    <row r="60" spans="1:15" ht="40.200000000000003" x14ac:dyDescent="0.3">
      <c r="A60" s="67" t="s">
        <v>294</v>
      </c>
      <c r="B60" s="67" t="s">
        <v>294</v>
      </c>
      <c r="C60" s="68" t="s">
        <v>359</v>
      </c>
      <c r="D60" s="49">
        <f t="shared" si="7"/>
        <v>6060</v>
      </c>
      <c r="E60" s="59">
        <v>0</v>
      </c>
      <c r="F60" s="59">
        <v>6060</v>
      </c>
      <c r="G60" s="49">
        <f t="shared" si="8"/>
        <v>24207</v>
      </c>
      <c r="H60" s="60">
        <v>0</v>
      </c>
      <c r="I60" s="60">
        <v>24207</v>
      </c>
      <c r="J60" s="52">
        <f t="shared" si="9"/>
        <v>36371</v>
      </c>
      <c r="K60" s="60">
        <v>0</v>
      </c>
      <c r="L60" s="60">
        <v>36371</v>
      </c>
      <c r="M60" s="49">
        <f t="shared" si="10"/>
        <v>36310.5</v>
      </c>
      <c r="N60" s="59">
        <f>H60/9*12</f>
        <v>0</v>
      </c>
      <c r="O60" s="59">
        <f>I60/9*13.5</f>
        <v>36310.5</v>
      </c>
    </row>
    <row r="61" spans="1:15" x14ac:dyDescent="0.3">
      <c r="A61" s="69" t="s">
        <v>296</v>
      </c>
      <c r="B61" s="69" t="s">
        <v>317</v>
      </c>
      <c r="C61" s="70" t="s">
        <v>258</v>
      </c>
      <c r="D61" s="49">
        <f t="shared" si="7"/>
        <v>10</v>
      </c>
      <c r="E61" s="49">
        <f>E62+E63</f>
        <v>0</v>
      </c>
      <c r="F61" s="49">
        <f>F62+F63</f>
        <v>10</v>
      </c>
      <c r="G61" s="49">
        <f t="shared" si="8"/>
        <v>0</v>
      </c>
      <c r="H61" s="52">
        <f>H62+H63</f>
        <v>0</v>
      </c>
      <c r="I61" s="52">
        <f>I62+I63</f>
        <v>0</v>
      </c>
      <c r="J61" s="52">
        <f>K61+L61</f>
        <v>314</v>
      </c>
      <c r="K61" s="52">
        <f>K62+K63</f>
        <v>0</v>
      </c>
      <c r="L61" s="52">
        <f>L62+L63</f>
        <v>314</v>
      </c>
      <c r="M61" s="49">
        <f t="shared" si="10"/>
        <v>304</v>
      </c>
      <c r="N61" s="49">
        <f>N62+N63</f>
        <v>0</v>
      </c>
      <c r="O61" s="49">
        <f>O62+O63</f>
        <v>304</v>
      </c>
    </row>
    <row r="62" spans="1:15" ht="27" x14ac:dyDescent="0.3">
      <c r="A62" s="67" t="s">
        <v>296</v>
      </c>
      <c r="B62" s="67" t="s">
        <v>316</v>
      </c>
      <c r="C62" s="71" t="s">
        <v>360</v>
      </c>
      <c r="D62" s="49">
        <f t="shared" si="7"/>
        <v>10</v>
      </c>
      <c r="E62" s="59">
        <v>0</v>
      </c>
      <c r="F62" s="59">
        <v>10</v>
      </c>
      <c r="G62" s="49">
        <f t="shared" si="8"/>
        <v>0</v>
      </c>
      <c r="H62" s="60">
        <v>0</v>
      </c>
      <c r="I62" s="60">
        <v>0</v>
      </c>
      <c r="J62" s="52">
        <f t="shared" si="9"/>
        <v>10</v>
      </c>
      <c r="K62" s="60">
        <v>0</v>
      </c>
      <c r="L62" s="60">
        <v>10</v>
      </c>
      <c r="M62" s="49">
        <f t="shared" si="10"/>
        <v>0</v>
      </c>
      <c r="N62" s="59">
        <f>H62/9*12</f>
        <v>0</v>
      </c>
      <c r="O62" s="59">
        <v>0</v>
      </c>
    </row>
    <row r="63" spans="1:15" ht="27" x14ac:dyDescent="0.3">
      <c r="A63" s="67" t="s">
        <v>296</v>
      </c>
      <c r="B63" s="67" t="s">
        <v>294</v>
      </c>
      <c r="C63" s="71" t="s">
        <v>406</v>
      </c>
      <c r="D63" s="49">
        <f t="shared" si="7"/>
        <v>0</v>
      </c>
      <c r="E63" s="59">
        <v>0</v>
      </c>
      <c r="F63" s="59">
        <v>0</v>
      </c>
      <c r="G63" s="49">
        <f t="shared" si="8"/>
        <v>0</v>
      </c>
      <c r="H63" s="60">
        <v>0</v>
      </c>
      <c r="I63" s="60">
        <v>0</v>
      </c>
      <c r="J63" s="52">
        <f t="shared" si="9"/>
        <v>304</v>
      </c>
      <c r="K63" s="60">
        <v>0</v>
      </c>
      <c r="L63" s="60">
        <v>304</v>
      </c>
      <c r="M63" s="49">
        <f t="shared" si="10"/>
        <v>304</v>
      </c>
      <c r="N63" s="59">
        <f>H63/9*12</f>
        <v>0</v>
      </c>
      <c r="O63" s="59">
        <v>304</v>
      </c>
    </row>
    <row r="64" spans="1:15" x14ac:dyDescent="0.3">
      <c r="A64" s="69" t="s">
        <v>339</v>
      </c>
      <c r="B64" s="69" t="s">
        <v>317</v>
      </c>
      <c r="C64" s="70" t="s">
        <v>259</v>
      </c>
      <c r="D64" s="49">
        <f t="shared" si="7"/>
        <v>431058</v>
      </c>
      <c r="E64" s="49">
        <f>E65+E66+E67+E68</f>
        <v>430220</v>
      </c>
      <c r="F64" s="49">
        <f>F65+F66+F67+F68</f>
        <v>838</v>
      </c>
      <c r="G64" s="49">
        <f t="shared" si="8"/>
        <v>289113</v>
      </c>
      <c r="H64" s="52">
        <f>H65+H67+H66+H68</f>
        <v>288870</v>
      </c>
      <c r="I64" s="52">
        <f>I65+I67+I66+I68</f>
        <v>243</v>
      </c>
      <c r="J64" s="52">
        <f t="shared" si="9"/>
        <v>457027</v>
      </c>
      <c r="K64" s="52">
        <f>K65+K66+K67+K68</f>
        <v>456649</v>
      </c>
      <c r="L64" s="52">
        <f>L65+L66+L67+L68</f>
        <v>378</v>
      </c>
      <c r="M64" s="49">
        <f t="shared" si="10"/>
        <v>453320.77777777775</v>
      </c>
      <c r="N64" s="49">
        <f>N65+N66+N67+N68</f>
        <v>452996.77777777775</v>
      </c>
      <c r="O64" s="49">
        <f>O65+O66+O67+O68</f>
        <v>324</v>
      </c>
    </row>
    <row r="65" spans="1:15" x14ac:dyDescent="0.3">
      <c r="A65" s="67" t="s">
        <v>339</v>
      </c>
      <c r="B65" s="67" t="s">
        <v>290</v>
      </c>
      <c r="C65" s="68" t="s">
        <v>361</v>
      </c>
      <c r="D65" s="49">
        <f t="shared" si="7"/>
        <v>119950</v>
      </c>
      <c r="E65" s="59">
        <v>119950</v>
      </c>
      <c r="F65" s="59">
        <v>0</v>
      </c>
      <c r="G65" s="49">
        <f t="shared" si="8"/>
        <v>72204</v>
      </c>
      <c r="H65" s="60">
        <v>72204</v>
      </c>
      <c r="I65" s="60">
        <v>0</v>
      </c>
      <c r="J65" s="52">
        <f t="shared" si="9"/>
        <v>121747</v>
      </c>
      <c r="K65" s="60">
        <v>121747</v>
      </c>
      <c r="L65" s="60">
        <v>0</v>
      </c>
      <c r="M65" s="49">
        <f t="shared" si="10"/>
        <v>120317.33333333334</v>
      </c>
      <c r="N65" s="59">
        <f>H65/9*14+8000</f>
        <v>120317.33333333334</v>
      </c>
      <c r="O65" s="59">
        <f>I65/9*12</f>
        <v>0</v>
      </c>
    </row>
    <row r="66" spans="1:15" x14ac:dyDescent="0.3">
      <c r="A66" s="67" t="s">
        <v>339</v>
      </c>
      <c r="B66" s="67" t="s">
        <v>316</v>
      </c>
      <c r="C66" s="68" t="s">
        <v>362</v>
      </c>
      <c r="D66" s="49">
        <f t="shared" si="7"/>
        <v>280489</v>
      </c>
      <c r="E66" s="59">
        <v>280489</v>
      </c>
      <c r="F66" s="59">
        <v>0</v>
      </c>
      <c r="G66" s="49">
        <f t="shared" si="8"/>
        <v>193798</v>
      </c>
      <c r="H66" s="60">
        <v>193798</v>
      </c>
      <c r="I66" s="60">
        <v>0</v>
      </c>
      <c r="J66" s="52">
        <f t="shared" si="9"/>
        <v>302774</v>
      </c>
      <c r="K66" s="60">
        <v>302774</v>
      </c>
      <c r="L66" s="60">
        <v>0</v>
      </c>
      <c r="M66" s="49">
        <f t="shared" si="10"/>
        <v>301463.5555555555</v>
      </c>
      <c r="N66" s="59">
        <f>H66/9*14</f>
        <v>301463.5555555555</v>
      </c>
      <c r="O66" s="59">
        <f>I66/9*12</f>
        <v>0</v>
      </c>
    </row>
    <row r="67" spans="1:15" ht="27" x14ac:dyDescent="0.3">
      <c r="A67" s="67" t="s">
        <v>339</v>
      </c>
      <c r="B67" s="67" t="s">
        <v>339</v>
      </c>
      <c r="C67" s="68" t="s">
        <v>363</v>
      </c>
      <c r="D67" s="49">
        <f t="shared" si="7"/>
        <v>4796</v>
      </c>
      <c r="E67" s="59">
        <v>3958</v>
      </c>
      <c r="F67" s="59">
        <v>838</v>
      </c>
      <c r="G67" s="49">
        <f t="shared" si="8"/>
        <v>5037</v>
      </c>
      <c r="H67" s="60">
        <v>4794</v>
      </c>
      <c r="I67" s="60">
        <v>243</v>
      </c>
      <c r="J67" s="52">
        <f t="shared" si="9"/>
        <v>5487</v>
      </c>
      <c r="K67" s="60">
        <v>5109</v>
      </c>
      <c r="L67" s="60">
        <v>378</v>
      </c>
      <c r="M67" s="49">
        <f t="shared" si="10"/>
        <v>5433</v>
      </c>
      <c r="N67" s="59">
        <v>5109</v>
      </c>
      <c r="O67" s="59">
        <f>I67/9*12</f>
        <v>324</v>
      </c>
    </row>
    <row r="68" spans="1:15" ht="27" x14ac:dyDescent="0.3">
      <c r="A68" s="67" t="s">
        <v>339</v>
      </c>
      <c r="B68" s="67" t="s">
        <v>300</v>
      </c>
      <c r="C68" s="68" t="s">
        <v>364</v>
      </c>
      <c r="D68" s="49">
        <f t="shared" si="7"/>
        <v>25823</v>
      </c>
      <c r="E68" s="59">
        <v>25823</v>
      </c>
      <c r="F68" s="59">
        <v>0</v>
      </c>
      <c r="G68" s="49">
        <f t="shared" si="8"/>
        <v>18074</v>
      </c>
      <c r="H68" s="60">
        <v>18074</v>
      </c>
      <c r="I68" s="60">
        <v>0</v>
      </c>
      <c r="J68" s="52">
        <f t="shared" si="9"/>
        <v>27019</v>
      </c>
      <c r="K68" s="60">
        <v>27019</v>
      </c>
      <c r="L68" s="60">
        <v>0</v>
      </c>
      <c r="M68" s="49">
        <f t="shared" si="10"/>
        <v>26106.888888888887</v>
      </c>
      <c r="N68" s="59">
        <f>H68/9*13</f>
        <v>26106.888888888887</v>
      </c>
      <c r="O68" s="59">
        <f>I68/9*12</f>
        <v>0</v>
      </c>
    </row>
    <row r="69" spans="1:15" ht="40.200000000000003" x14ac:dyDescent="0.3">
      <c r="A69" s="69" t="s">
        <v>298</v>
      </c>
      <c r="B69" s="69" t="s">
        <v>317</v>
      </c>
      <c r="C69" s="70" t="s">
        <v>365</v>
      </c>
      <c r="D69" s="49">
        <f t="shared" si="7"/>
        <v>32462</v>
      </c>
      <c r="E69" s="49">
        <f>E70</f>
        <v>15879</v>
      </c>
      <c r="F69" s="49">
        <f>F70</f>
        <v>16583</v>
      </c>
      <c r="G69" s="49">
        <f t="shared" si="8"/>
        <v>21041</v>
      </c>
      <c r="H69" s="52">
        <f>H70</f>
        <v>7569</v>
      </c>
      <c r="I69" s="52">
        <f>I70</f>
        <v>13472</v>
      </c>
      <c r="J69" s="52">
        <f t="shared" si="9"/>
        <v>39105</v>
      </c>
      <c r="K69" s="52">
        <f>K70</f>
        <v>20914</v>
      </c>
      <c r="L69" s="52">
        <f>L70</f>
        <v>18191</v>
      </c>
      <c r="M69" s="49">
        <f t="shared" si="10"/>
        <v>37736.666666666672</v>
      </c>
      <c r="N69" s="49">
        <f>N70</f>
        <v>19774</v>
      </c>
      <c r="O69" s="49">
        <f>O70</f>
        <v>17962.666666666668</v>
      </c>
    </row>
    <row r="70" spans="1:15" x14ac:dyDescent="0.3">
      <c r="A70" s="67" t="s">
        <v>298</v>
      </c>
      <c r="B70" s="67" t="s">
        <v>290</v>
      </c>
      <c r="C70" s="68" t="s">
        <v>366</v>
      </c>
      <c r="D70" s="49">
        <f t="shared" si="7"/>
        <v>32462</v>
      </c>
      <c r="E70" s="59">
        <v>15879</v>
      </c>
      <c r="F70" s="59">
        <v>16583</v>
      </c>
      <c r="G70" s="49">
        <f t="shared" si="8"/>
        <v>21041</v>
      </c>
      <c r="H70" s="60">
        <v>7569</v>
      </c>
      <c r="I70" s="60">
        <v>13472</v>
      </c>
      <c r="J70" s="52">
        <f t="shared" si="9"/>
        <v>39105</v>
      </c>
      <c r="K70" s="60">
        <v>20914</v>
      </c>
      <c r="L70" s="60">
        <v>18191</v>
      </c>
      <c r="M70" s="49">
        <f t="shared" si="10"/>
        <v>37736.666666666672</v>
      </c>
      <c r="N70" s="59">
        <f>H70/9*14+8000</f>
        <v>19774</v>
      </c>
      <c r="O70" s="59">
        <f>I70/9*12</f>
        <v>17962.666666666668</v>
      </c>
    </row>
    <row r="71" spans="1:15" x14ac:dyDescent="0.3">
      <c r="A71" s="69" t="s">
        <v>300</v>
      </c>
      <c r="B71" s="69" t="s">
        <v>317</v>
      </c>
      <c r="C71" s="70" t="s">
        <v>261</v>
      </c>
      <c r="D71" s="49">
        <f t="shared" si="7"/>
        <v>1922</v>
      </c>
      <c r="E71" s="49">
        <f>E72+E73+E74+E76+E75</f>
        <v>1922</v>
      </c>
      <c r="F71" s="49">
        <v>0</v>
      </c>
      <c r="G71" s="49">
        <f t="shared" si="8"/>
        <v>363</v>
      </c>
      <c r="H71" s="52">
        <f>SUM(H72:H76)</f>
        <v>363</v>
      </c>
      <c r="I71" s="52">
        <f>SUM(I72:I76)</f>
        <v>0</v>
      </c>
      <c r="J71" s="52">
        <f t="shared" si="9"/>
        <v>573</v>
      </c>
      <c r="K71" s="52">
        <f>K72+K73+K74+K76+K75</f>
        <v>573</v>
      </c>
      <c r="L71" s="52">
        <f>L72+L73+L74+L76+L75</f>
        <v>0</v>
      </c>
      <c r="M71" s="49">
        <f t="shared" si="10"/>
        <v>573</v>
      </c>
      <c r="N71" s="49">
        <f>N72+N73+N74+N76</f>
        <v>573</v>
      </c>
      <c r="O71" s="49">
        <f>O72+O73+O74+O76</f>
        <v>0</v>
      </c>
    </row>
    <row r="72" spans="1:15" ht="27" x14ac:dyDescent="0.3">
      <c r="A72" s="72" t="s">
        <v>300</v>
      </c>
      <c r="B72" s="72" t="s">
        <v>290</v>
      </c>
      <c r="C72" s="66" t="s">
        <v>367</v>
      </c>
      <c r="D72" s="49">
        <f t="shared" si="7"/>
        <v>0</v>
      </c>
      <c r="E72" s="59">
        <v>0</v>
      </c>
      <c r="F72" s="59">
        <v>0</v>
      </c>
      <c r="G72" s="49">
        <f t="shared" si="8"/>
        <v>0</v>
      </c>
      <c r="H72" s="60">
        <v>0</v>
      </c>
      <c r="I72" s="60">
        <v>0</v>
      </c>
      <c r="J72" s="52">
        <f t="shared" si="9"/>
        <v>0</v>
      </c>
      <c r="K72" s="60">
        <v>0</v>
      </c>
      <c r="L72" s="60">
        <v>0</v>
      </c>
      <c r="M72" s="49">
        <f t="shared" si="10"/>
        <v>0</v>
      </c>
      <c r="N72" s="59">
        <f t="shared" ref="N72:O75" si="13">H72/9*12</f>
        <v>0</v>
      </c>
      <c r="O72" s="59">
        <f t="shared" si="13"/>
        <v>0</v>
      </c>
    </row>
    <row r="73" spans="1:15" x14ac:dyDescent="0.3">
      <c r="A73" s="72" t="s">
        <v>300</v>
      </c>
      <c r="B73" s="72" t="s">
        <v>316</v>
      </c>
      <c r="C73" s="66" t="s">
        <v>368</v>
      </c>
      <c r="D73" s="49">
        <f t="shared" si="7"/>
        <v>0</v>
      </c>
      <c r="E73" s="59">
        <v>0</v>
      </c>
      <c r="F73" s="59">
        <v>0</v>
      </c>
      <c r="G73" s="49">
        <f t="shared" si="8"/>
        <v>0</v>
      </c>
      <c r="H73" s="60">
        <v>0</v>
      </c>
      <c r="I73" s="60">
        <v>0</v>
      </c>
      <c r="J73" s="52">
        <f t="shared" si="9"/>
        <v>0</v>
      </c>
      <c r="K73" s="60">
        <v>0</v>
      </c>
      <c r="L73" s="60">
        <v>0</v>
      </c>
      <c r="M73" s="49">
        <f t="shared" si="10"/>
        <v>0</v>
      </c>
      <c r="N73" s="59">
        <f t="shared" si="13"/>
        <v>0</v>
      </c>
      <c r="O73" s="59">
        <f t="shared" si="13"/>
        <v>0</v>
      </c>
    </row>
    <row r="74" spans="1:15" x14ac:dyDescent="0.3">
      <c r="A74" s="72" t="s">
        <v>300</v>
      </c>
      <c r="B74" s="72" t="s">
        <v>335</v>
      </c>
      <c r="C74" s="66" t="s">
        <v>369</v>
      </c>
      <c r="D74" s="49">
        <f t="shared" si="7"/>
        <v>0</v>
      </c>
      <c r="E74" s="59">
        <v>0</v>
      </c>
      <c r="F74" s="59">
        <v>0</v>
      </c>
      <c r="G74" s="49">
        <f t="shared" si="8"/>
        <v>0</v>
      </c>
      <c r="H74" s="60">
        <v>0</v>
      </c>
      <c r="I74" s="60">
        <v>0</v>
      </c>
      <c r="J74" s="52">
        <f t="shared" si="9"/>
        <v>0</v>
      </c>
      <c r="K74" s="60">
        <v>0</v>
      </c>
      <c r="L74" s="60">
        <v>0</v>
      </c>
      <c r="M74" s="49">
        <f t="shared" si="10"/>
        <v>0</v>
      </c>
      <c r="N74" s="59">
        <f t="shared" si="13"/>
        <v>0</v>
      </c>
      <c r="O74" s="59">
        <f t="shared" si="13"/>
        <v>0</v>
      </c>
    </row>
    <row r="75" spans="1:15" ht="40.200000000000003" x14ac:dyDescent="0.3">
      <c r="A75" s="72" t="s">
        <v>300</v>
      </c>
      <c r="B75" s="72" t="s">
        <v>339</v>
      </c>
      <c r="C75" s="66" t="s">
        <v>370</v>
      </c>
      <c r="D75" s="49">
        <f t="shared" si="7"/>
        <v>1348</v>
      </c>
      <c r="E75" s="59">
        <v>1348</v>
      </c>
      <c r="F75" s="59">
        <v>0</v>
      </c>
      <c r="G75" s="49">
        <f t="shared" si="8"/>
        <v>0</v>
      </c>
      <c r="H75" s="60">
        <v>0</v>
      </c>
      <c r="I75" s="60">
        <v>0</v>
      </c>
      <c r="J75" s="52">
        <f t="shared" si="9"/>
        <v>0</v>
      </c>
      <c r="K75" s="60">
        <v>0</v>
      </c>
      <c r="L75" s="60">
        <v>0</v>
      </c>
      <c r="M75" s="49">
        <f t="shared" si="10"/>
        <v>0</v>
      </c>
      <c r="N75" s="59">
        <f t="shared" si="13"/>
        <v>0</v>
      </c>
      <c r="O75" s="59">
        <f t="shared" si="13"/>
        <v>0</v>
      </c>
    </row>
    <row r="76" spans="1:15" ht="27" x14ac:dyDescent="0.3">
      <c r="A76" s="72" t="s">
        <v>300</v>
      </c>
      <c r="B76" s="72" t="s">
        <v>300</v>
      </c>
      <c r="C76" s="66" t="s">
        <v>371</v>
      </c>
      <c r="D76" s="49">
        <f t="shared" si="7"/>
        <v>574</v>
      </c>
      <c r="E76" s="59">
        <v>574</v>
      </c>
      <c r="F76" s="59">
        <v>0</v>
      </c>
      <c r="G76" s="49">
        <f t="shared" si="8"/>
        <v>363</v>
      </c>
      <c r="H76" s="60">
        <v>363</v>
      </c>
      <c r="I76" s="60">
        <v>0</v>
      </c>
      <c r="J76" s="52">
        <f t="shared" si="9"/>
        <v>573</v>
      </c>
      <c r="K76" s="60">
        <v>573</v>
      </c>
      <c r="L76" s="60">
        <v>0</v>
      </c>
      <c r="M76" s="49">
        <f t="shared" si="10"/>
        <v>573</v>
      </c>
      <c r="N76" s="59">
        <v>573</v>
      </c>
      <c r="O76" s="59">
        <f>I76/9*12</f>
        <v>0</v>
      </c>
    </row>
    <row r="77" spans="1:15" x14ac:dyDescent="0.3">
      <c r="A77" s="73" t="s">
        <v>347</v>
      </c>
      <c r="B77" s="73" t="s">
        <v>317</v>
      </c>
      <c r="C77" s="57" t="s">
        <v>262</v>
      </c>
      <c r="D77" s="49">
        <f t="shared" si="7"/>
        <v>39250</v>
      </c>
      <c r="E77" s="49">
        <f>E78+E79+E80+E81</f>
        <v>37832</v>
      </c>
      <c r="F77" s="49">
        <f>F78+F79+F80+F81</f>
        <v>1418</v>
      </c>
      <c r="G77" s="49">
        <f t="shared" si="8"/>
        <v>24172</v>
      </c>
      <c r="H77" s="52">
        <f>SUM(H78:H81)</f>
        <v>23061</v>
      </c>
      <c r="I77" s="52">
        <f>SUM(I78:I81)</f>
        <v>1111</v>
      </c>
      <c r="J77" s="52">
        <f t="shared" si="9"/>
        <v>39770</v>
      </c>
      <c r="K77" s="52">
        <f>K78+K79+K80+K81</f>
        <v>38283</v>
      </c>
      <c r="L77" s="52">
        <f>L78+L79+L80+L81</f>
        <v>1487</v>
      </c>
      <c r="M77" s="49">
        <f t="shared" si="10"/>
        <v>39398</v>
      </c>
      <c r="N77" s="49">
        <f>N78+N79+N80+N81</f>
        <v>38015.333333333336</v>
      </c>
      <c r="O77" s="49">
        <f>O78+O79+O80+O81</f>
        <v>1382.6666666666665</v>
      </c>
    </row>
    <row r="78" spans="1:15" x14ac:dyDescent="0.3">
      <c r="A78" s="72" t="s">
        <v>347</v>
      </c>
      <c r="B78" s="72" t="s">
        <v>290</v>
      </c>
      <c r="C78" s="66" t="s">
        <v>372</v>
      </c>
      <c r="D78" s="49">
        <f t="shared" si="7"/>
        <v>2587</v>
      </c>
      <c r="E78" s="59">
        <v>1693</v>
      </c>
      <c r="F78" s="59">
        <v>894</v>
      </c>
      <c r="G78" s="49">
        <f t="shared" si="8"/>
        <v>1836</v>
      </c>
      <c r="H78" s="60">
        <v>1069</v>
      </c>
      <c r="I78" s="60">
        <v>767</v>
      </c>
      <c r="J78" s="52">
        <f t="shared" si="9"/>
        <v>2617</v>
      </c>
      <c r="K78" s="60">
        <v>1693</v>
      </c>
      <c r="L78" s="60">
        <v>924</v>
      </c>
      <c r="M78" s="49">
        <f t="shared" si="10"/>
        <v>2349.333333333333</v>
      </c>
      <c r="N78" s="59">
        <f>H78/9*12</f>
        <v>1425.3333333333333</v>
      </c>
      <c r="O78" s="59">
        <v>924</v>
      </c>
    </row>
    <row r="79" spans="1:15" ht="27" x14ac:dyDescent="0.3">
      <c r="A79" s="72" t="s">
        <v>347</v>
      </c>
      <c r="B79" s="72" t="s">
        <v>292</v>
      </c>
      <c r="C79" s="66" t="s">
        <v>373</v>
      </c>
      <c r="D79" s="49">
        <f t="shared" si="7"/>
        <v>1774</v>
      </c>
      <c r="E79" s="59">
        <v>1250</v>
      </c>
      <c r="F79" s="59">
        <v>524</v>
      </c>
      <c r="G79" s="49">
        <f t="shared" si="8"/>
        <v>1796</v>
      </c>
      <c r="H79" s="60">
        <v>1452</v>
      </c>
      <c r="I79" s="60">
        <v>344</v>
      </c>
      <c r="J79" s="52">
        <f t="shared" si="9"/>
        <v>2263</v>
      </c>
      <c r="K79" s="60">
        <v>1700</v>
      </c>
      <c r="L79" s="60">
        <v>563</v>
      </c>
      <c r="M79" s="49">
        <f t="shared" si="10"/>
        <v>2158.6666666666665</v>
      </c>
      <c r="N79" s="59">
        <v>1700</v>
      </c>
      <c r="O79" s="59">
        <f>I79/9*12</f>
        <v>458.66666666666663</v>
      </c>
    </row>
    <row r="80" spans="1:15" x14ac:dyDescent="0.3">
      <c r="A80" s="72" t="s">
        <v>347</v>
      </c>
      <c r="B80" s="72" t="s">
        <v>335</v>
      </c>
      <c r="C80" s="66" t="s">
        <v>374</v>
      </c>
      <c r="D80" s="49">
        <f t="shared" si="7"/>
        <v>34889</v>
      </c>
      <c r="E80" s="59">
        <v>34889</v>
      </c>
      <c r="F80" s="59">
        <v>0</v>
      </c>
      <c r="G80" s="49">
        <f t="shared" si="8"/>
        <v>20540</v>
      </c>
      <c r="H80" s="60">
        <v>20540</v>
      </c>
      <c r="I80" s="60">
        <v>0</v>
      </c>
      <c r="J80" s="52">
        <f t="shared" si="9"/>
        <v>34890</v>
      </c>
      <c r="K80" s="60">
        <v>34890</v>
      </c>
      <c r="L80" s="60">
        <v>0</v>
      </c>
      <c r="M80" s="49">
        <f t="shared" si="10"/>
        <v>34890</v>
      </c>
      <c r="N80" s="59">
        <v>34890</v>
      </c>
      <c r="O80" s="59">
        <f>I80/9*12</f>
        <v>0</v>
      </c>
    </row>
    <row r="81" spans="1:15" ht="27" x14ac:dyDescent="0.3">
      <c r="A81" s="72" t="s">
        <v>347</v>
      </c>
      <c r="B81" s="72" t="s">
        <v>296</v>
      </c>
      <c r="C81" s="66" t="s">
        <v>375</v>
      </c>
      <c r="D81" s="49">
        <f t="shared" si="7"/>
        <v>0</v>
      </c>
      <c r="E81" s="59">
        <v>0</v>
      </c>
      <c r="F81" s="59">
        <v>0</v>
      </c>
      <c r="G81" s="49">
        <f t="shared" si="8"/>
        <v>0</v>
      </c>
      <c r="H81" s="60">
        <v>0</v>
      </c>
      <c r="I81" s="60">
        <v>0</v>
      </c>
      <c r="J81" s="52">
        <f t="shared" si="9"/>
        <v>0</v>
      </c>
      <c r="K81" s="60">
        <v>0</v>
      </c>
      <c r="L81" s="60">
        <v>0</v>
      </c>
      <c r="M81" s="49">
        <f t="shared" si="10"/>
        <v>0</v>
      </c>
      <c r="N81" s="59">
        <f>H81/9*12</f>
        <v>0</v>
      </c>
      <c r="O81" s="59">
        <f>I81/9*12</f>
        <v>0</v>
      </c>
    </row>
    <row r="82" spans="1:15" ht="27" x14ac:dyDescent="0.3">
      <c r="A82" s="73" t="s">
        <v>302</v>
      </c>
      <c r="B82" s="73" t="s">
        <v>317</v>
      </c>
      <c r="C82" s="57" t="s">
        <v>376</v>
      </c>
      <c r="D82" s="49">
        <f t="shared" si="7"/>
        <v>4045</v>
      </c>
      <c r="E82" s="49">
        <f>E83+E85+E86+E84</f>
        <v>1500</v>
      </c>
      <c r="F82" s="49">
        <f>F83+F85+F86+F84</f>
        <v>2545</v>
      </c>
      <c r="G82" s="49">
        <f t="shared" si="8"/>
        <v>2577</v>
      </c>
      <c r="H82" s="52">
        <f>SUM(H83:H86)</f>
        <v>1280</v>
      </c>
      <c r="I82" s="52">
        <f>SUM(I83:I86)</f>
        <v>1297</v>
      </c>
      <c r="J82" s="52">
        <f t="shared" si="9"/>
        <v>4213</v>
      </c>
      <c r="K82" s="52">
        <f>K83+K85+K86+K84</f>
        <v>1900</v>
      </c>
      <c r="L82" s="52">
        <f>L83+L85+L86</f>
        <v>2313</v>
      </c>
      <c r="M82" s="49">
        <f t="shared" si="10"/>
        <v>3726.2222222222222</v>
      </c>
      <c r="N82" s="49">
        <f>N83+N85+N86+N84</f>
        <v>1900</v>
      </c>
      <c r="O82" s="49">
        <f>O83+O85+O86</f>
        <v>1826.2222222222222</v>
      </c>
    </row>
    <row r="83" spans="1:15" x14ac:dyDescent="0.3">
      <c r="A83" s="72" t="s">
        <v>302</v>
      </c>
      <c r="B83" s="72" t="s">
        <v>290</v>
      </c>
      <c r="C83" s="66" t="s">
        <v>263</v>
      </c>
      <c r="D83" s="49">
        <f t="shared" si="7"/>
        <v>2633</v>
      </c>
      <c r="E83" s="59">
        <v>950</v>
      </c>
      <c r="F83" s="59">
        <v>1683</v>
      </c>
      <c r="G83" s="49">
        <f t="shared" si="8"/>
        <v>2152</v>
      </c>
      <c r="H83" s="60">
        <v>1280</v>
      </c>
      <c r="I83" s="60">
        <v>872</v>
      </c>
      <c r="J83" s="52">
        <f t="shared" si="9"/>
        <v>2979</v>
      </c>
      <c r="K83" s="60">
        <v>1429</v>
      </c>
      <c r="L83" s="60">
        <v>1550</v>
      </c>
      <c r="M83" s="49">
        <f t="shared" si="10"/>
        <v>2688.5555555555557</v>
      </c>
      <c r="N83" s="59">
        <v>1429</v>
      </c>
      <c r="O83" s="59">
        <f>I83/9*13</f>
        <v>1259.5555555555554</v>
      </c>
    </row>
    <row r="84" spans="1:15" x14ac:dyDescent="0.3">
      <c r="A84" s="72" t="s">
        <v>302</v>
      </c>
      <c r="B84" s="72" t="s">
        <v>316</v>
      </c>
      <c r="C84" s="66" t="s">
        <v>377</v>
      </c>
      <c r="D84" s="49">
        <f t="shared" si="7"/>
        <v>550</v>
      </c>
      <c r="E84" s="59">
        <v>550</v>
      </c>
      <c r="F84" s="59">
        <v>0</v>
      </c>
      <c r="G84" s="49">
        <f t="shared" si="8"/>
        <v>0</v>
      </c>
      <c r="H84" s="60">
        <v>0</v>
      </c>
      <c r="I84" s="60">
        <v>0</v>
      </c>
      <c r="J84" s="52">
        <f t="shared" si="9"/>
        <v>471</v>
      </c>
      <c r="K84" s="60">
        <v>471</v>
      </c>
      <c r="L84" s="60">
        <v>0</v>
      </c>
      <c r="M84" s="49">
        <f t="shared" si="10"/>
        <v>471</v>
      </c>
      <c r="N84" s="59">
        <v>471</v>
      </c>
      <c r="O84" s="59">
        <v>0</v>
      </c>
    </row>
    <row r="85" spans="1:15" ht="40.200000000000003" x14ac:dyDescent="0.3">
      <c r="A85" s="72" t="s">
        <v>302</v>
      </c>
      <c r="B85" s="72" t="s">
        <v>335</v>
      </c>
      <c r="C85" s="74" t="s">
        <v>378</v>
      </c>
      <c r="D85" s="49">
        <f t="shared" si="7"/>
        <v>0</v>
      </c>
      <c r="E85" s="59">
        <v>0</v>
      </c>
      <c r="F85" s="59">
        <v>0</v>
      </c>
      <c r="G85" s="49">
        <f t="shared" si="8"/>
        <v>0</v>
      </c>
      <c r="H85" s="60">
        <v>0</v>
      </c>
      <c r="I85" s="60">
        <v>0</v>
      </c>
      <c r="J85" s="52">
        <f t="shared" si="9"/>
        <v>0</v>
      </c>
      <c r="K85" s="60">
        <v>0</v>
      </c>
      <c r="L85" s="60">
        <v>0</v>
      </c>
      <c r="M85" s="49">
        <f t="shared" si="10"/>
        <v>0</v>
      </c>
      <c r="N85" s="59">
        <f>H85/9*12</f>
        <v>0</v>
      </c>
      <c r="O85" s="59"/>
    </row>
    <row r="86" spans="1:15" ht="27" x14ac:dyDescent="0.3">
      <c r="A86" s="72" t="s">
        <v>302</v>
      </c>
      <c r="B86" s="72" t="s">
        <v>294</v>
      </c>
      <c r="C86" s="74" t="s">
        <v>379</v>
      </c>
      <c r="D86" s="49">
        <f t="shared" si="7"/>
        <v>862</v>
      </c>
      <c r="E86" s="59">
        <v>0</v>
      </c>
      <c r="F86" s="59">
        <v>862</v>
      </c>
      <c r="G86" s="49">
        <f t="shared" si="8"/>
        <v>425</v>
      </c>
      <c r="H86" s="60">
        <v>0</v>
      </c>
      <c r="I86" s="60">
        <v>425</v>
      </c>
      <c r="J86" s="52">
        <f t="shared" si="9"/>
        <v>763</v>
      </c>
      <c r="K86" s="60">
        <v>0</v>
      </c>
      <c r="L86" s="60">
        <v>763</v>
      </c>
      <c r="M86" s="49">
        <f t="shared" si="10"/>
        <v>566.66666666666663</v>
      </c>
      <c r="N86" s="59">
        <f>H86/9*12</f>
        <v>0</v>
      </c>
      <c r="O86" s="59">
        <f>I86/9*12</f>
        <v>566.66666666666663</v>
      </c>
    </row>
    <row r="87" spans="1:15" ht="40.200000000000003" x14ac:dyDescent="0.3">
      <c r="A87" s="73" t="s">
        <v>306</v>
      </c>
      <c r="B87" s="73" t="s">
        <v>317</v>
      </c>
      <c r="C87" s="75" t="s">
        <v>264</v>
      </c>
      <c r="D87" s="49">
        <f t="shared" si="7"/>
        <v>192</v>
      </c>
      <c r="E87" s="49">
        <f>SUM(E88)</f>
        <v>42</v>
      </c>
      <c r="F87" s="49">
        <f>SUM(F88)</f>
        <v>150</v>
      </c>
      <c r="G87" s="49">
        <f t="shared" si="8"/>
        <v>794</v>
      </c>
      <c r="H87" s="52">
        <f>SUM(H88)</f>
        <v>34</v>
      </c>
      <c r="I87" s="52">
        <f>SUM(I88)</f>
        <v>760</v>
      </c>
      <c r="J87" s="52">
        <f t="shared" si="9"/>
        <v>1314</v>
      </c>
      <c r="K87" s="52">
        <f>SUM(K88)</f>
        <v>43</v>
      </c>
      <c r="L87" s="52">
        <f>SUM(L88)</f>
        <v>1271</v>
      </c>
      <c r="M87" s="49">
        <f t="shared" si="10"/>
        <v>1058.6666666666665</v>
      </c>
      <c r="N87" s="49">
        <f>SUM(N88)</f>
        <v>45.333333333333329</v>
      </c>
      <c r="O87" s="49">
        <f>SUM(O88)</f>
        <v>1013.3333333333333</v>
      </c>
    </row>
    <row r="88" spans="1:15" ht="40.200000000000003" x14ac:dyDescent="0.3">
      <c r="A88" s="72" t="s">
        <v>306</v>
      </c>
      <c r="B88" s="72" t="s">
        <v>290</v>
      </c>
      <c r="C88" s="74" t="s">
        <v>380</v>
      </c>
      <c r="D88" s="49">
        <f t="shared" si="7"/>
        <v>192</v>
      </c>
      <c r="E88" s="59">
        <v>42</v>
      </c>
      <c r="F88" s="59">
        <v>150</v>
      </c>
      <c r="G88" s="49">
        <f t="shared" si="8"/>
        <v>794</v>
      </c>
      <c r="H88" s="60">
        <v>34</v>
      </c>
      <c r="I88" s="60">
        <v>760</v>
      </c>
      <c r="J88" s="52">
        <f t="shared" si="9"/>
        <v>1314</v>
      </c>
      <c r="K88" s="60">
        <v>43</v>
      </c>
      <c r="L88" s="60">
        <v>1271</v>
      </c>
      <c r="M88" s="49">
        <f t="shared" si="10"/>
        <v>1058.6666666666665</v>
      </c>
      <c r="N88" s="59">
        <f>H88/9*12</f>
        <v>45.333333333333329</v>
      </c>
      <c r="O88" s="59">
        <f>I88/9*12</f>
        <v>1013.3333333333333</v>
      </c>
    </row>
    <row r="89" spans="1:15" ht="79.8" x14ac:dyDescent="0.3">
      <c r="A89" s="73" t="s">
        <v>308</v>
      </c>
      <c r="B89" s="73" t="s">
        <v>317</v>
      </c>
      <c r="C89" s="75" t="s">
        <v>381</v>
      </c>
      <c r="D89" s="49">
        <f t="shared" si="7"/>
        <v>18600</v>
      </c>
      <c r="E89" s="49">
        <f>SUM(E90)</f>
        <v>18000</v>
      </c>
      <c r="F89" s="49">
        <f>F90+F91</f>
        <v>600</v>
      </c>
      <c r="G89" s="49">
        <f t="shared" si="8"/>
        <v>38441</v>
      </c>
      <c r="H89" s="52">
        <f>H90+H91</f>
        <v>37939</v>
      </c>
      <c r="I89" s="52">
        <f>I90+I91</f>
        <v>502</v>
      </c>
      <c r="J89" s="52">
        <f t="shared" si="9"/>
        <v>44762</v>
      </c>
      <c r="K89" s="52">
        <f>K90+K91</f>
        <v>44062</v>
      </c>
      <c r="L89" s="52">
        <f>L90+L91</f>
        <v>700</v>
      </c>
      <c r="M89" s="49">
        <f t="shared" si="10"/>
        <v>44762</v>
      </c>
      <c r="N89" s="49">
        <f>N90+N91</f>
        <v>44062</v>
      </c>
      <c r="O89" s="49">
        <f>O90+O91</f>
        <v>700</v>
      </c>
    </row>
    <row r="90" spans="1:15" ht="66.599999999999994" x14ac:dyDescent="0.3">
      <c r="A90" s="72" t="s">
        <v>308</v>
      </c>
      <c r="B90" s="72" t="s">
        <v>290</v>
      </c>
      <c r="C90" s="74" t="s">
        <v>382</v>
      </c>
      <c r="D90" s="49">
        <f t="shared" si="7"/>
        <v>18000</v>
      </c>
      <c r="E90" s="59">
        <v>18000</v>
      </c>
      <c r="F90" s="59">
        <v>0</v>
      </c>
      <c r="G90" s="49">
        <f t="shared" si="8"/>
        <v>14999</v>
      </c>
      <c r="H90" s="60">
        <v>14999</v>
      </c>
      <c r="I90" s="60">
        <v>0</v>
      </c>
      <c r="J90" s="52">
        <f t="shared" si="9"/>
        <v>18000</v>
      </c>
      <c r="K90" s="60">
        <v>18000</v>
      </c>
      <c r="L90" s="60">
        <v>0</v>
      </c>
      <c r="M90" s="49">
        <f t="shared" si="10"/>
        <v>18000</v>
      </c>
      <c r="N90" s="59">
        <v>18000</v>
      </c>
      <c r="O90" s="59">
        <f>I90/9*12</f>
        <v>0</v>
      </c>
    </row>
    <row r="91" spans="1:15" ht="40.200000000000003" x14ac:dyDescent="0.3">
      <c r="A91" s="72" t="s">
        <v>308</v>
      </c>
      <c r="B91" s="72" t="s">
        <v>292</v>
      </c>
      <c r="C91" s="74" t="s">
        <v>383</v>
      </c>
      <c r="D91" s="49">
        <f t="shared" si="7"/>
        <v>600</v>
      </c>
      <c r="E91" s="59">
        <v>0</v>
      </c>
      <c r="F91" s="59">
        <v>600</v>
      </c>
      <c r="G91" s="49">
        <f t="shared" si="8"/>
        <v>23442</v>
      </c>
      <c r="H91" s="60">
        <v>22940</v>
      </c>
      <c r="I91" s="60">
        <v>502</v>
      </c>
      <c r="J91" s="52">
        <f t="shared" si="9"/>
        <v>26762</v>
      </c>
      <c r="K91" s="60">
        <v>26062</v>
      </c>
      <c r="L91" s="60">
        <v>700</v>
      </c>
      <c r="M91" s="49">
        <f t="shared" si="10"/>
        <v>26762</v>
      </c>
      <c r="N91" s="59">
        <v>26062</v>
      </c>
      <c r="O91" s="59">
        <v>700</v>
      </c>
    </row>
    <row r="92" spans="1:15" x14ac:dyDescent="0.3">
      <c r="A92" s="73" t="s">
        <v>384</v>
      </c>
      <c r="B92" s="73" t="s">
        <v>317</v>
      </c>
      <c r="C92" s="57" t="s">
        <v>385</v>
      </c>
      <c r="D92" s="49">
        <f>D33+D42+D44+D49+D56+D61+D64+D69+D71+D77+D82</f>
        <v>843040</v>
      </c>
      <c r="E92" s="49">
        <f>E33+E42+E44+E49+E56+E61+E64+E69+E71+E77+E82+E87+E89</f>
        <v>731350</v>
      </c>
      <c r="F92" s="49">
        <f>F33+F42+F44+F49+F56+F61+F64+F69+F71+F77+F82+F87+F89</f>
        <v>130482</v>
      </c>
      <c r="G92" s="49">
        <f t="shared" si="8"/>
        <v>635466</v>
      </c>
      <c r="H92" s="52">
        <f>H33+H42+H44+H49+H56+H61+H64+H69+H71+H77+H82+H87+H89</f>
        <v>489862</v>
      </c>
      <c r="I92" s="52">
        <f>I33+I42+I44+I49+I56+I61+I64+I69+I71+I77+I82+I87+I89</f>
        <v>145604</v>
      </c>
      <c r="J92" s="52">
        <f t="shared" si="9"/>
        <v>1029120</v>
      </c>
      <c r="K92" s="52">
        <f>K33+K42+K44+K49+K56+K61+K64+K69+K71+K77+K82+K87+K89</f>
        <v>785458</v>
      </c>
      <c r="L92" s="52">
        <f>L33+L42+L44+L49+L56+L61+L64+L69+L71+L77+L82+L87+L89</f>
        <v>243662</v>
      </c>
      <c r="M92" s="49">
        <f t="shared" si="10"/>
        <v>971681.3666666667</v>
      </c>
      <c r="N92" s="49">
        <f>N33+N42+N44+N49+N56+N61+N64+N69+N71+N77+N82+N87+N89</f>
        <v>761075.01111111115</v>
      </c>
      <c r="O92" s="49">
        <f>O33+O42+O44+O49+O56+O61+O64+O69+O71+O77+O82+O87+O89</f>
        <v>210606.35555555555</v>
      </c>
    </row>
    <row r="93" spans="1:15" x14ac:dyDescent="0.3">
      <c r="A93" s="1225" t="s">
        <v>386</v>
      </c>
      <c r="B93" s="1226"/>
      <c r="C93" s="1227"/>
      <c r="D93" s="49">
        <f>D30-D92</f>
        <v>-36198</v>
      </c>
      <c r="E93" s="49">
        <f>E30-E92</f>
        <v>-32453</v>
      </c>
      <c r="F93" s="49">
        <f>F30-F92</f>
        <v>-22537</v>
      </c>
      <c r="G93" s="49">
        <f t="shared" si="8"/>
        <v>44929</v>
      </c>
      <c r="H93" s="52">
        <f>H30-H92</f>
        <v>32375</v>
      </c>
      <c r="I93" s="52">
        <f>I30-I92</f>
        <v>12554</v>
      </c>
      <c r="J93" s="52">
        <f t="shared" si="9"/>
        <v>-71209</v>
      </c>
      <c r="K93" s="52">
        <f>K30-K92</f>
        <v>-44271</v>
      </c>
      <c r="L93" s="52">
        <f>L30-L92</f>
        <v>-26938</v>
      </c>
      <c r="M93" s="49">
        <f>N93+O93</f>
        <v>955.96666666652891</v>
      </c>
      <c r="N93" s="49">
        <f>K102+N30-N92</f>
        <v>55.988888888736255</v>
      </c>
      <c r="O93" s="49">
        <f>L102+O30-O92</f>
        <v>899.97777777779265</v>
      </c>
    </row>
    <row r="94" spans="1:15" x14ac:dyDescent="0.3">
      <c r="A94" s="1235" t="s">
        <v>387</v>
      </c>
      <c r="B94" s="1236"/>
      <c r="C94" s="1236"/>
      <c r="D94" s="1236"/>
      <c r="E94" s="1236"/>
      <c r="F94" s="1236"/>
      <c r="G94" s="1236"/>
      <c r="H94" s="1236"/>
      <c r="I94" s="1236"/>
      <c r="J94" s="1236"/>
      <c r="K94" s="1236"/>
      <c r="L94" s="1236"/>
      <c r="M94" s="1236"/>
      <c r="N94" s="1236"/>
      <c r="O94" s="1237"/>
    </row>
    <row r="95" spans="1:15" ht="30.75" customHeight="1" x14ac:dyDescent="0.3">
      <c r="A95" s="1225" t="s">
        <v>388</v>
      </c>
      <c r="B95" s="1226"/>
      <c r="C95" s="1227"/>
      <c r="D95" s="49">
        <f>SUM(E95:F95)</f>
        <v>54990</v>
      </c>
      <c r="E95" s="49">
        <f>-E93</f>
        <v>32453</v>
      </c>
      <c r="F95" s="49">
        <f>-F93</f>
        <v>22537</v>
      </c>
      <c r="G95" s="49">
        <f>SUM(H95:I95)</f>
        <v>-44929</v>
      </c>
      <c r="H95" s="52">
        <f>-H93</f>
        <v>-32375</v>
      </c>
      <c r="I95" s="52">
        <f>-I93</f>
        <v>-12554</v>
      </c>
      <c r="J95" s="52">
        <f>SUM(K95:L95)</f>
        <v>71209</v>
      </c>
      <c r="K95" s="52">
        <f>-K93</f>
        <v>44271</v>
      </c>
      <c r="L95" s="52">
        <f>-L93</f>
        <v>26938</v>
      </c>
      <c r="M95" s="49">
        <f>-M93</f>
        <v>-955.96666666652891</v>
      </c>
      <c r="N95" s="49">
        <f>-N93</f>
        <v>-55.988888888736255</v>
      </c>
      <c r="O95" s="49">
        <f>-O93</f>
        <v>-899.97777777779265</v>
      </c>
    </row>
    <row r="96" spans="1:15" ht="30.75" customHeight="1" x14ac:dyDescent="0.3">
      <c r="A96" s="1225" t="s">
        <v>389</v>
      </c>
      <c r="B96" s="1226"/>
      <c r="C96" s="1227"/>
      <c r="D96" s="49">
        <f t="shared" ref="D96:D102" si="14">SUM(E96:F96)</f>
        <v>11262</v>
      </c>
      <c r="E96" s="76">
        <v>0</v>
      </c>
      <c r="F96" s="76">
        <v>11262</v>
      </c>
      <c r="G96" s="49">
        <f t="shared" ref="G96:G102" si="15">SUM(H96:I96)</f>
        <v>10000</v>
      </c>
      <c r="H96" s="77">
        <v>0</v>
      </c>
      <c r="I96" s="78">
        <v>10000</v>
      </c>
      <c r="J96" s="52">
        <f t="shared" ref="J96:J102" si="16">SUM(K96:L96)</f>
        <v>23841</v>
      </c>
      <c r="K96" s="78">
        <v>8754</v>
      </c>
      <c r="L96" s="78">
        <v>15087</v>
      </c>
      <c r="M96" s="49">
        <f t="shared" ref="M96:M100" si="17">-M94</f>
        <v>0</v>
      </c>
      <c r="N96" s="76">
        <v>0</v>
      </c>
      <c r="O96" s="76">
        <v>10000</v>
      </c>
    </row>
    <row r="97" spans="1:15" ht="63.75" customHeight="1" x14ac:dyDescent="0.3">
      <c r="A97" s="1225" t="s">
        <v>390</v>
      </c>
      <c r="B97" s="1226"/>
      <c r="C97" s="1227"/>
      <c r="D97" s="49">
        <f t="shared" si="14"/>
        <v>-10000</v>
      </c>
      <c r="E97" s="76">
        <v>0</v>
      </c>
      <c r="F97" s="76">
        <v>-10000</v>
      </c>
      <c r="G97" s="49">
        <f t="shared" si="15"/>
        <v>-1668</v>
      </c>
      <c r="H97" s="78">
        <v>0</v>
      </c>
      <c r="I97" s="78">
        <v>-1668</v>
      </c>
      <c r="J97" s="52">
        <f t="shared" si="16"/>
        <v>-10000</v>
      </c>
      <c r="K97" s="78">
        <v>0</v>
      </c>
      <c r="L97" s="78">
        <v>-10000</v>
      </c>
      <c r="M97" s="49">
        <f t="shared" si="17"/>
        <v>955.96666666652891</v>
      </c>
      <c r="N97" s="76">
        <v>0</v>
      </c>
      <c r="O97" s="76">
        <v>-10000</v>
      </c>
    </row>
    <row r="98" spans="1:15" ht="63.75" customHeight="1" x14ac:dyDescent="0.3">
      <c r="A98" s="1225" t="s">
        <v>391</v>
      </c>
      <c r="B98" s="1226"/>
      <c r="C98" s="1227"/>
      <c r="D98" s="49">
        <f t="shared" si="14"/>
        <v>0</v>
      </c>
      <c r="E98" s="76">
        <v>0</v>
      </c>
      <c r="F98" s="76">
        <v>0</v>
      </c>
      <c r="G98" s="49">
        <f t="shared" si="15"/>
        <v>729</v>
      </c>
      <c r="H98" s="78">
        <v>0</v>
      </c>
      <c r="I98" s="78">
        <v>729</v>
      </c>
      <c r="J98" s="52">
        <f t="shared" si="16"/>
        <v>1241</v>
      </c>
      <c r="K98" s="78">
        <v>0</v>
      </c>
      <c r="L98" s="78">
        <v>1241</v>
      </c>
      <c r="M98" s="49">
        <f t="shared" si="17"/>
        <v>0</v>
      </c>
      <c r="N98" s="76">
        <v>0</v>
      </c>
      <c r="O98" s="76">
        <v>4429</v>
      </c>
    </row>
    <row r="99" spans="1:15" ht="63.75" customHeight="1" x14ac:dyDescent="0.3">
      <c r="A99" s="1225" t="s">
        <v>392</v>
      </c>
      <c r="B99" s="1226"/>
      <c r="C99" s="1227"/>
      <c r="D99" s="49">
        <f t="shared" si="14"/>
        <v>-2226</v>
      </c>
      <c r="E99" s="76">
        <v>-2226</v>
      </c>
      <c r="F99" s="76">
        <v>0</v>
      </c>
      <c r="G99" s="49">
        <f t="shared" si="15"/>
        <v>-4599</v>
      </c>
      <c r="H99" s="78">
        <v>-717</v>
      </c>
      <c r="I99" s="78">
        <v>-3882</v>
      </c>
      <c r="J99" s="52">
        <f t="shared" si="16"/>
        <v>-7142</v>
      </c>
      <c r="K99" s="78">
        <v>-956</v>
      </c>
      <c r="L99" s="78">
        <v>-6186</v>
      </c>
      <c r="M99" s="49">
        <f t="shared" si="17"/>
        <v>-955.96666666652891</v>
      </c>
      <c r="N99" s="76">
        <v>-956</v>
      </c>
      <c r="O99" s="76">
        <v>-5329</v>
      </c>
    </row>
    <row r="100" spans="1:15" ht="46.5" customHeight="1" x14ac:dyDescent="0.3">
      <c r="A100" s="1225" t="s">
        <v>393</v>
      </c>
      <c r="B100" s="1226"/>
      <c r="C100" s="1227"/>
      <c r="D100" s="49">
        <f t="shared" si="14"/>
        <v>0</v>
      </c>
      <c r="E100" s="76">
        <v>0</v>
      </c>
      <c r="F100" s="76">
        <v>0</v>
      </c>
      <c r="G100" s="49">
        <f t="shared" si="15"/>
        <v>-729</v>
      </c>
      <c r="H100" s="78">
        <v>-729</v>
      </c>
      <c r="I100" s="78">
        <v>0</v>
      </c>
      <c r="J100" s="52">
        <f t="shared" si="16"/>
        <v>-1500</v>
      </c>
      <c r="K100" s="78">
        <v>-1500</v>
      </c>
      <c r="L100" s="78">
        <v>0</v>
      </c>
      <c r="M100" s="49">
        <f t="shared" si="17"/>
        <v>0</v>
      </c>
      <c r="N100" s="76">
        <v>-4429</v>
      </c>
      <c r="O100" s="76">
        <v>0</v>
      </c>
    </row>
    <row r="101" spans="1:15" ht="45.75" customHeight="1" x14ac:dyDescent="0.3">
      <c r="A101" s="1232" t="s">
        <v>394</v>
      </c>
      <c r="B101" s="1233"/>
      <c r="C101" s="1234"/>
      <c r="D101" s="49">
        <f t="shared" si="14"/>
        <v>-113</v>
      </c>
      <c r="E101" s="76">
        <v>5409</v>
      </c>
      <c r="F101" s="76">
        <v>-5522</v>
      </c>
      <c r="G101" s="49">
        <f t="shared" si="15"/>
        <v>3882</v>
      </c>
      <c r="H101" s="78">
        <v>3882</v>
      </c>
      <c r="I101" s="78">
        <v>0</v>
      </c>
      <c r="J101" s="52">
        <f t="shared" si="16"/>
        <v>6186</v>
      </c>
      <c r="K101" s="78">
        <v>6186</v>
      </c>
      <c r="L101" s="78">
        <v>0</v>
      </c>
      <c r="M101" s="49">
        <f>-M99</f>
        <v>955.96666666652891</v>
      </c>
      <c r="N101" s="76">
        <v>5329</v>
      </c>
      <c r="O101" s="76">
        <v>0</v>
      </c>
    </row>
    <row r="102" spans="1:15" ht="33" customHeight="1" x14ac:dyDescent="0.3">
      <c r="A102" s="1225" t="s">
        <v>395</v>
      </c>
      <c r="B102" s="1226"/>
      <c r="C102" s="1227"/>
      <c r="D102" s="49">
        <f t="shared" si="14"/>
        <v>58582</v>
      </c>
      <c r="E102" s="76">
        <v>31786</v>
      </c>
      <c r="F102" s="76">
        <v>26796</v>
      </c>
      <c r="G102" s="49">
        <f t="shared" si="15"/>
        <v>-52544</v>
      </c>
      <c r="H102" s="78">
        <v>-34811</v>
      </c>
      <c r="I102" s="78">
        <v>-17733</v>
      </c>
      <c r="J102" s="52">
        <f t="shared" si="16"/>
        <v>58583</v>
      </c>
      <c r="K102" s="78">
        <v>31787</v>
      </c>
      <c r="L102" s="78">
        <v>26796</v>
      </c>
      <c r="M102" s="49">
        <f>-M100</f>
        <v>0</v>
      </c>
      <c r="N102" s="76">
        <v>56</v>
      </c>
      <c r="O102" s="76">
        <v>900</v>
      </c>
    </row>
    <row r="103" spans="1:15" ht="15.75" customHeight="1" x14ac:dyDescent="0.3">
      <c r="A103" s="1235" t="s">
        <v>396</v>
      </c>
      <c r="B103" s="1236"/>
      <c r="C103" s="1236"/>
      <c r="D103" s="1236"/>
      <c r="E103" s="1236"/>
      <c r="F103" s="1236"/>
      <c r="G103" s="1236"/>
      <c r="H103" s="1236"/>
      <c r="I103" s="1236"/>
      <c r="J103" s="1236"/>
      <c r="K103" s="1236"/>
      <c r="L103" s="1236"/>
      <c r="M103" s="1236"/>
      <c r="N103" s="1236"/>
      <c r="O103" s="1237"/>
    </row>
    <row r="104" spans="1:15" x14ac:dyDescent="0.3">
      <c r="A104" s="1225" t="s">
        <v>397</v>
      </c>
      <c r="B104" s="1226"/>
      <c r="C104" s="1227"/>
      <c r="D104" s="49">
        <f>E104+F104</f>
        <v>96499</v>
      </c>
      <c r="E104" s="59">
        <v>55816</v>
      </c>
      <c r="F104" s="59">
        <v>40683</v>
      </c>
      <c r="G104" s="49">
        <f t="shared" si="8"/>
        <v>70899</v>
      </c>
      <c r="H104" s="60">
        <v>39810</v>
      </c>
      <c r="I104" s="60">
        <v>31089</v>
      </c>
      <c r="J104" s="52">
        <f t="shared" si="9"/>
        <v>100804</v>
      </c>
      <c r="K104" s="60">
        <v>55848</v>
      </c>
      <c r="L104" s="60">
        <v>44956</v>
      </c>
      <c r="M104" s="49">
        <f t="shared" ref="M104:M112" si="18">N104+O104</f>
        <v>94532</v>
      </c>
      <c r="N104" s="59">
        <f t="shared" ref="N104:O106" si="19">H104/9*12</f>
        <v>53080</v>
      </c>
      <c r="O104" s="59">
        <f t="shared" si="19"/>
        <v>41452</v>
      </c>
    </row>
    <row r="105" spans="1:15" ht="32.25" customHeight="1" x14ac:dyDescent="0.3">
      <c r="A105" s="1225" t="s">
        <v>398</v>
      </c>
      <c r="B105" s="1226"/>
      <c r="C105" s="1227"/>
      <c r="D105" s="49">
        <f t="shared" ref="D105:D112" si="20">E105+F105</f>
        <v>103638</v>
      </c>
      <c r="E105" s="59">
        <v>50191</v>
      </c>
      <c r="F105" s="59">
        <v>53447</v>
      </c>
      <c r="G105" s="49">
        <f t="shared" si="8"/>
        <v>82294</v>
      </c>
      <c r="H105" s="60">
        <v>32413</v>
      </c>
      <c r="I105" s="60">
        <v>49881</v>
      </c>
      <c r="J105" s="52">
        <f t="shared" si="9"/>
        <v>202428</v>
      </c>
      <c r="K105" s="60">
        <v>56610</v>
      </c>
      <c r="L105" s="60">
        <v>145818</v>
      </c>
      <c r="M105" s="49">
        <f t="shared" si="18"/>
        <v>109725.33333333333</v>
      </c>
      <c r="N105" s="59">
        <f t="shared" si="19"/>
        <v>43217.333333333328</v>
      </c>
      <c r="O105" s="59">
        <f t="shared" si="19"/>
        <v>66508</v>
      </c>
    </row>
    <row r="106" spans="1:15" x14ac:dyDescent="0.3">
      <c r="A106" s="1225" t="s">
        <v>399</v>
      </c>
      <c r="B106" s="1226"/>
      <c r="C106" s="1227"/>
      <c r="D106" s="49">
        <f t="shared" si="20"/>
        <v>4476</v>
      </c>
      <c r="E106" s="59">
        <v>230</v>
      </c>
      <c r="F106" s="59">
        <v>4246</v>
      </c>
      <c r="G106" s="49">
        <f t="shared" si="8"/>
        <v>25609</v>
      </c>
      <c r="H106" s="60">
        <f>1477+19191</f>
        <v>20668</v>
      </c>
      <c r="I106" s="60">
        <f>66+4875</f>
        <v>4941</v>
      </c>
      <c r="J106" s="52">
        <f t="shared" si="9"/>
        <v>59998</v>
      </c>
      <c r="K106" s="60">
        <f>4557+47965</f>
        <v>52522</v>
      </c>
      <c r="L106" s="60">
        <f>188+7288</f>
        <v>7476</v>
      </c>
      <c r="M106" s="49">
        <f t="shared" si="18"/>
        <v>34145.333333333328</v>
      </c>
      <c r="N106" s="59">
        <f t="shared" si="19"/>
        <v>27557.333333333332</v>
      </c>
      <c r="O106" s="59">
        <f t="shared" si="19"/>
        <v>6588</v>
      </c>
    </row>
    <row r="107" spans="1:15" x14ac:dyDescent="0.3">
      <c r="A107" s="1231" t="s">
        <v>400</v>
      </c>
      <c r="B107" s="1226"/>
      <c r="C107" s="1227"/>
      <c r="D107" s="49">
        <f>E107+F107</f>
        <v>310865</v>
      </c>
      <c r="E107" s="59">
        <v>280791</v>
      </c>
      <c r="F107" s="59">
        <v>30074</v>
      </c>
      <c r="G107" s="49">
        <f>SUM(H107:I107)</f>
        <v>206074</v>
      </c>
      <c r="H107" s="60">
        <v>184617</v>
      </c>
      <c r="I107" s="60">
        <v>21457</v>
      </c>
      <c r="J107" s="52">
        <f t="shared" si="9"/>
        <v>319861</v>
      </c>
      <c r="K107" s="60">
        <v>289324</v>
      </c>
      <c r="L107" s="60">
        <v>30537</v>
      </c>
      <c r="M107" s="49">
        <f t="shared" si="18"/>
        <v>319861</v>
      </c>
      <c r="N107" s="59">
        <f>K107</f>
        <v>289324</v>
      </c>
      <c r="O107" s="59">
        <f>L107</f>
        <v>30537</v>
      </c>
    </row>
    <row r="108" spans="1:15" x14ac:dyDescent="0.3">
      <c r="A108" s="1225" t="s">
        <v>401</v>
      </c>
      <c r="B108" s="1226"/>
      <c r="C108" s="1227"/>
      <c r="D108" s="49">
        <f>E108+F108</f>
        <v>52240</v>
      </c>
      <c r="E108" s="59">
        <v>49287</v>
      </c>
      <c r="F108" s="59">
        <v>2953</v>
      </c>
      <c r="G108" s="49">
        <f>SUM(H108:I108)</f>
        <v>35376</v>
      </c>
      <c r="H108" s="60">
        <v>33110</v>
      </c>
      <c r="I108" s="60">
        <v>2266</v>
      </c>
      <c r="J108" s="52">
        <f t="shared" si="9"/>
        <v>58100</v>
      </c>
      <c r="K108" s="60">
        <v>54082</v>
      </c>
      <c r="L108" s="60">
        <v>4018</v>
      </c>
      <c r="M108" s="49">
        <f t="shared" si="18"/>
        <v>58100</v>
      </c>
      <c r="N108" s="59">
        <f>K108</f>
        <v>54082</v>
      </c>
      <c r="O108" s="59">
        <f>L108</f>
        <v>4018</v>
      </c>
    </row>
    <row r="109" spans="1:15" ht="51.75" customHeight="1" x14ac:dyDescent="0.3">
      <c r="A109" s="1225" t="s">
        <v>402</v>
      </c>
      <c r="B109" s="1226"/>
      <c r="C109" s="1227"/>
      <c r="D109" s="49">
        <f t="shared" si="20"/>
        <v>0</v>
      </c>
      <c r="E109" s="59">
        <v>0</v>
      </c>
      <c r="F109" s="59">
        <v>0</v>
      </c>
      <c r="G109" s="49">
        <v>0</v>
      </c>
      <c r="H109" s="60">
        <v>-729</v>
      </c>
      <c r="I109" s="60">
        <v>729</v>
      </c>
      <c r="J109" s="52">
        <v>0</v>
      </c>
      <c r="K109" s="60">
        <v>-1500</v>
      </c>
      <c r="L109" s="60">
        <v>1241</v>
      </c>
      <c r="M109" s="49">
        <f t="shared" si="18"/>
        <v>0</v>
      </c>
      <c r="N109" s="59">
        <v>-4429</v>
      </c>
      <c r="O109" s="59">
        <v>4429</v>
      </c>
    </row>
    <row r="110" spans="1:15" ht="48.75" customHeight="1" x14ac:dyDescent="0.3">
      <c r="A110" s="1225" t="s">
        <v>403</v>
      </c>
      <c r="B110" s="1226"/>
      <c r="C110" s="1227"/>
      <c r="D110" s="49">
        <f t="shared" si="20"/>
        <v>-113</v>
      </c>
      <c r="E110" s="59">
        <v>5409</v>
      </c>
      <c r="F110" s="59">
        <v>-5522</v>
      </c>
      <c r="G110" s="49">
        <v>0</v>
      </c>
      <c r="H110" s="60">
        <v>6186</v>
      </c>
      <c r="I110" s="60">
        <v>-6186</v>
      </c>
      <c r="J110" s="52">
        <v>0</v>
      </c>
      <c r="K110" s="60">
        <v>3882</v>
      </c>
      <c r="L110" s="60">
        <v>-3882</v>
      </c>
      <c r="M110" s="49">
        <f t="shared" si="18"/>
        <v>0</v>
      </c>
      <c r="N110" s="59">
        <v>5329</v>
      </c>
      <c r="O110" s="59">
        <v>-5329</v>
      </c>
    </row>
    <row r="111" spans="1:15" ht="49.5" customHeight="1" x14ac:dyDescent="0.3">
      <c r="A111" s="1225" t="s">
        <v>404</v>
      </c>
      <c r="B111" s="1226"/>
      <c r="C111" s="1227"/>
      <c r="D111" s="49">
        <f t="shared" si="20"/>
        <v>711728</v>
      </c>
      <c r="E111" s="59">
        <f>E92-E24</f>
        <v>583055</v>
      </c>
      <c r="F111" s="59">
        <f>F92-F24</f>
        <v>128673</v>
      </c>
      <c r="G111" s="49">
        <f t="shared" si="8"/>
        <v>552097</v>
      </c>
      <c r="H111" s="60">
        <f>H92-H24</f>
        <v>407741</v>
      </c>
      <c r="I111" s="60">
        <f>I92-I24</f>
        <v>144356</v>
      </c>
      <c r="J111" s="52">
        <f t="shared" si="9"/>
        <v>893632</v>
      </c>
      <c r="K111" s="60">
        <f>K92-K24</f>
        <v>651779</v>
      </c>
      <c r="L111" s="60">
        <f>L92-L24</f>
        <v>241853</v>
      </c>
      <c r="M111" s="49">
        <f t="shared" si="18"/>
        <v>836193.3666666667</v>
      </c>
      <c r="N111" s="59">
        <f>N92-N24</f>
        <v>627396.01111111115</v>
      </c>
      <c r="O111" s="59">
        <f>O92-O24</f>
        <v>208797.35555555555</v>
      </c>
    </row>
    <row r="112" spans="1:15" x14ac:dyDescent="0.3">
      <c r="A112" s="1228" t="s">
        <v>405</v>
      </c>
      <c r="B112" s="1229"/>
      <c r="C112" s="1230"/>
      <c r="D112" s="49">
        <f t="shared" si="20"/>
        <v>3592</v>
      </c>
      <c r="E112" s="59">
        <f>E102+E30-E92</f>
        <v>-667</v>
      </c>
      <c r="F112" s="59">
        <f>F102+F30-F92</f>
        <v>4259</v>
      </c>
      <c r="G112" s="49">
        <f t="shared" si="8"/>
        <v>-7615</v>
      </c>
      <c r="H112" s="60">
        <f>H102+H30-H92</f>
        <v>-2436</v>
      </c>
      <c r="I112" s="60">
        <f>I102+I30-I92</f>
        <v>-5179</v>
      </c>
      <c r="J112" s="52">
        <f t="shared" si="9"/>
        <v>-12626</v>
      </c>
      <c r="K112" s="60">
        <f>K102+K30-K92</f>
        <v>-12484</v>
      </c>
      <c r="L112" s="60">
        <f>L102+L30-L92</f>
        <v>-142</v>
      </c>
      <c r="M112" s="49">
        <f t="shared" si="18"/>
        <v>-3.3333333471091464E-2</v>
      </c>
      <c r="N112" s="59">
        <f>(K102+N30+N98+N101)-(N92-N97-N99-N100)</f>
        <v>-1.1111111263744533E-2</v>
      </c>
      <c r="O112" s="59">
        <f>(L102+O30+O98+O96)-(O92-O97-O99)</f>
        <v>-2.2222222207346931E-2</v>
      </c>
    </row>
  </sheetData>
  <mergeCells count="31">
    <mergeCell ref="A95:C95"/>
    <mergeCell ref="C1:O1"/>
    <mergeCell ref="C3:O3"/>
    <mergeCell ref="A4:B5"/>
    <mergeCell ref="C4:C5"/>
    <mergeCell ref="D4:F4"/>
    <mergeCell ref="G4:I4"/>
    <mergeCell ref="J4:L4"/>
    <mergeCell ref="M4:O4"/>
    <mergeCell ref="A6:O6"/>
    <mergeCell ref="A30:C30"/>
    <mergeCell ref="A31:O31"/>
    <mergeCell ref="A93:C93"/>
    <mergeCell ref="A94:O94"/>
    <mergeCell ref="A107:C107"/>
    <mergeCell ref="A96:C96"/>
    <mergeCell ref="A97:C97"/>
    <mergeCell ref="A98:C98"/>
    <mergeCell ref="A99:C99"/>
    <mergeCell ref="A100:C100"/>
    <mergeCell ref="A101:C101"/>
    <mergeCell ref="A102:C102"/>
    <mergeCell ref="A103:O103"/>
    <mergeCell ref="A104:C104"/>
    <mergeCell ref="A105:C105"/>
    <mergeCell ref="A106:C106"/>
    <mergeCell ref="A108:C108"/>
    <mergeCell ref="A109:C109"/>
    <mergeCell ref="A110:C110"/>
    <mergeCell ref="A111:C111"/>
    <mergeCell ref="A112:C112"/>
  </mergeCells>
  <pageMargins left="0.11811023622047245" right="0.11811023622047245" top="0.74803149606299213" bottom="0.74803149606299213" header="0.31496062992125984" footer="0.31496062992125984"/>
  <pageSetup paperSize="9" scale="6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topLeftCell="A7" workbookViewId="0">
      <selection activeCell="C30" sqref="C30"/>
    </sheetView>
  </sheetViews>
  <sheetFormatPr defaultColWidth="9.109375" defaultRowHeight="15.6" x14ac:dyDescent="0.3"/>
  <cols>
    <col min="1" max="1" width="4.88671875" style="79" customWidth="1"/>
    <col min="2" max="2" width="34" style="79" customWidth="1"/>
    <col min="3" max="3" width="23" style="79" customWidth="1"/>
    <col min="4" max="4" width="20.44140625" style="79" customWidth="1"/>
    <col min="5" max="5" width="18.5546875" style="79" customWidth="1"/>
    <col min="6" max="6" width="22.109375" style="79" customWidth="1"/>
    <col min="7" max="7" width="17.6640625" style="79" customWidth="1"/>
    <col min="8" max="8" width="18.5546875" style="79" customWidth="1"/>
    <col min="9" max="9" width="18.88671875" style="79" customWidth="1"/>
    <col min="10" max="11" width="15.6640625" style="79" customWidth="1"/>
    <col min="12" max="12" width="18.88671875" style="79" customWidth="1"/>
    <col min="13" max="13" width="14.6640625" style="79" customWidth="1"/>
    <col min="14" max="15" width="18.44140625" style="79" customWidth="1"/>
    <col min="16" max="16384" width="9.109375" style="79"/>
  </cols>
  <sheetData>
    <row r="1" spans="1:15" x14ac:dyDescent="0.3">
      <c r="C1" s="1258"/>
      <c r="D1" s="1258"/>
      <c r="E1" s="1258"/>
      <c r="F1" s="1258"/>
    </row>
    <row r="2" spans="1:15" ht="16.5" customHeight="1" x14ac:dyDescent="0.3">
      <c r="A2" s="1260" t="s">
        <v>428</v>
      </c>
      <c r="B2" s="1260"/>
      <c r="C2" s="1260"/>
      <c r="D2" s="1260"/>
      <c r="E2" s="1260"/>
      <c r="F2" s="1260"/>
      <c r="G2" s="1260"/>
      <c r="H2" s="1260"/>
      <c r="I2" s="1260"/>
      <c r="J2" s="1260"/>
      <c r="K2" s="1260"/>
      <c r="L2" s="1260"/>
      <c r="M2" s="1260"/>
      <c r="N2" s="1260"/>
      <c r="O2" s="1260"/>
    </row>
    <row r="3" spans="1:15" ht="18" customHeight="1" x14ac:dyDescent="0.3">
      <c r="C3" s="1259"/>
      <c r="D3" s="1259"/>
      <c r="E3" s="1259"/>
      <c r="F3" s="1259"/>
      <c r="G3" s="80"/>
      <c r="H3" s="80"/>
    </row>
    <row r="5" spans="1:15" x14ac:dyDescent="0.3">
      <c r="O5" s="81" t="s">
        <v>412</v>
      </c>
    </row>
    <row r="6" spans="1:15" s="83" customFormat="1" ht="144.75" customHeight="1" x14ac:dyDescent="0.3">
      <c r="A6" s="82" t="s">
        <v>407</v>
      </c>
      <c r="B6" s="82" t="s">
        <v>408</v>
      </c>
      <c r="C6" s="82" t="s">
        <v>413</v>
      </c>
      <c r="D6" s="82" t="s">
        <v>414</v>
      </c>
      <c r="E6" s="82" t="s">
        <v>415</v>
      </c>
      <c r="F6" s="82" t="s">
        <v>416</v>
      </c>
      <c r="G6" s="82" t="s">
        <v>417</v>
      </c>
      <c r="H6" s="82" t="s">
        <v>418</v>
      </c>
      <c r="I6" s="82" t="s">
        <v>419</v>
      </c>
      <c r="J6" s="82" t="s">
        <v>420</v>
      </c>
      <c r="K6" s="82" t="s">
        <v>421</v>
      </c>
      <c r="L6" s="82" t="s">
        <v>422</v>
      </c>
      <c r="M6" s="82" t="s">
        <v>423</v>
      </c>
      <c r="N6" s="82" t="s">
        <v>424</v>
      </c>
      <c r="O6" s="82" t="s">
        <v>425</v>
      </c>
    </row>
    <row r="7" spans="1:15" s="83" customFormat="1" x14ac:dyDescent="0.3">
      <c r="A7" s="84">
        <v>1</v>
      </c>
      <c r="B7" s="85" t="s">
        <v>409</v>
      </c>
      <c r="C7" s="87">
        <v>0</v>
      </c>
      <c r="D7" s="87">
        <v>0</v>
      </c>
      <c r="E7" s="87">
        <v>0</v>
      </c>
      <c r="F7" s="87">
        <f>C7+D7-E7</f>
        <v>0</v>
      </c>
      <c r="G7" s="87">
        <v>0</v>
      </c>
      <c r="H7" s="87">
        <v>0</v>
      </c>
      <c r="I7" s="87">
        <f>F7+G7-H7</f>
        <v>0</v>
      </c>
      <c r="J7" s="87">
        <v>0</v>
      </c>
      <c r="K7" s="87">
        <v>0</v>
      </c>
      <c r="L7" s="87">
        <f>I7+J7-K7</f>
        <v>0</v>
      </c>
      <c r="M7" s="87">
        <v>0</v>
      </c>
      <c r="N7" s="87">
        <v>0</v>
      </c>
      <c r="O7" s="87">
        <f>L7+M7-N7</f>
        <v>0</v>
      </c>
    </row>
    <row r="8" spans="1:15" s="83" customFormat="1" ht="35.25" customHeight="1" x14ac:dyDescent="0.3">
      <c r="A8" s="84">
        <f>A7+1</f>
        <v>2</v>
      </c>
      <c r="B8" s="85" t="s">
        <v>426</v>
      </c>
      <c r="C8" s="87">
        <v>0</v>
      </c>
      <c r="D8" s="87">
        <v>0</v>
      </c>
      <c r="E8" s="87">
        <v>0</v>
      </c>
      <c r="F8" s="87">
        <f t="shared" ref="F8:F11" si="0">C8+D8-E8</f>
        <v>0</v>
      </c>
      <c r="G8" s="87">
        <v>0</v>
      </c>
      <c r="H8" s="87">
        <v>0</v>
      </c>
      <c r="I8" s="87">
        <f t="shared" ref="I8:I11" si="1">F8+G8-H8</f>
        <v>0</v>
      </c>
      <c r="J8" s="87">
        <v>0</v>
      </c>
      <c r="K8" s="87">
        <v>0</v>
      </c>
      <c r="L8" s="87">
        <f t="shared" ref="L8:L11" si="2">I8+J8-K8</f>
        <v>0</v>
      </c>
      <c r="M8" s="87">
        <v>0</v>
      </c>
      <c r="N8" s="87">
        <v>0</v>
      </c>
      <c r="O8" s="87">
        <f t="shared" ref="O8:O11" si="3">L8+M8-N8</f>
        <v>0</v>
      </c>
    </row>
    <row r="9" spans="1:15" ht="46.8" x14ac:dyDescent="0.3">
      <c r="A9" s="84">
        <f t="shared" ref="A9:A10" si="4">A8+1</f>
        <v>3</v>
      </c>
      <c r="B9" s="85" t="s">
        <v>427</v>
      </c>
      <c r="C9" s="88">
        <v>5180300</v>
      </c>
      <c r="D9" s="88">
        <v>0</v>
      </c>
      <c r="E9" s="88">
        <v>956000</v>
      </c>
      <c r="F9" s="87">
        <f t="shared" si="0"/>
        <v>4224300</v>
      </c>
      <c r="G9" s="88">
        <v>0</v>
      </c>
      <c r="H9" s="88">
        <v>956000</v>
      </c>
      <c r="I9" s="87">
        <f t="shared" si="1"/>
        <v>3268300</v>
      </c>
      <c r="J9" s="88">
        <v>0</v>
      </c>
      <c r="K9" s="88">
        <v>719000</v>
      </c>
      <c r="L9" s="87">
        <f>I9+J9-K9</f>
        <v>2549300</v>
      </c>
      <c r="M9" s="88">
        <v>0</v>
      </c>
      <c r="N9" s="88">
        <v>1272000</v>
      </c>
      <c r="O9" s="87">
        <f t="shared" si="3"/>
        <v>1277300</v>
      </c>
    </row>
    <row r="10" spans="1:15" x14ac:dyDescent="0.3">
      <c r="A10" s="84">
        <f t="shared" si="4"/>
        <v>4</v>
      </c>
      <c r="B10" s="85" t="s">
        <v>410</v>
      </c>
      <c r="C10" s="88">
        <v>0</v>
      </c>
      <c r="D10" s="88">
        <v>0</v>
      </c>
      <c r="E10" s="88">
        <v>0</v>
      </c>
      <c r="F10" s="87">
        <f t="shared" si="0"/>
        <v>0</v>
      </c>
      <c r="G10" s="88">
        <v>0</v>
      </c>
      <c r="H10" s="88">
        <v>0</v>
      </c>
      <c r="I10" s="87">
        <f t="shared" si="1"/>
        <v>0</v>
      </c>
      <c r="J10" s="88">
        <v>0</v>
      </c>
      <c r="K10" s="88">
        <v>0</v>
      </c>
      <c r="L10" s="87">
        <f t="shared" si="2"/>
        <v>0</v>
      </c>
      <c r="M10" s="88">
        <v>0</v>
      </c>
      <c r="N10" s="88">
        <v>0</v>
      </c>
      <c r="O10" s="87">
        <f t="shared" si="3"/>
        <v>0</v>
      </c>
    </row>
    <row r="11" spans="1:15" ht="31.2" x14ac:dyDescent="0.3">
      <c r="A11" s="84"/>
      <c r="B11" s="85" t="s">
        <v>411</v>
      </c>
      <c r="C11" s="88">
        <f>SUM(C7:C10)</f>
        <v>5180300</v>
      </c>
      <c r="D11" s="88">
        <f t="shared" ref="D11:N11" si="5">SUM(D7:D10)</f>
        <v>0</v>
      </c>
      <c r="E11" s="88">
        <f t="shared" si="5"/>
        <v>956000</v>
      </c>
      <c r="F11" s="87">
        <f t="shared" si="0"/>
        <v>4224300</v>
      </c>
      <c r="G11" s="88">
        <f t="shared" si="5"/>
        <v>0</v>
      </c>
      <c r="H11" s="88">
        <f t="shared" si="5"/>
        <v>956000</v>
      </c>
      <c r="I11" s="87">
        <f t="shared" si="1"/>
        <v>3268300</v>
      </c>
      <c r="J11" s="88">
        <f t="shared" si="5"/>
        <v>0</v>
      </c>
      <c r="K11" s="88">
        <f t="shared" si="5"/>
        <v>719000</v>
      </c>
      <c r="L11" s="87">
        <f t="shared" si="2"/>
        <v>2549300</v>
      </c>
      <c r="M11" s="88">
        <f t="shared" si="5"/>
        <v>0</v>
      </c>
      <c r="N11" s="88">
        <f t="shared" si="5"/>
        <v>1272000</v>
      </c>
      <c r="O11" s="87">
        <f t="shared" si="3"/>
        <v>1277300</v>
      </c>
    </row>
    <row r="12" spans="1:15" x14ac:dyDescent="0.3">
      <c r="B12" s="86"/>
    </row>
  </sheetData>
  <mergeCells count="3">
    <mergeCell ref="C1:F1"/>
    <mergeCell ref="C3:F3"/>
    <mergeCell ref="A2:O2"/>
  </mergeCells>
  <pageMargins left="0.31496062992125984" right="0.31496062992125984" top="0.74803149606299213" bottom="0.15748031496062992" header="0.31496062992125984" footer="0.31496062992125984"/>
  <pageSetup paperSize="9" scale="5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workbookViewId="0">
      <selection activeCell="F13" sqref="F13"/>
    </sheetView>
  </sheetViews>
  <sheetFormatPr defaultRowHeight="14.4" x14ac:dyDescent="0.3"/>
  <cols>
    <col min="1" max="1" width="59.88671875" style="42" customWidth="1"/>
    <col min="2" max="4" width="20.6640625" customWidth="1"/>
  </cols>
  <sheetData>
    <row r="1" spans="1:4" ht="15.6" x14ac:dyDescent="0.3">
      <c r="A1" s="1162" t="s">
        <v>443</v>
      </c>
      <c r="B1" s="1162"/>
      <c r="C1" s="1162"/>
      <c r="D1" s="1162"/>
    </row>
    <row r="2" spans="1:4" ht="15.6" x14ac:dyDescent="0.3">
      <c r="A2" s="95"/>
      <c r="B2" s="1"/>
      <c r="C2" s="1"/>
      <c r="D2" s="1"/>
    </row>
    <row r="3" spans="1:4" ht="18" x14ac:dyDescent="0.35">
      <c r="A3" s="1174" t="s">
        <v>430</v>
      </c>
      <c r="B3" s="1174"/>
      <c r="C3" s="1174"/>
      <c r="D3" s="1174"/>
    </row>
    <row r="4" spans="1:4" ht="18" x14ac:dyDescent="0.35">
      <c r="A4" s="1174" t="s">
        <v>444</v>
      </c>
      <c r="B4" s="1174"/>
      <c r="C4" s="1174"/>
      <c r="D4" s="1174"/>
    </row>
    <row r="5" spans="1:4" ht="15.6" x14ac:dyDescent="0.3">
      <c r="A5" s="95"/>
      <c r="B5" s="1"/>
      <c r="C5" s="1"/>
      <c r="D5" s="1"/>
    </row>
    <row r="6" spans="1:4" ht="15.6" x14ac:dyDescent="0.3">
      <c r="A6" s="1156" t="s">
        <v>431</v>
      </c>
      <c r="B6" s="1171" t="s">
        <v>432</v>
      </c>
      <c r="C6" s="1172"/>
      <c r="D6" s="1173"/>
    </row>
    <row r="7" spans="1:4" ht="15.6" x14ac:dyDescent="0.3">
      <c r="A7" s="1157"/>
      <c r="B7" s="89">
        <v>2015</v>
      </c>
      <c r="C7" s="89">
        <v>2016</v>
      </c>
      <c r="D7" s="90">
        <v>2017</v>
      </c>
    </row>
    <row r="8" spans="1:4" ht="15.6" x14ac:dyDescent="0.3">
      <c r="A8" s="91" t="s">
        <v>433</v>
      </c>
      <c r="B8" s="92">
        <f>B10+B13+B16</f>
        <v>14795313.890000001</v>
      </c>
      <c r="C8" s="92">
        <f>C10+C13+C16</f>
        <v>15839187.220000001</v>
      </c>
      <c r="D8" s="92">
        <f>D10+D13+D16</f>
        <v>16561898.969999999</v>
      </c>
    </row>
    <row r="9" spans="1:4" ht="15.6" x14ac:dyDescent="0.3">
      <c r="A9" s="91" t="s">
        <v>238</v>
      </c>
      <c r="B9" s="91"/>
      <c r="C9" s="91"/>
      <c r="D9" s="92"/>
    </row>
    <row r="10" spans="1:4" ht="31.2" x14ac:dyDescent="0.3">
      <c r="A10" s="95" t="s">
        <v>434</v>
      </c>
      <c r="B10" s="92">
        <f>B11</f>
        <v>11477327.17</v>
      </c>
      <c r="C10" s="92">
        <f>C11</f>
        <v>13964791.700000001</v>
      </c>
      <c r="D10" s="92">
        <f>D11</f>
        <v>17730898.969999999</v>
      </c>
    </row>
    <row r="11" spans="1:4" ht="31.2" x14ac:dyDescent="0.3">
      <c r="A11" s="93" t="s">
        <v>435</v>
      </c>
      <c r="B11" s="94">
        <f>14795313.89-3317986.72</f>
        <v>11477327.17</v>
      </c>
      <c r="C11" s="94">
        <f>15839187.22-1874395.52</f>
        <v>13964791.700000001</v>
      </c>
      <c r="D11" s="92">
        <f>16561898.97+1169000</f>
        <v>17730898.969999999</v>
      </c>
    </row>
    <row r="12" spans="1:4" ht="46.8" x14ac:dyDescent="0.3">
      <c r="A12" s="93" t="s">
        <v>436</v>
      </c>
      <c r="B12" s="94">
        <v>0</v>
      </c>
      <c r="C12" s="94">
        <v>0</v>
      </c>
      <c r="D12" s="92">
        <v>0</v>
      </c>
    </row>
    <row r="13" spans="1:4" ht="31.2" x14ac:dyDescent="0.3">
      <c r="A13" s="91" t="s">
        <v>437</v>
      </c>
      <c r="B13" s="92">
        <f>B14+B15</f>
        <v>-956000</v>
      </c>
      <c r="C13" s="92">
        <f>C14+C15</f>
        <v>-719000</v>
      </c>
      <c r="D13" s="92">
        <f>D14+D15</f>
        <v>-1272000</v>
      </c>
    </row>
    <row r="14" spans="1:4" ht="31.2" x14ac:dyDescent="0.3">
      <c r="A14" s="93" t="s">
        <v>438</v>
      </c>
      <c r="B14" s="94">
        <v>0</v>
      </c>
      <c r="C14" s="94">
        <v>0</v>
      </c>
      <c r="D14" s="92">
        <v>0</v>
      </c>
    </row>
    <row r="15" spans="1:4" ht="31.2" x14ac:dyDescent="0.3">
      <c r="A15" s="93" t="s">
        <v>439</v>
      </c>
      <c r="B15" s="94">
        <v>-956000</v>
      </c>
      <c r="C15" s="94">
        <v>-719000</v>
      </c>
      <c r="D15" s="92">
        <v>-1272000</v>
      </c>
    </row>
    <row r="16" spans="1:4" ht="31.2" x14ac:dyDescent="0.3">
      <c r="A16" s="93" t="s">
        <v>440</v>
      </c>
      <c r="B16" s="92">
        <f>B17+B18</f>
        <v>4273986.72</v>
      </c>
      <c r="C16" s="92">
        <f>C17+C18</f>
        <v>2593395.52</v>
      </c>
      <c r="D16" s="92">
        <f>D17+D18</f>
        <v>103000</v>
      </c>
    </row>
    <row r="17" spans="1:4" ht="15.6" x14ac:dyDescent="0.3">
      <c r="A17" s="93" t="s">
        <v>441</v>
      </c>
      <c r="B17" s="94">
        <v>0</v>
      </c>
      <c r="C17" s="94">
        <v>0</v>
      </c>
      <c r="D17" s="92">
        <v>0</v>
      </c>
    </row>
    <row r="18" spans="1:4" ht="31.2" x14ac:dyDescent="0.3">
      <c r="A18" s="93" t="s">
        <v>442</v>
      </c>
      <c r="B18" s="94">
        <v>4273986.72</v>
      </c>
      <c r="C18" s="94">
        <v>2593395.52</v>
      </c>
      <c r="D18" s="92">
        <v>103000</v>
      </c>
    </row>
  </sheetData>
  <mergeCells count="5">
    <mergeCell ref="A6:A7"/>
    <mergeCell ref="B6:D6"/>
    <mergeCell ref="A1:D1"/>
    <mergeCell ref="A3:D3"/>
    <mergeCell ref="A4:D4"/>
  </mergeCells>
  <pageMargins left="0.70866141732283472" right="0.31496062992125984" top="0.35433070866141736" bottom="0.35433070866141736" header="0.31496062992125984" footer="0.31496062992125984"/>
  <pageSetup paperSize="9" scale="7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workbookViewId="0">
      <selection activeCell="D8" sqref="D8"/>
    </sheetView>
  </sheetViews>
  <sheetFormatPr defaultRowHeight="14.4" x14ac:dyDescent="0.3"/>
  <cols>
    <col min="1" max="1" width="43.44140625" customWidth="1"/>
    <col min="2" max="4" width="15.6640625" customWidth="1"/>
    <col min="5" max="5" width="27.5546875" customWidth="1"/>
    <col min="6" max="6" width="17.109375" customWidth="1"/>
    <col min="7" max="7" width="28" customWidth="1"/>
    <col min="8" max="8" width="20" customWidth="1"/>
    <col min="259" max="259" width="43.44140625" customWidth="1"/>
    <col min="260" max="260" width="22.44140625" customWidth="1"/>
    <col min="261" max="261" width="27.5546875" customWidth="1"/>
    <col min="262" max="262" width="17.109375" customWidth="1"/>
    <col min="263" max="263" width="28" customWidth="1"/>
    <col min="264" max="264" width="20" customWidth="1"/>
    <col min="515" max="515" width="43.44140625" customWidth="1"/>
    <col min="516" max="516" width="22.44140625" customWidth="1"/>
    <col min="517" max="517" width="27.5546875" customWidth="1"/>
    <col min="518" max="518" width="17.109375" customWidth="1"/>
    <col min="519" max="519" width="28" customWidth="1"/>
    <col min="520" max="520" width="20" customWidth="1"/>
    <col min="771" max="771" width="43.44140625" customWidth="1"/>
    <col min="772" max="772" width="22.44140625" customWidth="1"/>
    <col min="773" max="773" width="27.5546875" customWidth="1"/>
    <col min="774" max="774" width="17.109375" customWidth="1"/>
    <col min="775" max="775" width="28" customWidth="1"/>
    <col min="776" max="776" width="20" customWidth="1"/>
    <col min="1027" max="1027" width="43.44140625" customWidth="1"/>
    <col min="1028" max="1028" width="22.44140625" customWidth="1"/>
    <col min="1029" max="1029" width="27.5546875" customWidth="1"/>
    <col min="1030" max="1030" width="17.109375" customWidth="1"/>
    <col min="1031" max="1031" width="28" customWidth="1"/>
    <col min="1032" max="1032" width="20" customWidth="1"/>
    <col min="1283" max="1283" width="43.44140625" customWidth="1"/>
    <col min="1284" max="1284" width="22.44140625" customWidth="1"/>
    <col min="1285" max="1285" width="27.5546875" customWidth="1"/>
    <col min="1286" max="1286" width="17.109375" customWidth="1"/>
    <col min="1287" max="1287" width="28" customWidth="1"/>
    <col min="1288" max="1288" width="20" customWidth="1"/>
    <col min="1539" max="1539" width="43.44140625" customWidth="1"/>
    <col min="1540" max="1540" width="22.44140625" customWidth="1"/>
    <col min="1541" max="1541" width="27.5546875" customWidth="1"/>
    <col min="1542" max="1542" width="17.109375" customWidth="1"/>
    <col min="1543" max="1543" width="28" customWidth="1"/>
    <col min="1544" max="1544" width="20" customWidth="1"/>
    <col min="1795" max="1795" width="43.44140625" customWidth="1"/>
    <col min="1796" max="1796" width="22.44140625" customWidth="1"/>
    <col min="1797" max="1797" width="27.5546875" customWidth="1"/>
    <col min="1798" max="1798" width="17.109375" customWidth="1"/>
    <col min="1799" max="1799" width="28" customWidth="1"/>
    <col min="1800" max="1800" width="20" customWidth="1"/>
    <col min="2051" max="2051" width="43.44140625" customWidth="1"/>
    <col min="2052" max="2052" width="22.44140625" customWidth="1"/>
    <col min="2053" max="2053" width="27.5546875" customWidth="1"/>
    <col min="2054" max="2054" width="17.109375" customWidth="1"/>
    <col min="2055" max="2055" width="28" customWidth="1"/>
    <col min="2056" max="2056" width="20" customWidth="1"/>
    <col min="2307" max="2307" width="43.44140625" customWidth="1"/>
    <col min="2308" max="2308" width="22.44140625" customWidth="1"/>
    <col min="2309" max="2309" width="27.5546875" customWidth="1"/>
    <col min="2310" max="2310" width="17.109375" customWidth="1"/>
    <col min="2311" max="2311" width="28" customWidth="1"/>
    <col min="2312" max="2312" width="20" customWidth="1"/>
    <col min="2563" max="2563" width="43.44140625" customWidth="1"/>
    <col min="2564" max="2564" width="22.44140625" customWidth="1"/>
    <col min="2565" max="2565" width="27.5546875" customWidth="1"/>
    <col min="2566" max="2566" width="17.109375" customWidth="1"/>
    <col min="2567" max="2567" width="28" customWidth="1"/>
    <col min="2568" max="2568" width="20" customWidth="1"/>
    <col min="2819" max="2819" width="43.44140625" customWidth="1"/>
    <col min="2820" max="2820" width="22.44140625" customWidth="1"/>
    <col min="2821" max="2821" width="27.5546875" customWidth="1"/>
    <col min="2822" max="2822" width="17.109375" customWidth="1"/>
    <col min="2823" max="2823" width="28" customWidth="1"/>
    <col min="2824" max="2824" width="20" customWidth="1"/>
    <col min="3075" max="3075" width="43.44140625" customWidth="1"/>
    <col min="3076" max="3076" width="22.44140625" customWidth="1"/>
    <col min="3077" max="3077" width="27.5546875" customWidth="1"/>
    <col min="3078" max="3078" width="17.109375" customWidth="1"/>
    <col min="3079" max="3079" width="28" customWidth="1"/>
    <col min="3080" max="3080" width="20" customWidth="1"/>
    <col min="3331" max="3331" width="43.44140625" customWidth="1"/>
    <col min="3332" max="3332" width="22.44140625" customWidth="1"/>
    <col min="3333" max="3333" width="27.5546875" customWidth="1"/>
    <col min="3334" max="3334" width="17.109375" customWidth="1"/>
    <col min="3335" max="3335" width="28" customWidth="1"/>
    <col min="3336" max="3336" width="20" customWidth="1"/>
    <col min="3587" max="3587" width="43.44140625" customWidth="1"/>
    <col min="3588" max="3588" width="22.44140625" customWidth="1"/>
    <col min="3589" max="3589" width="27.5546875" customWidth="1"/>
    <col min="3590" max="3590" width="17.109375" customWidth="1"/>
    <col min="3591" max="3591" width="28" customWidth="1"/>
    <col min="3592" max="3592" width="20" customWidth="1"/>
    <col min="3843" max="3843" width="43.44140625" customWidth="1"/>
    <col min="3844" max="3844" width="22.44140625" customWidth="1"/>
    <col min="3845" max="3845" width="27.5546875" customWidth="1"/>
    <col min="3846" max="3846" width="17.109375" customWidth="1"/>
    <col min="3847" max="3847" width="28" customWidth="1"/>
    <col min="3848" max="3848" width="20" customWidth="1"/>
    <col min="4099" max="4099" width="43.44140625" customWidth="1"/>
    <col min="4100" max="4100" width="22.44140625" customWidth="1"/>
    <col min="4101" max="4101" width="27.5546875" customWidth="1"/>
    <col min="4102" max="4102" width="17.109375" customWidth="1"/>
    <col min="4103" max="4103" width="28" customWidth="1"/>
    <col min="4104" max="4104" width="20" customWidth="1"/>
    <col min="4355" max="4355" width="43.44140625" customWidth="1"/>
    <col min="4356" max="4356" width="22.44140625" customWidth="1"/>
    <col min="4357" max="4357" width="27.5546875" customWidth="1"/>
    <col min="4358" max="4358" width="17.109375" customWidth="1"/>
    <col min="4359" max="4359" width="28" customWidth="1"/>
    <col min="4360" max="4360" width="20" customWidth="1"/>
    <col min="4611" max="4611" width="43.44140625" customWidth="1"/>
    <col min="4612" max="4612" width="22.44140625" customWidth="1"/>
    <col min="4613" max="4613" width="27.5546875" customWidth="1"/>
    <col min="4614" max="4614" width="17.109375" customWidth="1"/>
    <col min="4615" max="4615" width="28" customWidth="1"/>
    <col min="4616" max="4616" width="20" customWidth="1"/>
    <col min="4867" max="4867" width="43.44140625" customWidth="1"/>
    <col min="4868" max="4868" width="22.44140625" customWidth="1"/>
    <col min="4869" max="4869" width="27.5546875" customWidth="1"/>
    <col min="4870" max="4870" width="17.109375" customWidth="1"/>
    <col min="4871" max="4871" width="28" customWidth="1"/>
    <col min="4872" max="4872" width="20" customWidth="1"/>
    <col min="5123" max="5123" width="43.44140625" customWidth="1"/>
    <col min="5124" max="5124" width="22.44140625" customWidth="1"/>
    <col min="5125" max="5125" width="27.5546875" customWidth="1"/>
    <col min="5126" max="5126" width="17.109375" customWidth="1"/>
    <col min="5127" max="5127" width="28" customWidth="1"/>
    <col min="5128" max="5128" width="20" customWidth="1"/>
    <col min="5379" max="5379" width="43.44140625" customWidth="1"/>
    <col min="5380" max="5380" width="22.44140625" customWidth="1"/>
    <col min="5381" max="5381" width="27.5546875" customWidth="1"/>
    <col min="5382" max="5382" width="17.109375" customWidth="1"/>
    <col min="5383" max="5383" width="28" customWidth="1"/>
    <col min="5384" max="5384" width="20" customWidth="1"/>
    <col min="5635" max="5635" width="43.44140625" customWidth="1"/>
    <col min="5636" max="5636" width="22.44140625" customWidth="1"/>
    <col min="5637" max="5637" width="27.5546875" customWidth="1"/>
    <col min="5638" max="5638" width="17.109375" customWidth="1"/>
    <col min="5639" max="5639" width="28" customWidth="1"/>
    <col min="5640" max="5640" width="20" customWidth="1"/>
    <col min="5891" max="5891" width="43.44140625" customWidth="1"/>
    <col min="5892" max="5892" width="22.44140625" customWidth="1"/>
    <col min="5893" max="5893" width="27.5546875" customWidth="1"/>
    <col min="5894" max="5894" width="17.109375" customWidth="1"/>
    <col min="5895" max="5895" width="28" customWidth="1"/>
    <col min="5896" max="5896" width="20" customWidth="1"/>
    <col min="6147" max="6147" width="43.44140625" customWidth="1"/>
    <col min="6148" max="6148" width="22.44140625" customWidth="1"/>
    <col min="6149" max="6149" width="27.5546875" customWidth="1"/>
    <col min="6150" max="6150" width="17.109375" customWidth="1"/>
    <col min="6151" max="6151" width="28" customWidth="1"/>
    <col min="6152" max="6152" width="20" customWidth="1"/>
    <col min="6403" max="6403" width="43.44140625" customWidth="1"/>
    <col min="6404" max="6404" width="22.44140625" customWidth="1"/>
    <col min="6405" max="6405" width="27.5546875" customWidth="1"/>
    <col min="6406" max="6406" width="17.109375" customWidth="1"/>
    <col min="6407" max="6407" width="28" customWidth="1"/>
    <col min="6408" max="6408" width="20" customWidth="1"/>
    <col min="6659" max="6659" width="43.44140625" customWidth="1"/>
    <col min="6660" max="6660" width="22.44140625" customWidth="1"/>
    <col min="6661" max="6661" width="27.5546875" customWidth="1"/>
    <col min="6662" max="6662" width="17.109375" customWidth="1"/>
    <col min="6663" max="6663" width="28" customWidth="1"/>
    <col min="6664" max="6664" width="20" customWidth="1"/>
    <col min="6915" max="6915" width="43.44140625" customWidth="1"/>
    <col min="6916" max="6916" width="22.44140625" customWidth="1"/>
    <col min="6917" max="6917" width="27.5546875" customWidth="1"/>
    <col min="6918" max="6918" width="17.109375" customWidth="1"/>
    <col min="6919" max="6919" width="28" customWidth="1"/>
    <col min="6920" max="6920" width="20" customWidth="1"/>
    <col min="7171" max="7171" width="43.44140625" customWidth="1"/>
    <col min="7172" max="7172" width="22.44140625" customWidth="1"/>
    <col min="7173" max="7173" width="27.5546875" customWidth="1"/>
    <col min="7174" max="7174" width="17.109375" customWidth="1"/>
    <col min="7175" max="7175" width="28" customWidth="1"/>
    <col min="7176" max="7176" width="20" customWidth="1"/>
    <col min="7427" max="7427" width="43.44140625" customWidth="1"/>
    <col min="7428" max="7428" width="22.44140625" customWidth="1"/>
    <col min="7429" max="7429" width="27.5546875" customWidth="1"/>
    <col min="7430" max="7430" width="17.109375" customWidth="1"/>
    <col min="7431" max="7431" width="28" customWidth="1"/>
    <col min="7432" max="7432" width="20" customWidth="1"/>
    <col min="7683" max="7683" width="43.44140625" customWidth="1"/>
    <col min="7684" max="7684" width="22.44140625" customWidth="1"/>
    <col min="7685" max="7685" width="27.5546875" customWidth="1"/>
    <col min="7686" max="7686" width="17.109375" customWidth="1"/>
    <col min="7687" max="7687" width="28" customWidth="1"/>
    <col min="7688" max="7688" width="20" customWidth="1"/>
    <col min="7939" max="7939" width="43.44140625" customWidth="1"/>
    <col min="7940" max="7940" width="22.44140625" customWidth="1"/>
    <col min="7941" max="7941" width="27.5546875" customWidth="1"/>
    <col min="7942" max="7942" width="17.109375" customWidth="1"/>
    <col min="7943" max="7943" width="28" customWidth="1"/>
    <col min="7944" max="7944" width="20" customWidth="1"/>
    <col min="8195" max="8195" width="43.44140625" customWidth="1"/>
    <col min="8196" max="8196" width="22.44140625" customWidth="1"/>
    <col min="8197" max="8197" width="27.5546875" customWidth="1"/>
    <col min="8198" max="8198" width="17.109375" customWidth="1"/>
    <col min="8199" max="8199" width="28" customWidth="1"/>
    <col min="8200" max="8200" width="20" customWidth="1"/>
    <col min="8451" max="8451" width="43.44140625" customWidth="1"/>
    <col min="8452" max="8452" width="22.44140625" customWidth="1"/>
    <col min="8453" max="8453" width="27.5546875" customWidth="1"/>
    <col min="8454" max="8454" width="17.109375" customWidth="1"/>
    <col min="8455" max="8455" width="28" customWidth="1"/>
    <col min="8456" max="8456" width="20" customWidth="1"/>
    <col min="8707" max="8707" width="43.44140625" customWidth="1"/>
    <col min="8708" max="8708" width="22.44140625" customWidth="1"/>
    <col min="8709" max="8709" width="27.5546875" customWidth="1"/>
    <col min="8710" max="8710" width="17.109375" customWidth="1"/>
    <col min="8711" max="8711" width="28" customWidth="1"/>
    <col min="8712" max="8712" width="20" customWidth="1"/>
    <col min="8963" max="8963" width="43.44140625" customWidth="1"/>
    <col min="8964" max="8964" width="22.44140625" customWidth="1"/>
    <col min="8965" max="8965" width="27.5546875" customWidth="1"/>
    <col min="8966" max="8966" width="17.109375" customWidth="1"/>
    <col min="8967" max="8967" width="28" customWidth="1"/>
    <col min="8968" max="8968" width="20" customWidth="1"/>
    <col min="9219" max="9219" width="43.44140625" customWidth="1"/>
    <col min="9220" max="9220" width="22.44140625" customWidth="1"/>
    <col min="9221" max="9221" width="27.5546875" customWidth="1"/>
    <col min="9222" max="9222" width="17.109375" customWidth="1"/>
    <col min="9223" max="9223" width="28" customWidth="1"/>
    <col min="9224" max="9224" width="20" customWidth="1"/>
    <col min="9475" max="9475" width="43.44140625" customWidth="1"/>
    <col min="9476" max="9476" width="22.44140625" customWidth="1"/>
    <col min="9477" max="9477" width="27.5546875" customWidth="1"/>
    <col min="9478" max="9478" width="17.109375" customWidth="1"/>
    <col min="9479" max="9479" width="28" customWidth="1"/>
    <col min="9480" max="9480" width="20" customWidth="1"/>
    <col min="9731" max="9731" width="43.44140625" customWidth="1"/>
    <col min="9732" max="9732" width="22.44140625" customWidth="1"/>
    <col min="9733" max="9733" width="27.5546875" customWidth="1"/>
    <col min="9734" max="9734" width="17.109375" customWidth="1"/>
    <col min="9735" max="9735" width="28" customWidth="1"/>
    <col min="9736" max="9736" width="20" customWidth="1"/>
    <col min="9987" max="9987" width="43.44140625" customWidth="1"/>
    <col min="9988" max="9988" width="22.44140625" customWidth="1"/>
    <col min="9989" max="9989" width="27.5546875" customWidth="1"/>
    <col min="9990" max="9990" width="17.109375" customWidth="1"/>
    <col min="9991" max="9991" width="28" customWidth="1"/>
    <col min="9992" max="9992" width="20" customWidth="1"/>
    <col min="10243" max="10243" width="43.44140625" customWidth="1"/>
    <col min="10244" max="10244" width="22.44140625" customWidth="1"/>
    <col min="10245" max="10245" width="27.5546875" customWidth="1"/>
    <col min="10246" max="10246" width="17.109375" customWidth="1"/>
    <col min="10247" max="10247" width="28" customWidth="1"/>
    <col min="10248" max="10248" width="20" customWidth="1"/>
    <col min="10499" max="10499" width="43.44140625" customWidth="1"/>
    <col min="10500" max="10500" width="22.44140625" customWidth="1"/>
    <col min="10501" max="10501" width="27.5546875" customWidth="1"/>
    <col min="10502" max="10502" width="17.109375" customWidth="1"/>
    <col min="10503" max="10503" width="28" customWidth="1"/>
    <col min="10504" max="10504" width="20" customWidth="1"/>
    <col min="10755" max="10755" width="43.44140625" customWidth="1"/>
    <col min="10756" max="10756" width="22.44140625" customWidth="1"/>
    <col min="10757" max="10757" width="27.5546875" customWidth="1"/>
    <col min="10758" max="10758" width="17.109375" customWidth="1"/>
    <col min="10759" max="10759" width="28" customWidth="1"/>
    <col min="10760" max="10760" width="20" customWidth="1"/>
    <col min="11011" max="11011" width="43.44140625" customWidth="1"/>
    <col min="11012" max="11012" width="22.44140625" customWidth="1"/>
    <col min="11013" max="11013" width="27.5546875" customWidth="1"/>
    <col min="11014" max="11014" width="17.109375" customWidth="1"/>
    <col min="11015" max="11015" width="28" customWidth="1"/>
    <col min="11016" max="11016" width="20" customWidth="1"/>
    <col min="11267" max="11267" width="43.44140625" customWidth="1"/>
    <col min="11268" max="11268" width="22.44140625" customWidth="1"/>
    <col min="11269" max="11269" width="27.5546875" customWidth="1"/>
    <col min="11270" max="11270" width="17.109375" customWidth="1"/>
    <col min="11271" max="11271" width="28" customWidth="1"/>
    <col min="11272" max="11272" width="20" customWidth="1"/>
    <col min="11523" max="11523" width="43.44140625" customWidth="1"/>
    <col min="11524" max="11524" width="22.44140625" customWidth="1"/>
    <col min="11525" max="11525" width="27.5546875" customWidth="1"/>
    <col min="11526" max="11526" width="17.109375" customWidth="1"/>
    <col min="11527" max="11527" width="28" customWidth="1"/>
    <col min="11528" max="11528" width="20" customWidth="1"/>
    <col min="11779" max="11779" width="43.44140625" customWidth="1"/>
    <col min="11780" max="11780" width="22.44140625" customWidth="1"/>
    <col min="11781" max="11781" width="27.5546875" customWidth="1"/>
    <col min="11782" max="11782" width="17.109375" customWidth="1"/>
    <col min="11783" max="11783" width="28" customWidth="1"/>
    <col min="11784" max="11784" width="20" customWidth="1"/>
    <col min="12035" max="12035" width="43.44140625" customWidth="1"/>
    <col min="12036" max="12036" width="22.44140625" customWidth="1"/>
    <col min="12037" max="12037" width="27.5546875" customWidth="1"/>
    <col min="12038" max="12038" width="17.109375" customWidth="1"/>
    <col min="12039" max="12039" width="28" customWidth="1"/>
    <col min="12040" max="12040" width="20" customWidth="1"/>
    <col min="12291" max="12291" width="43.44140625" customWidth="1"/>
    <col min="12292" max="12292" width="22.44140625" customWidth="1"/>
    <col min="12293" max="12293" width="27.5546875" customWidth="1"/>
    <col min="12294" max="12294" width="17.109375" customWidth="1"/>
    <col min="12295" max="12295" width="28" customWidth="1"/>
    <col min="12296" max="12296" width="20" customWidth="1"/>
    <col min="12547" max="12547" width="43.44140625" customWidth="1"/>
    <col min="12548" max="12548" width="22.44140625" customWidth="1"/>
    <col min="12549" max="12549" width="27.5546875" customWidth="1"/>
    <col min="12550" max="12550" width="17.109375" customWidth="1"/>
    <col min="12551" max="12551" width="28" customWidth="1"/>
    <col min="12552" max="12552" width="20" customWidth="1"/>
    <col min="12803" max="12803" width="43.44140625" customWidth="1"/>
    <col min="12804" max="12804" width="22.44140625" customWidth="1"/>
    <col min="12805" max="12805" width="27.5546875" customWidth="1"/>
    <col min="12806" max="12806" width="17.109375" customWidth="1"/>
    <col min="12807" max="12807" width="28" customWidth="1"/>
    <col min="12808" max="12808" width="20" customWidth="1"/>
    <col min="13059" max="13059" width="43.44140625" customWidth="1"/>
    <col min="13060" max="13060" width="22.44140625" customWidth="1"/>
    <col min="13061" max="13061" width="27.5546875" customWidth="1"/>
    <col min="13062" max="13062" width="17.109375" customWidth="1"/>
    <col min="13063" max="13063" width="28" customWidth="1"/>
    <col min="13064" max="13064" width="20" customWidth="1"/>
    <col min="13315" max="13315" width="43.44140625" customWidth="1"/>
    <col min="13316" max="13316" width="22.44140625" customWidth="1"/>
    <col min="13317" max="13317" width="27.5546875" customWidth="1"/>
    <col min="13318" max="13318" width="17.109375" customWidth="1"/>
    <col min="13319" max="13319" width="28" customWidth="1"/>
    <col min="13320" max="13320" width="20" customWidth="1"/>
    <col min="13571" max="13571" width="43.44140625" customWidth="1"/>
    <col min="13572" max="13572" width="22.44140625" customWidth="1"/>
    <col min="13573" max="13573" width="27.5546875" customWidth="1"/>
    <col min="13574" max="13574" width="17.109375" customWidth="1"/>
    <col min="13575" max="13575" width="28" customWidth="1"/>
    <col min="13576" max="13576" width="20" customWidth="1"/>
    <col min="13827" max="13827" width="43.44140625" customWidth="1"/>
    <col min="13828" max="13828" width="22.44140625" customWidth="1"/>
    <col min="13829" max="13829" width="27.5546875" customWidth="1"/>
    <col min="13830" max="13830" width="17.109375" customWidth="1"/>
    <col min="13831" max="13831" width="28" customWidth="1"/>
    <col min="13832" max="13832" width="20" customWidth="1"/>
    <col min="14083" max="14083" width="43.44140625" customWidth="1"/>
    <col min="14084" max="14084" width="22.44140625" customWidth="1"/>
    <col min="14085" max="14085" width="27.5546875" customWidth="1"/>
    <col min="14086" max="14086" width="17.109375" customWidth="1"/>
    <col min="14087" max="14087" width="28" customWidth="1"/>
    <col min="14088" max="14088" width="20" customWidth="1"/>
    <col min="14339" max="14339" width="43.44140625" customWidth="1"/>
    <col min="14340" max="14340" width="22.44140625" customWidth="1"/>
    <col min="14341" max="14341" width="27.5546875" customWidth="1"/>
    <col min="14342" max="14342" width="17.109375" customWidth="1"/>
    <col min="14343" max="14343" width="28" customWidth="1"/>
    <col min="14344" max="14344" width="20" customWidth="1"/>
    <col min="14595" max="14595" width="43.44140625" customWidth="1"/>
    <col min="14596" max="14596" width="22.44140625" customWidth="1"/>
    <col min="14597" max="14597" width="27.5546875" customWidth="1"/>
    <col min="14598" max="14598" width="17.109375" customWidth="1"/>
    <col min="14599" max="14599" width="28" customWidth="1"/>
    <col min="14600" max="14600" width="20" customWidth="1"/>
    <col min="14851" max="14851" width="43.44140625" customWidth="1"/>
    <col min="14852" max="14852" width="22.44140625" customWidth="1"/>
    <col min="14853" max="14853" width="27.5546875" customWidth="1"/>
    <col min="14854" max="14854" width="17.109375" customWidth="1"/>
    <col min="14855" max="14855" width="28" customWidth="1"/>
    <col min="14856" max="14856" width="20" customWidth="1"/>
    <col min="15107" max="15107" width="43.44140625" customWidth="1"/>
    <col min="15108" max="15108" width="22.44140625" customWidth="1"/>
    <col min="15109" max="15109" width="27.5546875" customWidth="1"/>
    <col min="15110" max="15110" width="17.109375" customWidth="1"/>
    <col min="15111" max="15111" width="28" customWidth="1"/>
    <col min="15112" max="15112" width="20" customWidth="1"/>
    <col min="15363" max="15363" width="43.44140625" customWidth="1"/>
    <col min="15364" max="15364" width="22.44140625" customWidth="1"/>
    <col min="15365" max="15365" width="27.5546875" customWidth="1"/>
    <col min="15366" max="15366" width="17.109375" customWidth="1"/>
    <col min="15367" max="15367" width="28" customWidth="1"/>
    <col min="15368" max="15368" width="20" customWidth="1"/>
    <col min="15619" max="15619" width="43.44140625" customWidth="1"/>
    <col min="15620" max="15620" width="22.44140625" customWidth="1"/>
    <col min="15621" max="15621" width="27.5546875" customWidth="1"/>
    <col min="15622" max="15622" width="17.109375" customWidth="1"/>
    <col min="15623" max="15623" width="28" customWidth="1"/>
    <col min="15624" max="15624" width="20" customWidth="1"/>
    <col min="15875" max="15875" width="43.44140625" customWidth="1"/>
    <col min="15876" max="15876" width="22.44140625" customWidth="1"/>
    <col min="15877" max="15877" width="27.5546875" customWidth="1"/>
    <col min="15878" max="15878" width="17.109375" customWidth="1"/>
    <col min="15879" max="15879" width="28" customWidth="1"/>
    <col min="15880" max="15880" width="20" customWidth="1"/>
    <col min="16131" max="16131" width="43.44140625" customWidth="1"/>
    <col min="16132" max="16132" width="22.44140625" customWidth="1"/>
    <col min="16133" max="16133" width="27.5546875" customWidth="1"/>
    <col min="16134" max="16134" width="17.109375" customWidth="1"/>
    <col min="16135" max="16135" width="28" customWidth="1"/>
    <col min="16136" max="16136" width="20" customWidth="1"/>
  </cols>
  <sheetData>
    <row r="1" spans="1:8" ht="15.75" customHeight="1" x14ac:dyDescent="0.3">
      <c r="G1" s="1262" t="s">
        <v>443</v>
      </c>
      <c r="H1" s="1262"/>
    </row>
    <row r="3" spans="1:8" ht="15.6" x14ac:dyDescent="0.3">
      <c r="A3" s="1163" t="s">
        <v>460</v>
      </c>
      <c r="B3" s="1163"/>
      <c r="C3" s="1163"/>
      <c r="D3" s="1163"/>
      <c r="E3" s="1163"/>
      <c r="F3" s="1163"/>
      <c r="G3" s="1163"/>
      <c r="H3" s="1163"/>
    </row>
    <row r="4" spans="1:8" ht="15.6" x14ac:dyDescent="0.3">
      <c r="A4" s="1"/>
      <c r="B4" s="1"/>
      <c r="C4" s="1"/>
      <c r="D4" s="1"/>
      <c r="E4" s="1"/>
      <c r="F4" s="1"/>
      <c r="G4" s="1"/>
      <c r="H4" s="1"/>
    </row>
    <row r="5" spans="1:8" ht="43.5" customHeight="1" x14ac:dyDescent="0.3">
      <c r="A5" s="1261" t="s">
        <v>445</v>
      </c>
      <c r="B5" s="1263" t="s">
        <v>461</v>
      </c>
      <c r="C5" s="1264"/>
      <c r="D5" s="1265"/>
      <c r="E5" s="1261" t="s">
        <v>446</v>
      </c>
      <c r="F5" s="1261"/>
      <c r="G5" s="1261"/>
      <c r="H5" s="1261"/>
    </row>
    <row r="6" spans="1:8" ht="50.25" customHeight="1" x14ac:dyDescent="0.3">
      <c r="A6" s="1261"/>
      <c r="B6" s="89" t="s">
        <v>462</v>
      </c>
      <c r="C6" s="89" t="s">
        <v>463</v>
      </c>
      <c r="D6" s="91" t="s">
        <v>464</v>
      </c>
      <c r="E6" s="89" t="s">
        <v>447</v>
      </c>
      <c r="F6" s="89" t="s">
        <v>448</v>
      </c>
      <c r="G6" s="89" t="s">
        <v>449</v>
      </c>
      <c r="H6" s="89" t="s">
        <v>450</v>
      </c>
    </row>
    <row r="7" spans="1:8" ht="93.6" hidden="1" x14ac:dyDescent="0.3">
      <c r="A7" s="96" t="s">
        <v>451</v>
      </c>
      <c r="B7" s="96"/>
      <c r="C7" s="96"/>
      <c r="D7" s="97">
        <v>0</v>
      </c>
      <c r="E7" s="96" t="s">
        <v>452</v>
      </c>
      <c r="F7" s="96" t="s">
        <v>453</v>
      </c>
      <c r="G7" s="96" t="s">
        <v>454</v>
      </c>
      <c r="H7" s="96" t="s">
        <v>455</v>
      </c>
    </row>
    <row r="8" spans="1:8" ht="93.6" x14ac:dyDescent="0.3">
      <c r="A8" s="96" t="s">
        <v>466</v>
      </c>
      <c r="B8" s="94">
        <v>0</v>
      </c>
      <c r="C8" s="94">
        <v>0</v>
      </c>
      <c r="D8" s="98">
        <v>0</v>
      </c>
      <c r="E8" s="96" t="s">
        <v>456</v>
      </c>
      <c r="F8" s="99" t="s">
        <v>457</v>
      </c>
      <c r="G8" s="96" t="s">
        <v>454</v>
      </c>
      <c r="H8" s="96" t="s">
        <v>455</v>
      </c>
    </row>
    <row r="9" spans="1:8" ht="93.6" x14ac:dyDescent="0.3">
      <c r="A9" s="96" t="s">
        <v>465</v>
      </c>
      <c r="B9" s="94">
        <v>0</v>
      </c>
      <c r="C9" s="94">
        <v>0</v>
      </c>
      <c r="D9" s="98">
        <v>0</v>
      </c>
      <c r="E9" s="96" t="s">
        <v>467</v>
      </c>
      <c r="F9" s="99" t="s">
        <v>457</v>
      </c>
      <c r="G9" s="96" t="s">
        <v>468</v>
      </c>
      <c r="H9" s="96" t="s">
        <v>455</v>
      </c>
    </row>
    <row r="10" spans="1:8" ht="15.6" x14ac:dyDescent="0.3">
      <c r="A10" s="100" t="s">
        <v>458</v>
      </c>
      <c r="B10" s="98">
        <f t="shared" ref="B10:C10" si="0">B8+B9</f>
        <v>0</v>
      </c>
      <c r="C10" s="98">
        <f t="shared" si="0"/>
        <v>0</v>
      </c>
      <c r="D10" s="98">
        <f>D8+D9</f>
        <v>0</v>
      </c>
      <c r="E10" s="90" t="s">
        <v>459</v>
      </c>
      <c r="F10" s="90" t="s">
        <v>459</v>
      </c>
      <c r="G10" s="90" t="s">
        <v>459</v>
      </c>
      <c r="H10" s="90" t="s">
        <v>459</v>
      </c>
    </row>
  </sheetData>
  <mergeCells count="5">
    <mergeCell ref="A3:H3"/>
    <mergeCell ref="A5:A6"/>
    <mergeCell ref="E5:H5"/>
    <mergeCell ref="G1:H1"/>
    <mergeCell ref="B5:D5"/>
  </mergeCells>
  <pageMargins left="0.31496062992125984" right="0.31496062992125984" top="0.74803149606299213" bottom="0.35433070866141736" header="0.31496062992125984" footer="0.31496062992125984"/>
  <pageSetup paperSize="9" scale="7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B5" sqref="B5"/>
    </sheetView>
  </sheetViews>
  <sheetFormatPr defaultRowHeight="15.6" x14ac:dyDescent="0.3"/>
  <cols>
    <col min="1" max="1" width="50.6640625" style="6" customWidth="1"/>
    <col min="2" max="3" width="20.6640625" style="6" customWidth="1"/>
    <col min="4" max="4" width="19" style="6" customWidth="1"/>
    <col min="257" max="257" width="50.6640625" customWidth="1"/>
    <col min="258" max="259" width="20.6640625" customWidth="1"/>
    <col min="260" max="260" width="19" customWidth="1"/>
    <col min="513" max="513" width="50.6640625" customWidth="1"/>
    <col min="514" max="515" width="20.6640625" customWidth="1"/>
    <col min="516" max="516" width="19" customWidth="1"/>
    <col min="769" max="769" width="50.6640625" customWidth="1"/>
    <col min="770" max="771" width="20.6640625" customWidth="1"/>
    <col min="772" max="772" width="19" customWidth="1"/>
    <col min="1025" max="1025" width="50.6640625" customWidth="1"/>
    <col min="1026" max="1027" width="20.6640625" customWidth="1"/>
    <col min="1028" max="1028" width="19" customWidth="1"/>
    <col min="1281" max="1281" width="50.6640625" customWidth="1"/>
    <col min="1282" max="1283" width="20.6640625" customWidth="1"/>
    <col min="1284" max="1284" width="19" customWidth="1"/>
    <col min="1537" max="1537" width="50.6640625" customWidth="1"/>
    <col min="1538" max="1539" width="20.6640625" customWidth="1"/>
    <col min="1540" max="1540" width="19" customWidth="1"/>
    <col min="1793" max="1793" width="50.6640625" customWidth="1"/>
    <col min="1794" max="1795" width="20.6640625" customWidth="1"/>
    <col min="1796" max="1796" width="19" customWidth="1"/>
    <col min="2049" max="2049" width="50.6640625" customWidth="1"/>
    <col min="2050" max="2051" width="20.6640625" customWidth="1"/>
    <col min="2052" max="2052" width="19" customWidth="1"/>
    <col min="2305" max="2305" width="50.6640625" customWidth="1"/>
    <col min="2306" max="2307" width="20.6640625" customWidth="1"/>
    <col min="2308" max="2308" width="19" customWidth="1"/>
    <col min="2561" max="2561" width="50.6640625" customWidth="1"/>
    <col min="2562" max="2563" width="20.6640625" customWidth="1"/>
    <col min="2564" max="2564" width="19" customWidth="1"/>
    <col min="2817" max="2817" width="50.6640625" customWidth="1"/>
    <col min="2818" max="2819" width="20.6640625" customWidth="1"/>
    <col min="2820" max="2820" width="19" customWidth="1"/>
    <col min="3073" max="3073" width="50.6640625" customWidth="1"/>
    <col min="3074" max="3075" width="20.6640625" customWidth="1"/>
    <col min="3076" max="3076" width="19" customWidth="1"/>
    <col min="3329" max="3329" width="50.6640625" customWidth="1"/>
    <col min="3330" max="3331" width="20.6640625" customWidth="1"/>
    <col min="3332" max="3332" width="19" customWidth="1"/>
    <col min="3585" max="3585" width="50.6640625" customWidth="1"/>
    <col min="3586" max="3587" width="20.6640625" customWidth="1"/>
    <col min="3588" max="3588" width="19" customWidth="1"/>
    <col min="3841" max="3841" width="50.6640625" customWidth="1"/>
    <col min="3842" max="3843" width="20.6640625" customWidth="1"/>
    <col min="3844" max="3844" width="19" customWidth="1"/>
    <col min="4097" max="4097" width="50.6640625" customWidth="1"/>
    <col min="4098" max="4099" width="20.6640625" customWidth="1"/>
    <col min="4100" max="4100" width="19" customWidth="1"/>
    <col min="4353" max="4353" width="50.6640625" customWidth="1"/>
    <col min="4354" max="4355" width="20.6640625" customWidth="1"/>
    <col min="4356" max="4356" width="19" customWidth="1"/>
    <col min="4609" max="4609" width="50.6640625" customWidth="1"/>
    <col min="4610" max="4611" width="20.6640625" customWidth="1"/>
    <col min="4612" max="4612" width="19" customWidth="1"/>
    <col min="4865" max="4865" width="50.6640625" customWidth="1"/>
    <col min="4866" max="4867" width="20.6640625" customWidth="1"/>
    <col min="4868" max="4868" width="19" customWidth="1"/>
    <col min="5121" max="5121" width="50.6640625" customWidth="1"/>
    <col min="5122" max="5123" width="20.6640625" customWidth="1"/>
    <col min="5124" max="5124" width="19" customWidth="1"/>
    <col min="5377" max="5377" width="50.6640625" customWidth="1"/>
    <col min="5378" max="5379" width="20.6640625" customWidth="1"/>
    <col min="5380" max="5380" width="19" customWidth="1"/>
    <col min="5633" max="5633" width="50.6640625" customWidth="1"/>
    <col min="5634" max="5635" width="20.6640625" customWidth="1"/>
    <col min="5636" max="5636" width="19" customWidth="1"/>
    <col min="5889" max="5889" width="50.6640625" customWidth="1"/>
    <col min="5890" max="5891" width="20.6640625" customWidth="1"/>
    <col min="5892" max="5892" width="19" customWidth="1"/>
    <col min="6145" max="6145" width="50.6640625" customWidth="1"/>
    <col min="6146" max="6147" width="20.6640625" customWidth="1"/>
    <col min="6148" max="6148" width="19" customWidth="1"/>
    <col min="6401" max="6401" width="50.6640625" customWidth="1"/>
    <col min="6402" max="6403" width="20.6640625" customWidth="1"/>
    <col min="6404" max="6404" width="19" customWidth="1"/>
    <col min="6657" max="6657" width="50.6640625" customWidth="1"/>
    <col min="6658" max="6659" width="20.6640625" customWidth="1"/>
    <col min="6660" max="6660" width="19" customWidth="1"/>
    <col min="6913" max="6913" width="50.6640625" customWidth="1"/>
    <col min="6914" max="6915" width="20.6640625" customWidth="1"/>
    <col min="6916" max="6916" width="19" customWidth="1"/>
    <col min="7169" max="7169" width="50.6640625" customWidth="1"/>
    <col min="7170" max="7171" width="20.6640625" customWidth="1"/>
    <col min="7172" max="7172" width="19" customWidth="1"/>
    <col min="7425" max="7425" width="50.6640625" customWidth="1"/>
    <col min="7426" max="7427" width="20.6640625" customWidth="1"/>
    <col min="7428" max="7428" width="19" customWidth="1"/>
    <col min="7681" max="7681" width="50.6640625" customWidth="1"/>
    <col min="7682" max="7683" width="20.6640625" customWidth="1"/>
    <col min="7684" max="7684" width="19" customWidth="1"/>
    <col min="7937" max="7937" width="50.6640625" customWidth="1"/>
    <col min="7938" max="7939" width="20.6640625" customWidth="1"/>
    <col min="7940" max="7940" width="19" customWidth="1"/>
    <col min="8193" max="8193" width="50.6640625" customWidth="1"/>
    <col min="8194" max="8195" width="20.6640625" customWidth="1"/>
    <col min="8196" max="8196" width="19" customWidth="1"/>
    <col min="8449" max="8449" width="50.6640625" customWidth="1"/>
    <col min="8450" max="8451" width="20.6640625" customWidth="1"/>
    <col min="8452" max="8452" width="19" customWidth="1"/>
    <col min="8705" max="8705" width="50.6640625" customWidth="1"/>
    <col min="8706" max="8707" width="20.6640625" customWidth="1"/>
    <col min="8708" max="8708" width="19" customWidth="1"/>
    <col min="8961" max="8961" width="50.6640625" customWidth="1"/>
    <col min="8962" max="8963" width="20.6640625" customWidth="1"/>
    <col min="8964" max="8964" width="19" customWidth="1"/>
    <col min="9217" max="9217" width="50.6640625" customWidth="1"/>
    <col min="9218" max="9219" width="20.6640625" customWidth="1"/>
    <col min="9220" max="9220" width="19" customWidth="1"/>
    <col min="9473" max="9473" width="50.6640625" customWidth="1"/>
    <col min="9474" max="9475" width="20.6640625" customWidth="1"/>
    <col min="9476" max="9476" width="19" customWidth="1"/>
    <col min="9729" max="9729" width="50.6640625" customWidth="1"/>
    <col min="9730" max="9731" width="20.6640625" customWidth="1"/>
    <col min="9732" max="9732" width="19" customWidth="1"/>
    <col min="9985" max="9985" width="50.6640625" customWidth="1"/>
    <col min="9986" max="9987" width="20.6640625" customWidth="1"/>
    <col min="9988" max="9988" width="19" customWidth="1"/>
    <col min="10241" max="10241" width="50.6640625" customWidth="1"/>
    <col min="10242" max="10243" width="20.6640625" customWidth="1"/>
    <col min="10244" max="10244" width="19" customWidth="1"/>
    <col min="10497" max="10497" width="50.6640625" customWidth="1"/>
    <col min="10498" max="10499" width="20.6640625" customWidth="1"/>
    <col min="10500" max="10500" width="19" customWidth="1"/>
    <col min="10753" max="10753" width="50.6640625" customWidth="1"/>
    <col min="10754" max="10755" width="20.6640625" customWidth="1"/>
    <col min="10756" max="10756" width="19" customWidth="1"/>
    <col min="11009" max="11009" width="50.6640625" customWidth="1"/>
    <col min="11010" max="11011" width="20.6640625" customWidth="1"/>
    <col min="11012" max="11012" width="19" customWidth="1"/>
    <col min="11265" max="11265" width="50.6640625" customWidth="1"/>
    <col min="11266" max="11267" width="20.6640625" customWidth="1"/>
    <col min="11268" max="11268" width="19" customWidth="1"/>
    <col min="11521" max="11521" width="50.6640625" customWidth="1"/>
    <col min="11522" max="11523" width="20.6640625" customWidth="1"/>
    <col min="11524" max="11524" width="19" customWidth="1"/>
    <col min="11777" max="11777" width="50.6640625" customWidth="1"/>
    <col min="11778" max="11779" width="20.6640625" customWidth="1"/>
    <col min="11780" max="11780" width="19" customWidth="1"/>
    <col min="12033" max="12033" width="50.6640625" customWidth="1"/>
    <col min="12034" max="12035" width="20.6640625" customWidth="1"/>
    <col min="12036" max="12036" width="19" customWidth="1"/>
    <col min="12289" max="12289" width="50.6640625" customWidth="1"/>
    <col min="12290" max="12291" width="20.6640625" customWidth="1"/>
    <col min="12292" max="12292" width="19" customWidth="1"/>
    <col min="12545" max="12545" width="50.6640625" customWidth="1"/>
    <col min="12546" max="12547" width="20.6640625" customWidth="1"/>
    <col min="12548" max="12548" width="19" customWidth="1"/>
    <col min="12801" max="12801" width="50.6640625" customWidth="1"/>
    <col min="12802" max="12803" width="20.6640625" customWidth="1"/>
    <col min="12804" max="12804" width="19" customWidth="1"/>
    <col min="13057" max="13057" width="50.6640625" customWidth="1"/>
    <col min="13058" max="13059" width="20.6640625" customWidth="1"/>
    <col min="13060" max="13060" width="19" customWidth="1"/>
    <col min="13313" max="13313" width="50.6640625" customWidth="1"/>
    <col min="13314" max="13315" width="20.6640625" customWidth="1"/>
    <col min="13316" max="13316" width="19" customWidth="1"/>
    <col min="13569" max="13569" width="50.6640625" customWidth="1"/>
    <col min="13570" max="13571" width="20.6640625" customWidth="1"/>
    <col min="13572" max="13572" width="19" customWidth="1"/>
    <col min="13825" max="13825" width="50.6640625" customWidth="1"/>
    <col min="13826" max="13827" width="20.6640625" customWidth="1"/>
    <col min="13828" max="13828" width="19" customWidth="1"/>
    <col min="14081" max="14081" width="50.6640625" customWidth="1"/>
    <col min="14082" max="14083" width="20.6640625" customWidth="1"/>
    <col min="14084" max="14084" width="19" customWidth="1"/>
    <col min="14337" max="14337" width="50.6640625" customWidth="1"/>
    <col min="14338" max="14339" width="20.6640625" customWidth="1"/>
    <col min="14340" max="14340" width="19" customWidth="1"/>
    <col min="14593" max="14593" width="50.6640625" customWidth="1"/>
    <col min="14594" max="14595" width="20.6640625" customWidth="1"/>
    <col min="14596" max="14596" width="19" customWidth="1"/>
    <col min="14849" max="14849" width="50.6640625" customWidth="1"/>
    <col min="14850" max="14851" width="20.6640625" customWidth="1"/>
    <col min="14852" max="14852" width="19" customWidth="1"/>
    <col min="15105" max="15105" width="50.6640625" customWidth="1"/>
    <col min="15106" max="15107" width="20.6640625" customWidth="1"/>
    <col min="15108" max="15108" width="19" customWidth="1"/>
    <col min="15361" max="15361" width="50.6640625" customWidth="1"/>
    <col min="15362" max="15363" width="20.6640625" customWidth="1"/>
    <col min="15364" max="15364" width="19" customWidth="1"/>
    <col min="15617" max="15617" width="50.6640625" customWidth="1"/>
    <col min="15618" max="15619" width="20.6640625" customWidth="1"/>
    <col min="15620" max="15620" width="19" customWidth="1"/>
    <col min="15873" max="15873" width="50.6640625" customWidth="1"/>
    <col min="15874" max="15875" width="20.6640625" customWidth="1"/>
    <col min="15876" max="15876" width="19" customWidth="1"/>
    <col min="16129" max="16129" width="50.6640625" customWidth="1"/>
    <col min="16130" max="16131" width="20.6640625" customWidth="1"/>
    <col min="16132" max="16132" width="19" customWidth="1"/>
  </cols>
  <sheetData>
    <row r="1" spans="1:4" x14ac:dyDescent="0.3">
      <c r="A1" s="6" t="s">
        <v>443</v>
      </c>
      <c r="B1" s="1266" t="s">
        <v>548</v>
      </c>
      <c r="C1" s="1266"/>
      <c r="D1" s="1266"/>
    </row>
    <row r="2" spans="1:4" x14ac:dyDescent="0.3">
      <c r="B2" s="1266" t="s">
        <v>155</v>
      </c>
      <c r="C2" s="1266"/>
      <c r="D2" s="1266"/>
    </row>
    <row r="3" spans="1:4" x14ac:dyDescent="0.3">
      <c r="B3" s="1266" t="s">
        <v>543</v>
      </c>
      <c r="C3" s="1266"/>
      <c r="D3" s="1266"/>
    </row>
    <row r="4" spans="1:4" x14ac:dyDescent="0.3">
      <c r="B4" s="156"/>
      <c r="C4" s="156"/>
      <c r="D4" s="157" t="s">
        <v>153</v>
      </c>
    </row>
    <row r="6" spans="1:4" x14ac:dyDescent="0.3">
      <c r="A6" s="1267" t="s">
        <v>549</v>
      </c>
      <c r="B6" s="1267"/>
      <c r="C6" s="1267"/>
      <c r="D6" s="1267"/>
    </row>
    <row r="8" spans="1:4" x14ac:dyDescent="0.3">
      <c r="D8" s="158" t="s">
        <v>550</v>
      </c>
    </row>
    <row r="9" spans="1:4" s="42" customFormat="1" ht="31.2" x14ac:dyDescent="0.3">
      <c r="A9" s="127" t="s">
        <v>551</v>
      </c>
      <c r="B9" s="159" t="s">
        <v>552</v>
      </c>
      <c r="C9" s="159" t="s">
        <v>553</v>
      </c>
      <c r="D9" s="159" t="s">
        <v>554</v>
      </c>
    </row>
    <row r="10" spans="1:4" ht="31.2" x14ac:dyDescent="0.3">
      <c r="A10" s="127" t="s">
        <v>555</v>
      </c>
      <c r="B10" s="128">
        <v>0</v>
      </c>
      <c r="C10" s="128">
        <v>0</v>
      </c>
      <c r="D10" s="128">
        <v>0</v>
      </c>
    </row>
    <row r="11" spans="1:4" ht="31.2" x14ac:dyDescent="0.3">
      <c r="A11" s="127" t="s">
        <v>556</v>
      </c>
      <c r="B11" s="128">
        <v>2954300</v>
      </c>
      <c r="C11" s="128">
        <v>719000</v>
      </c>
      <c r="D11" s="128">
        <v>0</v>
      </c>
    </row>
    <row r="12" spans="1:4" x14ac:dyDescent="0.3">
      <c r="A12" s="155" t="s">
        <v>547</v>
      </c>
      <c r="B12" s="128">
        <f>SUM(B10:B11)</f>
        <v>2954300</v>
      </c>
      <c r="C12" s="128">
        <f>SUM(C10:C11)</f>
        <v>719000</v>
      </c>
      <c r="D12" s="128">
        <f>SUM(D10:D11)</f>
        <v>0</v>
      </c>
    </row>
  </sheetData>
  <mergeCells count="4">
    <mergeCell ref="B1:D1"/>
    <mergeCell ref="B2:D2"/>
    <mergeCell ref="B3:D3"/>
    <mergeCell ref="A6:D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S233"/>
  <sheetViews>
    <sheetView topLeftCell="A2" zoomScale="90" zoomScaleNormal="90" workbookViewId="0">
      <selection activeCell="K215" sqref="K215"/>
    </sheetView>
  </sheetViews>
  <sheetFormatPr defaultRowHeight="14.4" x14ac:dyDescent="0.3"/>
  <cols>
    <col min="1" max="1" width="8.6640625" customWidth="1"/>
    <col min="2" max="2" width="75.6640625" customWidth="1"/>
    <col min="3" max="3" width="21" customWidth="1"/>
    <col min="4" max="7" width="9.109375" hidden="1" customWidth="1"/>
    <col min="8" max="8" width="5.44140625" hidden="1" customWidth="1"/>
    <col min="9" max="9" width="19.109375" customWidth="1"/>
    <col min="10" max="10" width="12" customWidth="1"/>
    <col min="11" max="11" width="23.5546875" customWidth="1"/>
    <col min="12" max="12" width="0.33203125" hidden="1" customWidth="1"/>
    <col min="13" max="13" width="26.88671875" customWidth="1"/>
    <col min="14" max="14" width="3" hidden="1" customWidth="1"/>
    <col min="15" max="15" width="37.109375" customWidth="1"/>
    <col min="16" max="16" width="25" hidden="1" customWidth="1"/>
    <col min="17" max="20" width="0" style="336" hidden="1" customWidth="1"/>
    <col min="21" max="21" width="9.109375" style="336" hidden="1" customWidth="1"/>
    <col min="22" max="22" width="8.6640625" style="336" hidden="1" customWidth="1"/>
  </cols>
  <sheetData>
    <row r="1" spans="1:227" ht="18" hidden="1" x14ac:dyDescent="0.35">
      <c r="A1" s="331"/>
      <c r="B1" s="500"/>
      <c r="C1" s="330"/>
      <c r="D1" s="330"/>
      <c r="E1" s="503"/>
      <c r="F1" s="331"/>
      <c r="G1" s="331"/>
      <c r="H1" s="331"/>
      <c r="I1" s="352"/>
      <c r="J1" s="352"/>
      <c r="K1" s="352"/>
      <c r="L1" s="352"/>
      <c r="M1" s="352"/>
      <c r="N1" s="352"/>
      <c r="O1" s="353"/>
    </row>
    <row r="2" spans="1:227" ht="18" x14ac:dyDescent="0.35">
      <c r="A2" s="1268" t="s">
        <v>1117</v>
      </c>
      <c r="B2" s="1268"/>
      <c r="C2" s="330"/>
      <c r="D2" s="330"/>
      <c r="E2" s="503"/>
      <c r="F2" s="331"/>
      <c r="G2" s="331"/>
      <c r="H2" s="331"/>
      <c r="I2" s="352"/>
      <c r="J2" s="352"/>
      <c r="K2" s="352"/>
      <c r="L2" s="352" t="s">
        <v>1118</v>
      </c>
      <c r="M2" s="1330" t="s">
        <v>151</v>
      </c>
      <c r="N2" s="1330"/>
      <c r="O2" s="1330"/>
    </row>
    <row r="3" spans="1:227" ht="18" x14ac:dyDescent="0.35">
      <c r="A3" s="1268" t="s">
        <v>1119</v>
      </c>
      <c r="B3" s="1268"/>
      <c r="C3" s="330"/>
      <c r="D3" s="330"/>
      <c r="E3" s="503"/>
      <c r="F3" s="331"/>
      <c r="G3" s="331"/>
      <c r="H3" s="331"/>
      <c r="I3" s="352"/>
      <c r="J3" s="352"/>
      <c r="K3" s="352"/>
      <c r="L3" s="352" t="s">
        <v>1120</v>
      </c>
      <c r="M3" s="1330" t="s">
        <v>1202</v>
      </c>
      <c r="N3" s="1330"/>
      <c r="O3" s="1330"/>
    </row>
    <row r="4" spans="1:227" ht="18" x14ac:dyDescent="0.35">
      <c r="A4" s="1353" t="s">
        <v>1121</v>
      </c>
      <c r="B4" s="1353"/>
      <c r="C4" s="330"/>
      <c r="D4" s="330"/>
      <c r="E4" s="503"/>
      <c r="F4" s="331"/>
      <c r="G4" s="331"/>
      <c r="H4" s="331"/>
      <c r="I4" s="352"/>
      <c r="J4" s="352"/>
      <c r="K4" s="352"/>
      <c r="L4" s="352"/>
      <c r="M4" s="352"/>
      <c r="N4" s="352"/>
      <c r="O4" s="353"/>
    </row>
    <row r="5" spans="1:227" ht="18" x14ac:dyDescent="0.35">
      <c r="A5" s="1353" t="s">
        <v>1122</v>
      </c>
      <c r="B5" s="1353"/>
      <c r="C5" s="330"/>
      <c r="D5" s="330"/>
      <c r="E5" s="503"/>
      <c r="F5" s="331"/>
      <c r="G5" s="331"/>
      <c r="H5" s="331"/>
      <c r="I5" s="352"/>
      <c r="J5" s="352"/>
      <c r="K5" s="352"/>
      <c r="L5" s="352"/>
      <c r="M5" s="352"/>
      <c r="N5" s="352"/>
      <c r="O5" s="353"/>
    </row>
    <row r="6" spans="1:227" ht="21.75" customHeight="1" x14ac:dyDescent="0.35">
      <c r="A6" s="1268" t="s">
        <v>1123</v>
      </c>
      <c r="B6" s="1268"/>
      <c r="C6" s="330"/>
      <c r="D6" s="330"/>
      <c r="E6" s="503"/>
      <c r="F6" s="331"/>
      <c r="G6" s="331"/>
      <c r="H6" s="331"/>
      <c r="I6" s="352"/>
      <c r="J6" s="352"/>
      <c r="K6" s="352"/>
      <c r="L6" s="352"/>
      <c r="M6" s="352"/>
      <c r="N6" s="352"/>
      <c r="O6" s="353"/>
    </row>
    <row r="7" spans="1:227" ht="23.25" customHeight="1" x14ac:dyDescent="0.35">
      <c r="A7" s="1268" t="s">
        <v>1124</v>
      </c>
      <c r="B7" s="1268"/>
      <c r="C7" s="330"/>
      <c r="D7" s="330"/>
      <c r="E7" s="503"/>
      <c r="F7" s="331"/>
      <c r="G7" s="331"/>
      <c r="H7" s="331"/>
      <c r="I7" s="352"/>
      <c r="J7" s="352"/>
      <c r="K7" s="352"/>
      <c r="L7" s="352"/>
      <c r="M7" s="352"/>
      <c r="N7" s="352"/>
      <c r="O7" s="353"/>
    </row>
    <row r="8" spans="1:227" ht="18" x14ac:dyDescent="0.35">
      <c r="A8" s="1309" t="s">
        <v>1125</v>
      </c>
      <c r="B8" s="1309"/>
      <c r="C8" s="330"/>
      <c r="D8" s="330"/>
      <c r="E8" s="503"/>
      <c r="F8" s="331"/>
      <c r="G8" s="331"/>
      <c r="H8" s="331"/>
      <c r="I8" s="1310"/>
      <c r="J8" s="1310"/>
      <c r="K8" s="1310"/>
      <c r="L8" s="1310"/>
      <c r="M8" s="1310"/>
      <c r="N8" s="1310"/>
      <c r="O8" s="1310"/>
    </row>
    <row r="9" spans="1:227" ht="18" x14ac:dyDescent="0.35">
      <c r="A9" s="1268" t="s">
        <v>1126</v>
      </c>
      <c r="B9" s="1268"/>
      <c r="C9" s="330"/>
      <c r="D9" s="330"/>
      <c r="E9" s="503"/>
      <c r="F9" s="331"/>
      <c r="G9" s="331"/>
      <c r="H9" s="331"/>
      <c r="I9" s="1310"/>
      <c r="J9" s="1310"/>
      <c r="K9" s="1310"/>
      <c r="L9" s="1310"/>
      <c r="M9" s="1310"/>
      <c r="N9" s="1310"/>
      <c r="O9" s="1310"/>
    </row>
    <row r="10" spans="1:227" ht="18" x14ac:dyDescent="0.35">
      <c r="A10" s="1268" t="s">
        <v>1127</v>
      </c>
      <c r="B10" s="1268"/>
      <c r="C10" s="330"/>
      <c r="D10" s="330"/>
      <c r="E10" s="503"/>
      <c r="F10" s="331"/>
      <c r="G10" s="331"/>
      <c r="H10" s="331"/>
      <c r="I10" s="1310"/>
      <c r="J10" s="1310"/>
      <c r="K10" s="1310"/>
      <c r="L10" s="1310"/>
      <c r="M10" s="1310"/>
      <c r="N10" s="1310"/>
      <c r="O10" s="1310"/>
    </row>
    <row r="11" spans="1:227" ht="18" x14ac:dyDescent="0.35">
      <c r="A11" s="1268" t="s">
        <v>1352</v>
      </c>
      <c r="B11" s="1268"/>
      <c r="C11" s="330"/>
      <c r="D11" s="330"/>
      <c r="E11" s="503"/>
      <c r="F11" s="331"/>
      <c r="G11" s="331"/>
      <c r="H11" s="331"/>
      <c r="I11" s="1310"/>
      <c r="J11" s="1310"/>
      <c r="K11" s="1310"/>
      <c r="L11" s="1310"/>
      <c r="M11" s="1310"/>
      <c r="N11" s="1310"/>
      <c r="O11" s="1310"/>
    </row>
    <row r="12" spans="1:227" ht="18" x14ac:dyDescent="0.35">
      <c r="A12" s="1268" t="s">
        <v>1128</v>
      </c>
      <c r="B12" s="1268"/>
      <c r="C12" s="330"/>
      <c r="D12" s="330"/>
      <c r="E12" s="503"/>
      <c r="F12" s="331"/>
      <c r="G12" s="331"/>
      <c r="H12" s="331"/>
      <c r="I12" s="501"/>
      <c r="J12" s="501"/>
      <c r="K12" s="501"/>
      <c r="L12" s="501"/>
      <c r="M12" s="501"/>
      <c r="N12" s="501"/>
      <c r="O12" s="501"/>
    </row>
    <row r="13" spans="1:227" ht="12.75" customHeight="1" x14ac:dyDescent="0.35">
      <c r="A13" s="331"/>
      <c r="B13" s="330"/>
      <c r="C13" s="330"/>
      <c r="D13" s="330"/>
      <c r="E13" s="503"/>
      <c r="F13" s="331"/>
      <c r="G13" s="331"/>
      <c r="H13" s="331"/>
      <c r="I13" s="352"/>
      <c r="J13" s="352"/>
      <c r="K13" s="352"/>
      <c r="L13" s="352"/>
      <c r="M13" s="352"/>
      <c r="N13" s="352"/>
      <c r="O13" s="353"/>
      <c r="W13" s="336"/>
      <c r="X13" s="336"/>
      <c r="Y13" s="336"/>
      <c r="Z13" s="336"/>
      <c r="AA13" s="336"/>
      <c r="AB13" s="336"/>
      <c r="AC13" s="336"/>
      <c r="AD13" s="336"/>
      <c r="AE13" s="336"/>
      <c r="AF13" s="336"/>
      <c r="AG13" s="336"/>
      <c r="AH13" s="336"/>
      <c r="AI13" s="336"/>
      <c r="AJ13" s="336"/>
      <c r="AK13" s="336"/>
      <c r="AL13" s="336"/>
      <c r="AM13" s="336"/>
      <c r="AN13" s="336"/>
      <c r="AO13" s="336"/>
      <c r="AP13" s="336"/>
      <c r="AQ13" s="336"/>
      <c r="AR13" s="336"/>
      <c r="AS13" s="336"/>
      <c r="AT13" s="336"/>
      <c r="AU13" s="336"/>
      <c r="AV13" s="336"/>
      <c r="AW13" s="336"/>
      <c r="AX13" s="336"/>
      <c r="AY13" s="336"/>
      <c r="AZ13" s="336"/>
      <c r="BA13" s="336"/>
      <c r="BB13" s="336"/>
      <c r="BC13" s="336"/>
      <c r="BD13" s="336"/>
      <c r="BE13" s="336"/>
      <c r="BF13" s="336"/>
      <c r="BG13" s="336"/>
      <c r="BH13" s="336"/>
      <c r="BI13" s="336"/>
      <c r="BJ13" s="336"/>
      <c r="BK13" s="336"/>
      <c r="BL13" s="336"/>
      <c r="BM13" s="336"/>
      <c r="BN13" s="336"/>
      <c r="BO13" s="336"/>
      <c r="BP13" s="336"/>
      <c r="BQ13" s="336"/>
      <c r="BR13" s="336"/>
      <c r="BS13" s="336"/>
      <c r="BT13" s="336"/>
      <c r="BU13" s="336"/>
      <c r="BV13" s="336"/>
      <c r="BW13" s="336"/>
      <c r="BX13" s="336"/>
      <c r="BY13" s="336"/>
      <c r="BZ13" s="336"/>
      <c r="CA13" s="336"/>
      <c r="CB13" s="336"/>
      <c r="CC13" s="336"/>
      <c r="CD13" s="336"/>
      <c r="CE13" s="336"/>
      <c r="CF13" s="336"/>
      <c r="CG13" s="336"/>
      <c r="CH13" s="336"/>
      <c r="CI13" s="336"/>
      <c r="CJ13" s="336"/>
      <c r="CK13" s="336"/>
      <c r="CL13" s="336"/>
      <c r="CM13" s="336"/>
      <c r="CN13" s="336"/>
      <c r="CO13" s="336"/>
      <c r="CP13" s="336"/>
      <c r="CQ13" s="336"/>
      <c r="CR13" s="336"/>
      <c r="CS13" s="336"/>
      <c r="CT13" s="336"/>
      <c r="CU13" s="336"/>
      <c r="CV13" s="336"/>
      <c r="CW13" s="336"/>
      <c r="CX13" s="336"/>
      <c r="CY13" s="336"/>
      <c r="CZ13" s="336"/>
      <c r="DA13" s="336"/>
      <c r="DB13" s="336"/>
      <c r="DC13" s="336"/>
      <c r="DD13" s="336"/>
      <c r="DE13" s="336"/>
      <c r="DF13" s="336"/>
      <c r="DG13" s="336"/>
      <c r="DH13" s="336"/>
      <c r="DI13" s="336"/>
      <c r="DJ13" s="336"/>
      <c r="DK13" s="336"/>
      <c r="DL13" s="336"/>
      <c r="DM13" s="336"/>
      <c r="DN13" s="336"/>
      <c r="DO13" s="336"/>
      <c r="DP13" s="336"/>
      <c r="DQ13" s="336"/>
      <c r="DR13" s="336"/>
      <c r="DS13" s="336"/>
      <c r="DT13" s="336"/>
      <c r="DU13" s="336"/>
      <c r="DV13" s="336"/>
      <c r="DW13" s="336"/>
      <c r="DX13" s="336"/>
      <c r="DY13" s="336"/>
      <c r="DZ13" s="336"/>
      <c r="EA13" s="336"/>
      <c r="EB13" s="336"/>
      <c r="EC13" s="336"/>
      <c r="ED13" s="336"/>
      <c r="EE13" s="336"/>
      <c r="EF13" s="336"/>
      <c r="EG13" s="336"/>
      <c r="EH13" s="336"/>
      <c r="EI13" s="336"/>
      <c r="EJ13" s="336"/>
      <c r="EK13" s="336"/>
      <c r="EL13" s="336"/>
      <c r="EM13" s="336"/>
      <c r="EN13" s="336"/>
    </row>
    <row r="14" spans="1:227" ht="18" x14ac:dyDescent="0.35">
      <c r="A14" s="1315" t="s">
        <v>1335</v>
      </c>
      <c r="B14" s="1315"/>
      <c r="C14" s="1315"/>
      <c r="D14" s="1315"/>
      <c r="E14" s="1315"/>
      <c r="F14" s="1315"/>
      <c r="G14" s="1315"/>
      <c r="H14" s="1315"/>
      <c r="I14" s="1315"/>
      <c r="J14" s="1315"/>
      <c r="K14" s="1315"/>
      <c r="L14" s="1315"/>
      <c r="M14" s="1315"/>
      <c r="N14" s="1315"/>
      <c r="O14" s="1315"/>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6"/>
      <c r="AT14" s="336"/>
      <c r="AU14" s="336"/>
      <c r="AV14" s="336"/>
      <c r="AW14" s="336"/>
      <c r="AX14" s="336"/>
      <c r="AY14" s="336"/>
      <c r="AZ14" s="336"/>
      <c r="BA14" s="336"/>
      <c r="BB14" s="336"/>
      <c r="BC14" s="336"/>
      <c r="BD14" s="336"/>
      <c r="BE14" s="336"/>
      <c r="BF14" s="336"/>
      <c r="BG14" s="336"/>
      <c r="BH14" s="336"/>
      <c r="BI14" s="336"/>
      <c r="BJ14" s="336"/>
      <c r="BK14" s="336"/>
      <c r="BL14" s="336"/>
      <c r="BM14" s="336"/>
      <c r="BN14" s="336"/>
      <c r="BO14" s="336"/>
      <c r="BP14" s="336"/>
      <c r="BQ14" s="336"/>
      <c r="BR14" s="336"/>
      <c r="BS14" s="336"/>
      <c r="BT14" s="336"/>
      <c r="BU14" s="336"/>
      <c r="BV14" s="336"/>
      <c r="BW14" s="336"/>
      <c r="BX14" s="336"/>
      <c r="BY14" s="336"/>
      <c r="BZ14" s="336"/>
      <c r="CA14" s="336"/>
      <c r="CB14" s="336"/>
      <c r="CC14" s="336"/>
      <c r="CD14" s="336"/>
      <c r="CE14" s="336"/>
      <c r="CF14" s="336"/>
      <c r="CG14" s="336"/>
      <c r="CH14" s="336"/>
      <c r="CI14" s="336"/>
      <c r="CJ14" s="336"/>
      <c r="CK14" s="336"/>
      <c r="CL14" s="336"/>
      <c r="CM14" s="336"/>
      <c r="CN14" s="336"/>
      <c r="CO14" s="336"/>
      <c r="CP14" s="336"/>
      <c r="CQ14" s="336"/>
      <c r="CR14" s="336"/>
      <c r="CS14" s="336"/>
      <c r="CT14" s="336"/>
      <c r="CU14" s="336"/>
      <c r="CV14" s="336"/>
      <c r="CW14" s="336"/>
      <c r="CX14" s="336"/>
      <c r="CY14" s="336"/>
      <c r="CZ14" s="336"/>
      <c r="DA14" s="336"/>
      <c r="DB14" s="336"/>
      <c r="DC14" s="336"/>
      <c r="DD14" s="336"/>
      <c r="DE14" s="336"/>
      <c r="DF14" s="336"/>
      <c r="DG14" s="336"/>
      <c r="DH14" s="336"/>
      <c r="DI14" s="336"/>
      <c r="DJ14" s="336"/>
      <c r="DK14" s="336"/>
      <c r="DL14" s="336"/>
      <c r="DM14" s="336"/>
      <c r="DN14" s="336"/>
      <c r="DO14" s="336"/>
      <c r="DP14" s="336"/>
      <c r="DQ14" s="336"/>
      <c r="DR14" s="336"/>
      <c r="DS14" s="336"/>
      <c r="DT14" s="336"/>
      <c r="DU14" s="336"/>
      <c r="DV14" s="336"/>
      <c r="DW14" s="336"/>
      <c r="DX14" s="336"/>
      <c r="DY14" s="336"/>
      <c r="DZ14" s="336"/>
      <c r="EA14" s="336"/>
      <c r="EB14" s="336"/>
      <c r="EC14" s="336"/>
      <c r="ED14" s="336"/>
      <c r="EE14" s="336"/>
      <c r="EF14" s="336"/>
      <c r="EG14" s="336"/>
      <c r="EH14" s="336"/>
      <c r="EI14" s="336"/>
      <c r="EJ14" s="336"/>
      <c r="EK14" s="336"/>
      <c r="EL14" s="336"/>
      <c r="EM14" s="336"/>
      <c r="EN14" s="336"/>
      <c r="EO14" s="336"/>
      <c r="EP14" s="336"/>
      <c r="EQ14" s="336"/>
      <c r="ER14" s="336"/>
      <c r="ES14" s="336"/>
      <c r="ET14" s="336"/>
      <c r="EU14" s="336"/>
      <c r="EV14" s="336"/>
      <c r="EW14" s="336"/>
      <c r="EX14" s="336"/>
      <c r="EY14" s="336"/>
      <c r="EZ14" s="336"/>
      <c r="FA14" s="336"/>
      <c r="FB14" s="336"/>
      <c r="FC14" s="336"/>
      <c r="FD14" s="336"/>
      <c r="FE14" s="336"/>
      <c r="FF14" s="336"/>
      <c r="FG14" s="336"/>
      <c r="FH14" s="336"/>
      <c r="FI14" s="336"/>
      <c r="FJ14" s="336"/>
      <c r="FK14" s="336"/>
      <c r="FL14" s="336"/>
      <c r="FM14" s="336"/>
      <c r="FN14" s="336"/>
      <c r="FO14" s="336"/>
      <c r="FP14" s="336"/>
      <c r="FQ14" s="336"/>
      <c r="FR14" s="336"/>
      <c r="FS14" s="336"/>
      <c r="FT14" s="336"/>
      <c r="FU14" s="336"/>
      <c r="FV14" s="336"/>
      <c r="FW14" s="336"/>
      <c r="FX14" s="336"/>
      <c r="FY14" s="336"/>
      <c r="FZ14" s="336"/>
      <c r="GA14" s="336"/>
      <c r="GB14" s="336"/>
      <c r="GC14" s="336"/>
      <c r="GD14" s="336"/>
      <c r="GE14" s="336"/>
      <c r="GF14" s="336"/>
      <c r="GG14" s="336"/>
      <c r="GH14" s="336"/>
      <c r="GI14" s="336"/>
      <c r="GJ14" s="336"/>
      <c r="GK14" s="336"/>
      <c r="GL14" s="336"/>
      <c r="GM14" s="336"/>
      <c r="GN14" s="336"/>
      <c r="GO14" s="336"/>
      <c r="GP14" s="336"/>
      <c r="GQ14" s="336"/>
      <c r="GR14" s="336"/>
      <c r="GS14" s="336"/>
      <c r="GT14" s="336"/>
      <c r="GU14" s="336"/>
      <c r="GV14" s="336"/>
      <c r="GW14" s="336"/>
      <c r="GX14" s="336"/>
      <c r="GY14" s="336"/>
      <c r="GZ14" s="336"/>
      <c r="HA14" s="336"/>
      <c r="HB14" s="336"/>
      <c r="HC14" s="336"/>
      <c r="HD14" s="336"/>
      <c r="HE14" s="336"/>
      <c r="HF14" s="336"/>
      <c r="HG14" s="336"/>
      <c r="HH14" s="336"/>
      <c r="HI14" s="336"/>
      <c r="HJ14" s="336"/>
      <c r="HK14" s="336"/>
      <c r="HL14" s="336"/>
      <c r="HM14" s="336"/>
      <c r="HN14" s="336"/>
      <c r="HO14" s="336"/>
      <c r="HP14" s="336"/>
      <c r="HQ14" s="336"/>
      <c r="HR14" s="336"/>
      <c r="HS14" s="336"/>
    </row>
    <row r="15" spans="1:227" ht="18" x14ac:dyDescent="0.35">
      <c r="A15" s="331"/>
      <c r="B15" s="330"/>
      <c r="C15" s="330"/>
      <c r="D15" s="330"/>
      <c r="E15" s="503"/>
      <c r="F15" s="331"/>
      <c r="G15" s="331"/>
      <c r="H15" s="331"/>
      <c r="I15" s="352"/>
      <c r="J15" s="352"/>
      <c r="K15" s="352"/>
      <c r="L15" s="352"/>
      <c r="M15" s="352"/>
      <c r="N15" s="352"/>
      <c r="O15" s="504" t="s">
        <v>478</v>
      </c>
      <c r="W15" s="336"/>
      <c r="X15" s="336"/>
      <c r="Y15" s="336"/>
      <c r="Z15" s="336"/>
      <c r="AA15" s="336"/>
      <c r="AB15" s="336"/>
      <c r="AC15" s="336"/>
      <c r="AD15" s="336"/>
      <c r="AE15" s="336"/>
      <c r="AF15" s="336"/>
      <c r="AG15" s="336"/>
      <c r="AH15" s="336"/>
      <c r="AI15" s="336"/>
      <c r="AJ15" s="336"/>
      <c r="AK15" s="336"/>
      <c r="AL15" s="336"/>
      <c r="AM15" s="336"/>
      <c r="AN15" s="336"/>
      <c r="AO15" s="336"/>
      <c r="AP15" s="336"/>
      <c r="AQ15" s="336"/>
      <c r="AR15" s="336"/>
      <c r="AS15" s="336"/>
      <c r="AT15" s="336"/>
      <c r="AU15" s="336"/>
      <c r="AV15" s="336"/>
      <c r="AW15" s="336"/>
      <c r="AX15" s="336"/>
      <c r="AY15" s="336"/>
      <c r="AZ15" s="336"/>
      <c r="BA15" s="336"/>
      <c r="BB15" s="336"/>
      <c r="BC15" s="336"/>
      <c r="BD15" s="336"/>
      <c r="BE15" s="336"/>
      <c r="BF15" s="336"/>
      <c r="BG15" s="336"/>
      <c r="BH15" s="336"/>
      <c r="BI15" s="336"/>
      <c r="BJ15" s="336"/>
      <c r="BK15" s="336"/>
      <c r="BL15" s="336"/>
      <c r="BM15" s="336"/>
      <c r="BN15" s="336"/>
      <c r="BO15" s="336"/>
      <c r="BP15" s="336"/>
      <c r="BQ15" s="336"/>
      <c r="BR15" s="336"/>
      <c r="BS15" s="336"/>
      <c r="BT15" s="336"/>
      <c r="BU15" s="336"/>
      <c r="BV15" s="336"/>
      <c r="BW15" s="336"/>
      <c r="BX15" s="336"/>
      <c r="BY15" s="336"/>
      <c r="BZ15" s="336"/>
      <c r="CA15" s="336"/>
      <c r="CB15" s="336"/>
      <c r="CC15" s="336"/>
      <c r="CD15" s="336"/>
      <c r="CE15" s="336"/>
      <c r="CF15" s="336"/>
      <c r="CG15" s="336"/>
      <c r="CH15" s="336"/>
      <c r="CI15" s="336"/>
      <c r="CJ15" s="336"/>
      <c r="CK15" s="336"/>
      <c r="CL15" s="336"/>
      <c r="CM15" s="336"/>
      <c r="CN15" s="336"/>
      <c r="CO15" s="336"/>
      <c r="CP15" s="336"/>
      <c r="CQ15" s="336"/>
      <c r="CR15" s="336"/>
      <c r="CS15" s="336"/>
      <c r="CT15" s="336"/>
      <c r="CU15" s="336"/>
      <c r="CV15" s="336"/>
      <c r="CW15" s="336"/>
      <c r="CX15" s="336"/>
      <c r="CY15" s="336"/>
      <c r="CZ15" s="336"/>
      <c r="DA15" s="336"/>
      <c r="DB15" s="336"/>
      <c r="DC15" s="336"/>
      <c r="DD15" s="336"/>
      <c r="DE15" s="336"/>
      <c r="DF15" s="336"/>
      <c r="DG15" s="336"/>
      <c r="DH15" s="336"/>
      <c r="DI15" s="336"/>
      <c r="DJ15" s="336"/>
      <c r="DK15" s="336"/>
      <c r="DL15" s="336"/>
      <c r="DM15" s="336"/>
      <c r="DN15" s="336"/>
      <c r="DO15" s="336"/>
      <c r="DP15" s="336"/>
      <c r="DQ15" s="336"/>
      <c r="DR15" s="336"/>
      <c r="DS15" s="336"/>
      <c r="DT15" s="336"/>
      <c r="DU15" s="336"/>
      <c r="DV15" s="336"/>
      <c r="DW15" s="336"/>
      <c r="DX15" s="336"/>
      <c r="DY15" s="336"/>
      <c r="DZ15" s="336"/>
      <c r="EA15" s="336"/>
      <c r="EB15" s="336"/>
      <c r="EC15" s="336"/>
      <c r="ED15" s="336"/>
      <c r="EE15" s="336"/>
      <c r="EF15" s="336"/>
      <c r="EG15" s="336"/>
      <c r="EH15" s="336"/>
      <c r="EI15" s="336"/>
      <c r="EJ15" s="336"/>
      <c r="EK15" s="336"/>
      <c r="EL15" s="336"/>
      <c r="EM15" s="336"/>
      <c r="EN15" s="336"/>
      <c r="EO15" s="336"/>
      <c r="EP15" s="336"/>
      <c r="EQ15" s="336"/>
      <c r="ER15" s="336"/>
      <c r="ES15" s="336"/>
      <c r="ET15" s="336"/>
      <c r="EU15" s="336"/>
      <c r="EV15" s="336"/>
      <c r="EW15" s="336"/>
      <c r="EX15" s="336"/>
      <c r="EY15" s="336"/>
      <c r="EZ15" s="336"/>
      <c r="FA15" s="336"/>
      <c r="FB15" s="336"/>
      <c r="FC15" s="336"/>
      <c r="FD15" s="336"/>
      <c r="FE15" s="336"/>
      <c r="FF15" s="336"/>
      <c r="FG15" s="336"/>
      <c r="FH15" s="336"/>
      <c r="FI15" s="336"/>
      <c r="FJ15" s="336"/>
      <c r="FK15" s="336"/>
      <c r="FL15" s="336"/>
      <c r="FM15" s="336"/>
      <c r="FN15" s="336"/>
      <c r="FO15" s="336"/>
      <c r="FP15" s="336"/>
      <c r="FQ15" s="336"/>
      <c r="FR15" s="336"/>
      <c r="FS15" s="336"/>
      <c r="FT15" s="336"/>
      <c r="FU15" s="336"/>
      <c r="FV15" s="336"/>
      <c r="FW15" s="336"/>
      <c r="FX15" s="336"/>
      <c r="FY15" s="336"/>
      <c r="FZ15" s="336"/>
      <c r="GA15" s="336"/>
      <c r="GB15" s="336"/>
      <c r="GC15" s="336"/>
      <c r="GD15" s="336"/>
      <c r="GE15" s="336"/>
      <c r="GF15" s="336"/>
      <c r="GG15" s="336"/>
      <c r="GH15" s="336"/>
      <c r="GI15" s="336"/>
      <c r="GJ15" s="336"/>
      <c r="GK15" s="336"/>
      <c r="GL15" s="336"/>
      <c r="GM15" s="336"/>
      <c r="GN15" s="336"/>
      <c r="GO15" s="336"/>
      <c r="GP15" s="336"/>
      <c r="GQ15" s="336"/>
      <c r="GR15" s="336"/>
      <c r="GS15" s="336"/>
      <c r="GT15" s="336"/>
      <c r="GU15" s="336"/>
      <c r="GV15" s="336"/>
      <c r="GW15" s="336"/>
      <c r="GX15" s="336"/>
      <c r="GY15" s="336"/>
      <c r="GZ15" s="336"/>
      <c r="HA15" s="336"/>
      <c r="HB15" s="336"/>
      <c r="HC15" s="336"/>
      <c r="HD15" s="336"/>
      <c r="HE15" s="336"/>
      <c r="HF15" s="336"/>
      <c r="HG15" s="336"/>
      <c r="HH15" s="336"/>
      <c r="HI15" s="336"/>
      <c r="HJ15" s="336"/>
      <c r="HK15" s="336"/>
      <c r="HL15" s="336"/>
      <c r="HM15" s="336"/>
      <c r="HN15" s="336"/>
      <c r="HO15" s="336"/>
      <c r="HP15" s="336"/>
      <c r="HQ15" s="336"/>
      <c r="HR15" s="336"/>
      <c r="HS15" s="336"/>
    </row>
    <row r="16" spans="1:227" hidden="1" x14ac:dyDescent="0.3">
      <c r="W16" s="336"/>
      <c r="X16" s="336"/>
      <c r="Y16" s="336"/>
      <c r="Z16" s="336"/>
      <c r="AA16" s="336"/>
      <c r="AB16" s="336"/>
      <c r="AC16" s="336"/>
      <c r="AD16" s="336"/>
      <c r="AE16" s="336"/>
      <c r="AF16" s="336"/>
      <c r="AG16" s="336"/>
      <c r="AH16" s="336"/>
      <c r="AI16" s="336"/>
      <c r="AJ16" s="336"/>
      <c r="AK16" s="336"/>
      <c r="AL16" s="336"/>
      <c r="AM16" s="336"/>
      <c r="AN16" s="336"/>
      <c r="AO16" s="336"/>
      <c r="AP16" s="336"/>
      <c r="AQ16" s="336"/>
      <c r="AR16" s="336"/>
      <c r="AS16" s="336"/>
      <c r="AT16" s="336"/>
      <c r="AU16" s="336"/>
      <c r="AV16" s="336"/>
      <c r="AW16" s="336"/>
      <c r="AX16" s="336"/>
      <c r="AY16" s="336"/>
      <c r="AZ16" s="336"/>
      <c r="BA16" s="336"/>
      <c r="BB16" s="336"/>
      <c r="BC16" s="336"/>
      <c r="BD16" s="336"/>
      <c r="BE16" s="336"/>
      <c r="BF16" s="336"/>
      <c r="BG16" s="336"/>
      <c r="BH16" s="336"/>
      <c r="BI16" s="336"/>
      <c r="BJ16" s="336"/>
      <c r="BK16" s="336"/>
      <c r="BL16" s="336"/>
      <c r="BM16" s="336"/>
      <c r="BN16" s="336"/>
      <c r="BO16" s="336"/>
      <c r="BP16" s="336"/>
      <c r="BQ16" s="336"/>
      <c r="BR16" s="336"/>
      <c r="BS16" s="336"/>
      <c r="BT16" s="336"/>
      <c r="BU16" s="336"/>
      <c r="BV16" s="336"/>
      <c r="BW16" s="336"/>
      <c r="BX16" s="336"/>
      <c r="BY16" s="336"/>
      <c r="BZ16" s="336"/>
      <c r="CA16" s="336"/>
      <c r="CB16" s="336"/>
      <c r="CC16" s="336"/>
      <c r="CD16" s="336"/>
      <c r="CE16" s="336"/>
      <c r="CF16" s="336"/>
      <c r="CG16" s="336"/>
      <c r="CH16" s="336"/>
      <c r="CI16" s="336"/>
      <c r="CJ16" s="336"/>
      <c r="CK16" s="336"/>
      <c r="CL16" s="336"/>
      <c r="CM16" s="336"/>
      <c r="CN16" s="336"/>
      <c r="CO16" s="336"/>
      <c r="CP16" s="336"/>
      <c r="CQ16" s="336"/>
      <c r="CR16" s="336"/>
      <c r="CS16" s="336"/>
      <c r="CT16" s="336"/>
      <c r="CU16" s="336"/>
      <c r="CV16" s="336"/>
      <c r="CW16" s="336"/>
      <c r="CX16" s="336"/>
      <c r="CY16" s="336"/>
      <c r="CZ16" s="336"/>
      <c r="DA16" s="336"/>
      <c r="DB16" s="336"/>
      <c r="DC16" s="336"/>
      <c r="DD16" s="336"/>
      <c r="DE16" s="336"/>
      <c r="DF16" s="336"/>
      <c r="DG16" s="336"/>
      <c r="DH16" s="336"/>
      <c r="DI16" s="336"/>
      <c r="DJ16" s="336"/>
      <c r="DK16" s="336"/>
      <c r="DL16" s="336"/>
      <c r="DM16" s="336"/>
      <c r="DN16" s="336"/>
      <c r="DO16" s="336"/>
      <c r="DP16" s="336"/>
      <c r="DQ16" s="336"/>
      <c r="DR16" s="336"/>
      <c r="DS16" s="336"/>
      <c r="DT16" s="336"/>
      <c r="DU16" s="336"/>
      <c r="DV16" s="336"/>
      <c r="DW16" s="336"/>
      <c r="DX16" s="336"/>
      <c r="DY16" s="336"/>
      <c r="DZ16" s="336"/>
      <c r="EA16" s="336"/>
      <c r="EB16" s="336"/>
      <c r="EC16" s="336"/>
      <c r="ED16" s="336"/>
      <c r="EE16" s="336"/>
      <c r="EF16" s="336"/>
      <c r="EG16" s="336"/>
      <c r="EH16" s="336"/>
      <c r="EI16" s="336"/>
      <c r="EJ16" s="336"/>
      <c r="EK16" s="336"/>
      <c r="EL16" s="336"/>
      <c r="EM16" s="336"/>
      <c r="EN16" s="336"/>
      <c r="EO16" s="336"/>
      <c r="EP16" s="336"/>
      <c r="EQ16" s="336"/>
      <c r="ER16" s="336"/>
      <c r="ES16" s="336"/>
      <c r="ET16" s="336"/>
      <c r="EU16" s="336"/>
      <c r="EV16" s="336"/>
      <c r="EW16" s="336"/>
      <c r="EX16" s="336"/>
      <c r="EY16" s="336"/>
      <c r="EZ16" s="336"/>
      <c r="FA16" s="336"/>
      <c r="FB16" s="336"/>
      <c r="FC16" s="336"/>
      <c r="FD16" s="336"/>
      <c r="FE16" s="336"/>
      <c r="FF16" s="336"/>
      <c r="FG16" s="336"/>
      <c r="FH16" s="336"/>
      <c r="FI16" s="336"/>
      <c r="FJ16" s="336"/>
      <c r="FK16" s="336"/>
      <c r="FL16" s="336"/>
      <c r="FM16" s="336"/>
      <c r="FN16" s="336"/>
      <c r="FO16" s="336"/>
      <c r="FP16" s="336"/>
      <c r="FQ16" s="336"/>
      <c r="FR16" s="336"/>
      <c r="FS16" s="336"/>
      <c r="FT16" s="336"/>
      <c r="FU16" s="336"/>
      <c r="FV16" s="336"/>
      <c r="FW16" s="336"/>
      <c r="FX16" s="336"/>
      <c r="FY16" s="336"/>
      <c r="FZ16" s="336"/>
      <c r="GA16" s="336"/>
      <c r="GB16" s="336"/>
      <c r="GC16" s="336"/>
      <c r="GD16" s="336"/>
      <c r="GE16" s="336"/>
      <c r="GF16" s="336"/>
      <c r="GG16" s="336"/>
      <c r="GH16" s="336"/>
      <c r="GI16" s="336"/>
      <c r="GJ16" s="336"/>
      <c r="GK16" s="336"/>
      <c r="GL16" s="336"/>
      <c r="GM16" s="336"/>
      <c r="GN16" s="336"/>
      <c r="GO16" s="336"/>
      <c r="GP16" s="336"/>
      <c r="GQ16" s="336"/>
      <c r="GR16" s="336"/>
      <c r="GS16" s="336"/>
      <c r="GT16" s="336"/>
      <c r="GU16" s="336"/>
      <c r="GV16" s="336"/>
      <c r="GW16" s="336"/>
      <c r="GX16" s="336"/>
      <c r="GY16" s="336"/>
      <c r="GZ16" s="336"/>
      <c r="HA16" s="336"/>
      <c r="HB16" s="336"/>
      <c r="HC16" s="336"/>
      <c r="HD16" s="336"/>
      <c r="HE16" s="336"/>
      <c r="HF16" s="336"/>
      <c r="HG16" s="336"/>
      <c r="HH16" s="336"/>
      <c r="HI16" s="336"/>
      <c r="HJ16" s="336"/>
      <c r="HK16" s="336"/>
      <c r="HL16" s="336"/>
      <c r="HM16" s="336"/>
      <c r="HN16" s="336"/>
      <c r="HO16" s="336"/>
      <c r="HP16" s="336"/>
      <c r="HQ16" s="336"/>
      <c r="HR16" s="336"/>
      <c r="HS16" s="336"/>
    </row>
    <row r="17" spans="1:227" ht="18.75" customHeight="1" x14ac:dyDescent="0.35">
      <c r="A17" s="1313" t="s">
        <v>407</v>
      </c>
      <c r="B17" s="1269" t="s">
        <v>479</v>
      </c>
      <c r="C17" s="1274" t="s">
        <v>281</v>
      </c>
      <c r="D17" s="333"/>
      <c r="E17" s="502"/>
      <c r="F17" s="334"/>
      <c r="G17" s="335"/>
      <c r="H17" s="335"/>
      <c r="I17" s="1277" t="s">
        <v>1085</v>
      </c>
      <c r="J17" s="1277" t="s">
        <v>510</v>
      </c>
      <c r="K17" s="1270" t="s">
        <v>1350</v>
      </c>
      <c r="L17" s="1271" t="s">
        <v>1079</v>
      </c>
      <c r="M17" s="1270" t="s">
        <v>1351</v>
      </c>
      <c r="N17" s="1270" t="s">
        <v>1080</v>
      </c>
      <c r="O17" s="1311" t="s">
        <v>480</v>
      </c>
      <c r="P17" s="1311"/>
      <c r="W17" s="336"/>
      <c r="X17" s="336"/>
      <c r="Y17" s="336"/>
      <c r="Z17" s="336"/>
      <c r="AA17" s="336"/>
      <c r="AB17" s="336"/>
      <c r="AC17" s="336"/>
      <c r="AD17" s="336"/>
      <c r="AE17" s="336"/>
      <c r="AF17" s="336"/>
      <c r="AG17" s="336"/>
      <c r="AH17" s="336"/>
      <c r="AI17" s="336"/>
      <c r="AJ17" s="336"/>
      <c r="AK17" s="336"/>
      <c r="AL17" s="336"/>
      <c r="AM17" s="336"/>
      <c r="AN17" s="336"/>
      <c r="AO17" s="336"/>
      <c r="AP17" s="336"/>
      <c r="AQ17" s="336"/>
      <c r="AR17" s="336"/>
      <c r="AS17" s="336"/>
      <c r="AT17" s="336"/>
      <c r="AU17" s="336"/>
      <c r="AV17" s="336"/>
      <c r="AW17" s="336"/>
      <c r="AX17" s="336"/>
      <c r="AY17" s="336"/>
      <c r="AZ17" s="336"/>
      <c r="BA17" s="336"/>
      <c r="BB17" s="336"/>
      <c r="BC17" s="336"/>
      <c r="BD17" s="336"/>
      <c r="BE17" s="336"/>
      <c r="BF17" s="336"/>
      <c r="BG17" s="336"/>
      <c r="BH17" s="336"/>
      <c r="BI17" s="336"/>
      <c r="BJ17" s="336"/>
      <c r="BK17" s="336"/>
      <c r="BL17" s="336"/>
      <c r="BM17" s="336"/>
      <c r="BN17" s="336"/>
      <c r="BO17" s="336"/>
      <c r="BP17" s="336"/>
      <c r="BQ17" s="336"/>
      <c r="BR17" s="336"/>
      <c r="BS17" s="336"/>
      <c r="BT17" s="336"/>
      <c r="BU17" s="336"/>
      <c r="BV17" s="336"/>
      <c r="BW17" s="336"/>
      <c r="BX17" s="336"/>
      <c r="BY17" s="336"/>
      <c r="BZ17" s="336"/>
      <c r="CA17" s="336"/>
      <c r="CB17" s="336"/>
      <c r="CC17" s="336"/>
      <c r="CD17" s="336"/>
      <c r="CE17" s="336"/>
      <c r="CF17" s="336"/>
      <c r="CG17" s="336"/>
      <c r="CH17" s="336"/>
      <c r="CI17" s="336"/>
      <c r="CJ17" s="336"/>
      <c r="CK17" s="336"/>
      <c r="CL17" s="336"/>
      <c r="CM17" s="336"/>
      <c r="CN17" s="336"/>
      <c r="CO17" s="336"/>
      <c r="CP17" s="336"/>
      <c r="CQ17" s="336"/>
      <c r="CR17" s="336"/>
      <c r="CS17" s="336"/>
      <c r="CT17" s="336"/>
      <c r="CU17" s="336"/>
      <c r="CV17" s="336"/>
      <c r="CW17" s="336"/>
      <c r="CX17" s="336"/>
      <c r="CY17" s="336"/>
      <c r="CZ17" s="336"/>
      <c r="DA17" s="336"/>
      <c r="DB17" s="336"/>
      <c r="DC17" s="336"/>
      <c r="DD17" s="336"/>
      <c r="DE17" s="336"/>
      <c r="DF17" s="336"/>
      <c r="DG17" s="336"/>
      <c r="DH17" s="336"/>
      <c r="DI17" s="336"/>
      <c r="DJ17" s="336"/>
      <c r="DK17" s="336"/>
      <c r="DL17" s="336"/>
      <c r="DM17" s="336"/>
      <c r="DN17" s="336"/>
      <c r="DO17" s="336"/>
      <c r="DP17" s="336"/>
      <c r="DQ17" s="336"/>
      <c r="DR17" s="336"/>
      <c r="DS17" s="336"/>
      <c r="DT17" s="336"/>
      <c r="DU17" s="336"/>
      <c r="DV17" s="336"/>
      <c r="DW17" s="336"/>
      <c r="DX17" s="336"/>
      <c r="DY17" s="336"/>
      <c r="DZ17" s="336"/>
      <c r="EA17" s="336"/>
      <c r="EB17" s="336"/>
      <c r="EC17" s="336"/>
      <c r="ED17" s="336"/>
      <c r="EE17" s="336"/>
      <c r="EF17" s="336"/>
      <c r="EG17" s="336"/>
      <c r="EH17" s="336"/>
      <c r="EI17" s="336"/>
      <c r="EJ17" s="336"/>
      <c r="EK17" s="336"/>
      <c r="EL17" s="336"/>
      <c r="EM17" s="336"/>
      <c r="EN17" s="336"/>
      <c r="EO17" s="336"/>
      <c r="EP17" s="336"/>
      <c r="EQ17" s="336"/>
      <c r="ER17" s="336"/>
      <c r="ES17" s="336"/>
      <c r="ET17" s="336"/>
      <c r="EU17" s="336"/>
      <c r="EV17" s="336"/>
      <c r="EW17" s="336"/>
      <c r="EX17" s="336"/>
      <c r="EY17" s="336"/>
      <c r="EZ17" s="336"/>
      <c r="FA17" s="336"/>
      <c r="FB17" s="336"/>
      <c r="FC17" s="336"/>
      <c r="FD17" s="336"/>
      <c r="FE17" s="336"/>
      <c r="FF17" s="336"/>
      <c r="FG17" s="336"/>
      <c r="FH17" s="336"/>
      <c r="FI17" s="336"/>
      <c r="FJ17" s="336"/>
      <c r="FK17" s="336"/>
      <c r="FL17" s="336"/>
      <c r="FM17" s="336"/>
      <c r="FN17" s="336"/>
      <c r="FO17" s="336"/>
      <c r="FP17" s="336"/>
      <c r="FQ17" s="336"/>
      <c r="FR17" s="336"/>
      <c r="FS17" s="336"/>
      <c r="FT17" s="336"/>
      <c r="FU17" s="336"/>
      <c r="FV17" s="336"/>
      <c r="FW17" s="336"/>
      <c r="FX17" s="336"/>
      <c r="FY17" s="336"/>
      <c r="FZ17" s="336"/>
      <c r="GA17" s="336"/>
      <c r="GB17" s="336"/>
      <c r="GC17" s="336"/>
      <c r="GD17" s="336"/>
      <c r="GE17" s="336"/>
      <c r="GF17" s="336"/>
      <c r="GG17" s="336"/>
      <c r="GH17" s="336"/>
      <c r="GI17" s="336"/>
      <c r="GJ17" s="336"/>
      <c r="GK17" s="336"/>
      <c r="GL17" s="336"/>
      <c r="GM17" s="336"/>
      <c r="GN17" s="336"/>
      <c r="GO17" s="336"/>
      <c r="GP17" s="336"/>
      <c r="GQ17" s="336"/>
      <c r="GR17" s="336"/>
      <c r="GS17" s="336"/>
      <c r="GT17" s="336"/>
      <c r="GU17" s="336"/>
      <c r="GV17" s="336"/>
      <c r="GW17" s="336"/>
      <c r="GX17" s="336"/>
      <c r="GY17" s="336"/>
      <c r="GZ17" s="336"/>
      <c r="HA17" s="336"/>
      <c r="HB17" s="336"/>
      <c r="HC17" s="336"/>
      <c r="HD17" s="336"/>
      <c r="HE17" s="336"/>
      <c r="HF17" s="336"/>
      <c r="HG17" s="336"/>
      <c r="HH17" s="336"/>
      <c r="HI17" s="336"/>
      <c r="HJ17" s="336"/>
      <c r="HK17" s="336"/>
      <c r="HL17" s="336"/>
      <c r="HM17" s="336"/>
      <c r="HN17" s="336"/>
      <c r="HO17" s="336"/>
      <c r="HP17" s="336"/>
      <c r="HQ17" s="336"/>
      <c r="HR17" s="336"/>
      <c r="HS17" s="336"/>
    </row>
    <row r="18" spans="1:227" ht="18" x14ac:dyDescent="0.35">
      <c r="A18" s="1313"/>
      <c r="B18" s="1269"/>
      <c r="C18" s="1275"/>
      <c r="D18" s="333"/>
      <c r="E18" s="502"/>
      <c r="F18" s="334"/>
      <c r="G18" s="335"/>
      <c r="H18" s="335"/>
      <c r="I18" s="1278"/>
      <c r="J18" s="1278"/>
      <c r="K18" s="1270"/>
      <c r="L18" s="1272"/>
      <c r="M18" s="1270"/>
      <c r="N18" s="1270"/>
      <c r="O18" s="1270" t="s">
        <v>481</v>
      </c>
      <c r="P18" s="1312"/>
      <c r="W18" s="336"/>
      <c r="X18" s="336"/>
      <c r="Y18" s="336"/>
      <c r="Z18" s="336"/>
      <c r="AA18" s="336"/>
      <c r="AB18" s="336"/>
      <c r="AC18" s="336"/>
      <c r="AD18" s="336"/>
      <c r="AE18" s="336"/>
      <c r="AF18" s="336"/>
      <c r="AG18" s="336"/>
      <c r="AH18" s="336"/>
      <c r="AI18" s="336"/>
      <c r="AJ18" s="336"/>
      <c r="AK18" s="336"/>
      <c r="AL18" s="336"/>
      <c r="AM18" s="336"/>
      <c r="AN18" s="336"/>
      <c r="AO18" s="336"/>
      <c r="AP18" s="336"/>
      <c r="AQ18" s="336"/>
      <c r="AR18" s="336"/>
      <c r="AS18" s="336"/>
      <c r="AT18" s="336"/>
      <c r="AU18" s="336"/>
      <c r="AV18" s="336"/>
      <c r="AW18" s="336"/>
      <c r="AX18" s="336"/>
      <c r="AY18" s="336"/>
      <c r="AZ18" s="336"/>
      <c r="BA18" s="336"/>
      <c r="BB18" s="336"/>
      <c r="BC18" s="336"/>
      <c r="BD18" s="336"/>
      <c r="BE18" s="336"/>
      <c r="BF18" s="336"/>
      <c r="BG18" s="336"/>
      <c r="BH18" s="336"/>
      <c r="BI18" s="336"/>
      <c r="BJ18" s="336"/>
      <c r="BK18" s="336"/>
      <c r="BL18" s="336"/>
      <c r="BM18" s="336"/>
      <c r="BN18" s="336"/>
      <c r="BO18" s="336"/>
      <c r="BP18" s="336"/>
      <c r="BQ18" s="336"/>
      <c r="BR18" s="336"/>
      <c r="BS18" s="336"/>
      <c r="BT18" s="336"/>
      <c r="BU18" s="336"/>
      <c r="BV18" s="336"/>
      <c r="BW18" s="336"/>
      <c r="BX18" s="336"/>
      <c r="BY18" s="336"/>
      <c r="BZ18" s="336"/>
      <c r="CA18" s="336"/>
      <c r="CB18" s="336"/>
      <c r="CC18" s="336"/>
      <c r="CD18" s="336"/>
      <c r="CE18" s="336"/>
      <c r="CF18" s="336"/>
      <c r="CG18" s="336"/>
      <c r="CH18" s="336"/>
      <c r="CI18" s="336"/>
      <c r="CJ18" s="336"/>
      <c r="CK18" s="336"/>
      <c r="CL18" s="336"/>
      <c r="CM18" s="336"/>
      <c r="CN18" s="336"/>
      <c r="CO18" s="336"/>
      <c r="CP18" s="336"/>
      <c r="CQ18" s="336"/>
      <c r="CR18" s="336"/>
      <c r="CS18" s="336"/>
      <c r="CT18" s="336"/>
      <c r="CU18" s="336"/>
      <c r="CV18" s="336"/>
      <c r="CW18" s="336"/>
      <c r="CX18" s="336"/>
      <c r="CY18" s="336"/>
      <c r="CZ18" s="336"/>
      <c r="DA18" s="336"/>
      <c r="DB18" s="336"/>
      <c r="DC18" s="336"/>
      <c r="DD18" s="336"/>
      <c r="DE18" s="336"/>
      <c r="DF18" s="336"/>
      <c r="DG18" s="336"/>
      <c r="DH18" s="336"/>
      <c r="DI18" s="336"/>
      <c r="DJ18" s="336"/>
      <c r="DK18" s="336"/>
      <c r="DL18" s="336"/>
      <c r="DM18" s="336"/>
      <c r="DN18" s="336"/>
      <c r="DO18" s="336"/>
      <c r="DP18" s="336"/>
      <c r="DQ18" s="336"/>
      <c r="DR18" s="336"/>
      <c r="DS18" s="336"/>
      <c r="DT18" s="336"/>
      <c r="DU18" s="336"/>
      <c r="DV18" s="336"/>
      <c r="DW18" s="336"/>
      <c r="DX18" s="336"/>
      <c r="DY18" s="336"/>
      <c r="DZ18" s="336"/>
      <c r="EA18" s="336"/>
      <c r="EB18" s="336"/>
      <c r="EC18" s="336"/>
      <c r="ED18" s="336"/>
      <c r="EE18" s="336"/>
      <c r="EF18" s="336"/>
      <c r="EG18" s="336"/>
      <c r="EH18" s="336"/>
      <c r="EI18" s="336"/>
      <c r="EJ18" s="336"/>
      <c r="EK18" s="336"/>
      <c r="EL18" s="336"/>
      <c r="EM18" s="336"/>
      <c r="EN18" s="336"/>
      <c r="EO18" s="336"/>
      <c r="EP18" s="336"/>
      <c r="EQ18" s="336"/>
      <c r="ER18" s="336"/>
      <c r="ES18" s="336"/>
      <c r="ET18" s="336"/>
      <c r="EU18" s="336"/>
      <c r="EV18" s="336"/>
      <c r="EW18" s="336"/>
      <c r="EX18" s="336"/>
      <c r="EY18" s="336"/>
      <c r="EZ18" s="336"/>
      <c r="FA18" s="336"/>
      <c r="FB18" s="336"/>
      <c r="FC18" s="336"/>
      <c r="FD18" s="336"/>
      <c r="FE18" s="336"/>
      <c r="FF18" s="336"/>
      <c r="FG18" s="336"/>
      <c r="FH18" s="336"/>
      <c r="FI18" s="336"/>
      <c r="FJ18" s="336"/>
      <c r="FK18" s="336"/>
      <c r="FL18" s="336"/>
      <c r="FM18" s="336"/>
      <c r="FN18" s="336"/>
      <c r="FO18" s="336"/>
      <c r="FP18" s="336"/>
      <c r="FQ18" s="336"/>
      <c r="FR18" s="336"/>
      <c r="FS18" s="336"/>
      <c r="FT18" s="336"/>
      <c r="FU18" s="336"/>
      <c r="FV18" s="336"/>
      <c r="FW18" s="336"/>
      <c r="FX18" s="336"/>
      <c r="FY18" s="336"/>
      <c r="FZ18" s="336"/>
      <c r="GA18" s="336"/>
      <c r="GB18" s="336"/>
      <c r="GC18" s="336"/>
      <c r="GD18" s="336"/>
      <c r="GE18" s="336"/>
      <c r="GF18" s="336"/>
      <c r="GG18" s="336"/>
      <c r="GH18" s="336"/>
      <c r="GI18" s="336"/>
      <c r="GJ18" s="336"/>
      <c r="GK18" s="336"/>
      <c r="GL18" s="336"/>
      <c r="GM18" s="336"/>
      <c r="GN18" s="336"/>
      <c r="GO18" s="336"/>
      <c r="GP18" s="336"/>
      <c r="GQ18" s="336"/>
      <c r="GR18" s="336"/>
      <c r="GS18" s="336"/>
      <c r="GT18" s="336"/>
      <c r="GU18" s="336"/>
      <c r="GV18" s="336"/>
      <c r="GW18" s="336"/>
      <c r="GX18" s="336"/>
      <c r="GY18" s="336"/>
      <c r="GZ18" s="336"/>
      <c r="HA18" s="336"/>
      <c r="HB18" s="336"/>
      <c r="HC18" s="336"/>
      <c r="HD18" s="336"/>
      <c r="HE18" s="336"/>
      <c r="HF18" s="336"/>
      <c r="HG18" s="336"/>
      <c r="HH18" s="336"/>
      <c r="HI18" s="336"/>
      <c r="HJ18" s="336"/>
      <c r="HK18" s="336"/>
      <c r="HL18" s="336"/>
      <c r="HM18" s="336"/>
      <c r="HN18" s="336"/>
      <c r="HO18" s="336"/>
      <c r="HP18" s="336"/>
      <c r="HQ18" s="336"/>
      <c r="HR18" s="336"/>
      <c r="HS18" s="336"/>
    </row>
    <row r="19" spans="1:227" ht="18" x14ac:dyDescent="0.35">
      <c r="A19" s="1313"/>
      <c r="B19" s="1269"/>
      <c r="C19" s="1275"/>
      <c r="D19" s="333"/>
      <c r="E19" s="502"/>
      <c r="F19" s="335"/>
      <c r="G19" s="335"/>
      <c r="H19" s="335"/>
      <c r="I19" s="1278"/>
      <c r="J19" s="1278"/>
      <c r="K19" s="1270"/>
      <c r="L19" s="1273"/>
      <c r="M19" s="1270"/>
      <c r="N19" s="1270"/>
      <c r="O19" s="1270"/>
      <c r="P19" s="1312"/>
      <c r="W19" s="336"/>
      <c r="X19" s="336"/>
      <c r="Y19" s="336"/>
      <c r="Z19" s="336"/>
      <c r="AA19" s="336"/>
      <c r="AB19" s="336"/>
      <c r="AC19" s="336"/>
      <c r="AD19" s="336"/>
      <c r="AE19" s="336"/>
      <c r="AF19" s="336"/>
      <c r="AG19" s="336"/>
      <c r="AH19" s="336"/>
      <c r="AI19" s="336"/>
      <c r="AJ19" s="336"/>
      <c r="AK19" s="336"/>
      <c r="AL19" s="336"/>
      <c r="AM19" s="336"/>
      <c r="AN19" s="336"/>
      <c r="AO19" s="336"/>
      <c r="AP19" s="336"/>
      <c r="AQ19" s="336"/>
      <c r="AR19" s="336"/>
      <c r="AS19" s="336"/>
      <c r="AT19" s="336"/>
      <c r="AU19" s="336"/>
      <c r="AV19" s="336"/>
      <c r="AW19" s="336"/>
      <c r="AX19" s="336"/>
      <c r="AY19" s="336"/>
      <c r="AZ19" s="336"/>
      <c r="BA19" s="336"/>
      <c r="BB19" s="336"/>
      <c r="BC19" s="336"/>
      <c r="BD19" s="336"/>
      <c r="BE19" s="336"/>
      <c r="BF19" s="336"/>
      <c r="BG19" s="336"/>
      <c r="BH19" s="336"/>
      <c r="BI19" s="336"/>
      <c r="BJ19" s="336"/>
      <c r="BK19" s="336"/>
      <c r="BL19" s="336"/>
      <c r="BM19" s="336"/>
      <c r="BN19" s="336"/>
      <c r="BO19" s="336"/>
      <c r="BP19" s="336"/>
      <c r="BQ19" s="336"/>
      <c r="BR19" s="336"/>
      <c r="BS19" s="336"/>
      <c r="BT19" s="336"/>
      <c r="BU19" s="336"/>
      <c r="BV19" s="336"/>
      <c r="BW19" s="336"/>
      <c r="BX19" s="336"/>
      <c r="BY19" s="336"/>
      <c r="BZ19" s="336"/>
      <c r="CA19" s="336"/>
      <c r="CB19" s="336"/>
      <c r="CC19" s="336"/>
      <c r="CD19" s="336"/>
      <c r="CE19" s="336"/>
      <c r="CF19" s="336"/>
      <c r="CG19" s="336"/>
      <c r="CH19" s="336"/>
      <c r="CI19" s="336"/>
      <c r="CJ19" s="336"/>
      <c r="CK19" s="336"/>
      <c r="CL19" s="336"/>
      <c r="CM19" s="336"/>
      <c r="CN19" s="336"/>
      <c r="CO19" s="336"/>
      <c r="CP19" s="336"/>
      <c r="CQ19" s="336"/>
      <c r="CR19" s="336"/>
      <c r="CS19" s="336"/>
      <c r="CT19" s="336"/>
      <c r="CU19" s="336"/>
      <c r="CV19" s="336"/>
      <c r="CW19" s="336"/>
      <c r="CX19" s="336"/>
      <c r="CY19" s="336"/>
      <c r="CZ19" s="336"/>
      <c r="DA19" s="336"/>
      <c r="DB19" s="336"/>
      <c r="DC19" s="336"/>
      <c r="DD19" s="336"/>
      <c r="DE19" s="336"/>
      <c r="DF19" s="336"/>
      <c r="DG19" s="336"/>
      <c r="DH19" s="336"/>
      <c r="DI19" s="336"/>
      <c r="DJ19" s="336"/>
      <c r="DK19" s="336"/>
      <c r="DL19" s="336"/>
      <c r="DM19" s="336"/>
      <c r="DN19" s="336"/>
      <c r="DO19" s="336"/>
      <c r="DP19" s="336"/>
      <c r="DQ19" s="336"/>
      <c r="DR19" s="336"/>
      <c r="DS19" s="336"/>
      <c r="DT19" s="336"/>
      <c r="DU19" s="336"/>
      <c r="DV19" s="336"/>
      <c r="DW19" s="336"/>
      <c r="DX19" s="336"/>
      <c r="DY19" s="336"/>
      <c r="DZ19" s="336"/>
      <c r="EA19" s="336"/>
      <c r="EB19" s="336"/>
      <c r="EC19" s="336"/>
      <c r="ED19" s="336"/>
      <c r="EE19" s="336"/>
      <c r="EF19" s="336"/>
      <c r="EG19" s="336"/>
      <c r="EH19" s="336"/>
      <c r="EI19" s="336"/>
      <c r="EJ19" s="336"/>
      <c r="EK19" s="336"/>
      <c r="EL19" s="336"/>
      <c r="EM19" s="336"/>
      <c r="EN19" s="336"/>
      <c r="EO19" s="336"/>
      <c r="EP19" s="336"/>
      <c r="EQ19" s="336"/>
      <c r="ER19" s="336"/>
      <c r="ES19" s="336"/>
      <c r="ET19" s="336"/>
      <c r="EU19" s="336"/>
      <c r="EV19" s="336"/>
      <c r="EW19" s="336"/>
      <c r="EX19" s="336"/>
      <c r="EY19" s="336"/>
      <c r="EZ19" s="336"/>
      <c r="FA19" s="336"/>
      <c r="FB19" s="336"/>
      <c r="FC19" s="336"/>
      <c r="FD19" s="336"/>
      <c r="FE19" s="336"/>
      <c r="FF19" s="336"/>
      <c r="FG19" s="336"/>
      <c r="FH19" s="336"/>
      <c r="FI19" s="336"/>
      <c r="FJ19" s="336"/>
      <c r="FK19" s="336"/>
      <c r="FL19" s="336"/>
      <c r="FM19" s="336"/>
      <c r="FN19" s="336"/>
      <c r="FO19" s="336"/>
      <c r="FP19" s="336"/>
      <c r="FQ19" s="336"/>
      <c r="FR19" s="336"/>
      <c r="FS19" s="336"/>
      <c r="FT19" s="336"/>
      <c r="FU19" s="336"/>
      <c r="FV19" s="336"/>
      <c r="FW19" s="336"/>
      <c r="FX19" s="336"/>
      <c r="FY19" s="336"/>
      <c r="FZ19" s="336"/>
      <c r="GA19" s="336"/>
      <c r="GB19" s="336"/>
      <c r="GC19" s="336"/>
      <c r="GD19" s="336"/>
      <c r="GE19" s="336"/>
      <c r="GF19" s="336"/>
      <c r="GG19" s="336"/>
      <c r="GH19" s="336"/>
      <c r="GI19" s="336"/>
      <c r="GJ19" s="336"/>
      <c r="GK19" s="336"/>
      <c r="GL19" s="336"/>
      <c r="GM19" s="336"/>
      <c r="GN19" s="336"/>
      <c r="GO19" s="336"/>
      <c r="GP19" s="336"/>
      <c r="GQ19" s="336"/>
      <c r="GR19" s="336"/>
      <c r="GS19" s="336"/>
      <c r="GT19" s="336"/>
      <c r="GU19" s="336"/>
      <c r="GV19" s="336"/>
      <c r="GW19" s="336"/>
      <c r="GX19" s="336"/>
      <c r="GY19" s="336"/>
      <c r="GZ19" s="336"/>
      <c r="HA19" s="336"/>
      <c r="HB19" s="336"/>
      <c r="HC19" s="336"/>
      <c r="HD19" s="336"/>
      <c r="HE19" s="336"/>
      <c r="HF19" s="336"/>
      <c r="HG19" s="336"/>
      <c r="HH19" s="336"/>
      <c r="HI19" s="336"/>
      <c r="HJ19" s="336"/>
      <c r="HK19" s="336"/>
      <c r="HL19" s="336"/>
      <c r="HM19" s="336"/>
      <c r="HN19" s="336"/>
      <c r="HO19" s="336"/>
      <c r="HP19" s="336"/>
      <c r="HQ19" s="336"/>
      <c r="HR19" s="336"/>
      <c r="HS19" s="336"/>
    </row>
    <row r="20" spans="1:227" ht="18" x14ac:dyDescent="0.35">
      <c r="A20" s="1314"/>
      <c r="B20" s="1269"/>
      <c r="C20" s="1276"/>
      <c r="D20" s="332"/>
      <c r="E20" s="506"/>
      <c r="F20" s="344"/>
      <c r="G20" s="344"/>
      <c r="H20" s="344"/>
      <c r="I20" s="1279"/>
      <c r="J20" s="1279"/>
      <c r="K20" s="1270"/>
      <c r="L20" s="505"/>
      <c r="M20" s="1270"/>
      <c r="N20" s="505"/>
      <c r="O20" s="1270"/>
      <c r="P20" s="1312"/>
      <c r="W20" s="336"/>
      <c r="X20" s="336"/>
      <c r="Y20" s="336"/>
      <c r="Z20" s="336"/>
      <c r="AA20" s="336"/>
      <c r="AB20" s="336"/>
      <c r="AC20" s="336"/>
      <c r="AD20" s="336"/>
      <c r="AE20" s="336"/>
      <c r="AF20" s="336"/>
      <c r="AG20" s="336"/>
      <c r="AH20" s="336"/>
      <c r="AI20" s="336"/>
      <c r="AJ20" s="336"/>
      <c r="AK20" s="336"/>
      <c r="AL20" s="336"/>
      <c r="AM20" s="336"/>
      <c r="AN20" s="336"/>
      <c r="AO20" s="336"/>
      <c r="AP20" s="336"/>
      <c r="AQ20" s="336"/>
      <c r="AR20" s="336"/>
      <c r="AS20" s="336"/>
      <c r="AT20" s="336"/>
      <c r="AU20" s="336"/>
      <c r="AV20" s="336"/>
      <c r="AW20" s="336"/>
      <c r="AX20" s="336"/>
      <c r="AY20" s="336"/>
      <c r="AZ20" s="336"/>
      <c r="BA20" s="336"/>
      <c r="BB20" s="336"/>
      <c r="BC20" s="336"/>
      <c r="BD20" s="336"/>
      <c r="BE20" s="336"/>
      <c r="BF20" s="336"/>
      <c r="BG20" s="336"/>
      <c r="BH20" s="336"/>
      <c r="BI20" s="336"/>
      <c r="BJ20" s="336"/>
      <c r="BK20" s="336"/>
      <c r="BL20" s="336"/>
      <c r="BM20" s="336"/>
      <c r="BN20" s="336"/>
      <c r="BO20" s="336"/>
      <c r="BP20" s="336"/>
      <c r="BQ20" s="336"/>
      <c r="BR20" s="336"/>
      <c r="BS20" s="336"/>
      <c r="BT20" s="336"/>
      <c r="BU20" s="336"/>
      <c r="BV20" s="336"/>
      <c r="BW20" s="336"/>
      <c r="BX20" s="336"/>
      <c r="BY20" s="336"/>
      <c r="BZ20" s="336"/>
      <c r="CA20" s="336"/>
      <c r="CB20" s="336"/>
      <c r="CC20" s="336"/>
      <c r="CD20" s="336"/>
      <c r="CE20" s="336"/>
      <c r="CF20" s="336"/>
      <c r="CG20" s="336"/>
      <c r="CH20" s="336"/>
      <c r="CI20" s="336"/>
      <c r="CJ20" s="336"/>
      <c r="CK20" s="336"/>
      <c r="CL20" s="336"/>
      <c r="CM20" s="336"/>
      <c r="CN20" s="336"/>
      <c r="CO20" s="336"/>
      <c r="CP20" s="336"/>
      <c r="CQ20" s="336"/>
      <c r="CR20" s="336"/>
      <c r="CS20" s="336"/>
      <c r="CT20" s="336"/>
      <c r="CU20" s="336"/>
      <c r="CV20" s="336"/>
      <c r="CW20" s="336"/>
      <c r="CX20" s="336"/>
      <c r="CY20" s="336"/>
      <c r="CZ20" s="336"/>
      <c r="DA20" s="336"/>
      <c r="DB20" s="336"/>
      <c r="DC20" s="336"/>
      <c r="DD20" s="336"/>
      <c r="DE20" s="336"/>
      <c r="DF20" s="336"/>
      <c r="DG20" s="336"/>
      <c r="DH20" s="336"/>
      <c r="DI20" s="336"/>
      <c r="DJ20" s="336"/>
      <c r="DK20" s="336"/>
      <c r="DL20" s="336"/>
      <c r="DM20" s="336"/>
      <c r="DN20" s="336"/>
      <c r="DO20" s="336"/>
      <c r="DP20" s="336"/>
      <c r="DQ20" s="336"/>
      <c r="DR20" s="336"/>
      <c r="DS20" s="336"/>
      <c r="DT20" s="336"/>
      <c r="DU20" s="336"/>
      <c r="DV20" s="336"/>
      <c r="DW20" s="336"/>
      <c r="DX20" s="336"/>
      <c r="DY20" s="336"/>
      <c r="DZ20" s="336"/>
      <c r="EA20" s="336"/>
      <c r="EB20" s="336"/>
      <c r="EC20" s="336"/>
      <c r="ED20" s="336"/>
      <c r="EE20" s="336"/>
      <c r="EF20" s="336"/>
      <c r="EG20" s="336"/>
      <c r="EH20" s="336"/>
      <c r="EI20" s="336"/>
      <c r="EJ20" s="336"/>
      <c r="EK20" s="336"/>
      <c r="EL20" s="336"/>
      <c r="EM20" s="336"/>
      <c r="EN20" s="336"/>
      <c r="EO20" s="336"/>
      <c r="EP20" s="336"/>
      <c r="EQ20" s="336"/>
      <c r="ER20" s="336"/>
      <c r="ES20" s="336"/>
      <c r="ET20" s="336"/>
      <c r="EU20" s="336"/>
      <c r="EV20" s="336"/>
      <c r="EW20" s="336"/>
      <c r="EX20" s="336"/>
      <c r="EY20" s="336"/>
      <c r="EZ20" s="336"/>
      <c r="FA20" s="336"/>
      <c r="FB20" s="336"/>
      <c r="FC20" s="336"/>
      <c r="FD20" s="336"/>
      <c r="FE20" s="336"/>
      <c r="FF20" s="336"/>
      <c r="FG20" s="336"/>
      <c r="FH20" s="336"/>
      <c r="FI20" s="336"/>
      <c r="FJ20" s="336"/>
      <c r="FK20" s="336"/>
      <c r="FL20" s="336"/>
      <c r="FM20" s="336"/>
      <c r="FN20" s="336"/>
      <c r="FO20" s="336"/>
      <c r="FP20" s="336"/>
      <c r="FQ20" s="336"/>
      <c r="FR20" s="336"/>
      <c r="FS20" s="336"/>
      <c r="FT20" s="336"/>
      <c r="FU20" s="336"/>
      <c r="FV20" s="336"/>
      <c r="FW20" s="336"/>
      <c r="FX20" s="336"/>
      <c r="FY20" s="336"/>
      <c r="FZ20" s="336"/>
      <c r="GA20" s="336"/>
      <c r="GB20" s="336"/>
      <c r="GC20" s="336"/>
      <c r="GD20" s="336"/>
      <c r="GE20" s="336"/>
      <c r="GF20" s="336"/>
      <c r="GG20" s="336"/>
      <c r="GH20" s="336"/>
      <c r="GI20" s="336"/>
      <c r="GJ20" s="336"/>
      <c r="GK20" s="336"/>
      <c r="GL20" s="336"/>
      <c r="GM20" s="336"/>
      <c r="GN20" s="336"/>
      <c r="GO20" s="336"/>
      <c r="GP20" s="336"/>
      <c r="GQ20" s="336"/>
      <c r="GR20" s="336"/>
      <c r="GS20" s="336"/>
      <c r="GT20" s="336"/>
      <c r="GU20" s="336"/>
      <c r="GV20" s="336"/>
      <c r="GW20" s="336"/>
      <c r="GX20" s="336"/>
      <c r="GY20" s="336"/>
      <c r="GZ20" s="336"/>
      <c r="HA20" s="336"/>
      <c r="HB20" s="336"/>
      <c r="HC20" s="336"/>
      <c r="HD20" s="336"/>
      <c r="HE20" s="336"/>
      <c r="HF20" s="336"/>
      <c r="HG20" s="336"/>
      <c r="HH20" s="336"/>
      <c r="HI20" s="336"/>
      <c r="HJ20" s="336"/>
      <c r="HK20" s="336"/>
      <c r="HL20" s="336"/>
      <c r="HM20" s="336"/>
      <c r="HN20" s="336"/>
      <c r="HO20" s="336"/>
      <c r="HP20" s="336"/>
      <c r="HQ20" s="336"/>
      <c r="HR20" s="336"/>
      <c r="HS20" s="336"/>
    </row>
    <row r="21" spans="1:227" s="146" customFormat="1" ht="42" customHeight="1" x14ac:dyDescent="0.35">
      <c r="A21" s="347">
        <v>1</v>
      </c>
      <c r="B21" s="343" t="s">
        <v>1081</v>
      </c>
      <c r="C21" s="346"/>
      <c r="D21" s="337"/>
      <c r="E21" s="338"/>
      <c r="F21" s="339"/>
      <c r="G21" s="339"/>
      <c r="H21" s="349"/>
      <c r="I21" s="356" t="s">
        <v>1337</v>
      </c>
      <c r="J21" s="498"/>
      <c r="K21" s="350">
        <f>K22+K24+K25+K26+K27+K28+K30+K31+K32+K29+K33+K23</f>
        <v>1745140</v>
      </c>
      <c r="L21" s="340"/>
      <c r="M21" s="350">
        <f>M22+M24+M25+M26+M27+M28+M30+M31+M32+M29+M33+M23</f>
        <v>0</v>
      </c>
      <c r="N21" s="341"/>
      <c r="O21" s="342" t="s">
        <v>151</v>
      </c>
      <c r="P21" s="345"/>
      <c r="Q21" s="336"/>
      <c r="R21" s="336"/>
      <c r="S21" s="336"/>
      <c r="T21" s="336"/>
      <c r="U21" s="336"/>
      <c r="V21" s="336"/>
      <c r="W21" s="336"/>
      <c r="X21" s="336"/>
      <c r="Y21" s="336"/>
      <c r="Z21" s="336"/>
      <c r="AA21" s="336"/>
      <c r="AB21" s="336"/>
      <c r="AC21" s="336"/>
      <c r="AD21" s="336"/>
      <c r="AE21" s="336"/>
      <c r="AF21" s="336"/>
      <c r="AG21" s="336"/>
      <c r="AH21" s="336"/>
      <c r="AI21" s="336"/>
      <c r="AJ21" s="336"/>
      <c r="AK21" s="336"/>
      <c r="AL21" s="336"/>
      <c r="AM21" s="336"/>
      <c r="AN21" s="336"/>
      <c r="AO21" s="336"/>
      <c r="AP21" s="336"/>
      <c r="AQ21" s="336"/>
      <c r="AR21" s="336"/>
      <c r="AS21" s="336"/>
      <c r="AT21" s="336"/>
      <c r="AU21" s="336"/>
      <c r="AV21" s="336"/>
      <c r="AW21" s="336"/>
      <c r="AX21" s="336"/>
      <c r="AY21" s="336"/>
      <c r="AZ21" s="336"/>
      <c r="BA21" s="336"/>
      <c r="BB21" s="336"/>
      <c r="BC21" s="336"/>
      <c r="BD21" s="336"/>
      <c r="BE21" s="336"/>
      <c r="BF21" s="336"/>
      <c r="BG21" s="336"/>
      <c r="BH21" s="336"/>
      <c r="BI21" s="336"/>
      <c r="BJ21" s="336"/>
      <c r="BK21" s="336"/>
      <c r="BL21" s="336"/>
      <c r="BM21" s="336"/>
      <c r="BN21" s="336"/>
      <c r="BO21" s="336"/>
      <c r="BP21" s="336"/>
      <c r="BQ21" s="336"/>
      <c r="BR21" s="336"/>
      <c r="BS21" s="336"/>
      <c r="BT21" s="336"/>
      <c r="BU21" s="336"/>
      <c r="BV21" s="336"/>
      <c r="BW21" s="336"/>
      <c r="BX21" s="336"/>
      <c r="BY21" s="336"/>
      <c r="BZ21" s="336"/>
      <c r="CA21" s="336"/>
      <c r="CB21" s="336"/>
      <c r="CC21" s="336"/>
      <c r="CD21" s="336"/>
      <c r="CE21" s="336"/>
      <c r="CF21" s="336"/>
      <c r="CG21" s="336"/>
      <c r="CH21" s="336"/>
      <c r="CI21" s="336"/>
      <c r="CJ21" s="336"/>
      <c r="CK21" s="336"/>
      <c r="CL21" s="336"/>
      <c r="CM21" s="336"/>
      <c r="CN21" s="336"/>
      <c r="CO21" s="336"/>
      <c r="CP21" s="336"/>
      <c r="CQ21" s="336"/>
      <c r="CR21" s="336"/>
      <c r="CS21" s="336"/>
      <c r="CT21" s="336"/>
      <c r="CU21" s="336"/>
      <c r="CV21" s="336"/>
      <c r="CW21" s="336"/>
      <c r="CX21" s="336"/>
      <c r="CY21" s="336"/>
      <c r="CZ21" s="336"/>
      <c r="DA21" s="336"/>
      <c r="DB21" s="336"/>
      <c r="DC21" s="336"/>
      <c r="DD21" s="336"/>
      <c r="DE21" s="336"/>
      <c r="DF21" s="336"/>
      <c r="DG21" s="336"/>
      <c r="DH21" s="336"/>
      <c r="DI21" s="336"/>
      <c r="DJ21" s="336"/>
      <c r="DK21" s="336"/>
      <c r="DL21" s="336"/>
      <c r="DM21" s="336"/>
      <c r="DN21" s="336"/>
      <c r="DO21" s="336"/>
      <c r="DP21" s="336"/>
      <c r="DQ21" s="336"/>
      <c r="DR21" s="336"/>
      <c r="DS21" s="336"/>
      <c r="DT21" s="336"/>
      <c r="DU21" s="336"/>
      <c r="DV21" s="336"/>
      <c r="DW21" s="336"/>
      <c r="DX21" s="336"/>
      <c r="DY21" s="336"/>
      <c r="DZ21" s="336"/>
      <c r="EA21" s="336"/>
      <c r="EB21" s="336"/>
      <c r="EC21" s="336"/>
      <c r="ED21" s="336"/>
      <c r="EE21" s="336"/>
      <c r="EF21" s="336"/>
      <c r="EG21" s="336"/>
      <c r="EH21" s="336"/>
      <c r="EI21" s="336"/>
      <c r="EJ21" s="336"/>
      <c r="EK21" s="336"/>
      <c r="EL21" s="336"/>
      <c r="EM21" s="336"/>
      <c r="EN21" s="336"/>
      <c r="EO21" s="336"/>
      <c r="EP21" s="336"/>
      <c r="EQ21" s="336"/>
      <c r="ER21" s="336"/>
      <c r="ES21" s="336"/>
      <c r="ET21" s="336"/>
      <c r="EU21" s="336"/>
      <c r="EV21" s="336"/>
      <c r="EW21" s="336"/>
      <c r="EX21" s="336"/>
      <c r="EY21" s="336"/>
      <c r="EZ21" s="336"/>
      <c r="FA21" s="336"/>
      <c r="FB21" s="336"/>
      <c r="FC21" s="336"/>
      <c r="FD21" s="336"/>
      <c r="FE21" s="336"/>
      <c r="FF21" s="336"/>
      <c r="FG21" s="336"/>
      <c r="FH21" s="336"/>
      <c r="FI21" s="336"/>
      <c r="FJ21" s="336"/>
      <c r="FK21" s="336"/>
      <c r="FL21" s="336"/>
      <c r="FM21" s="336"/>
      <c r="FN21" s="336"/>
      <c r="FO21" s="336"/>
      <c r="FP21" s="336"/>
      <c r="FQ21" s="336"/>
      <c r="FR21" s="336"/>
      <c r="FS21" s="336"/>
      <c r="FT21" s="336"/>
      <c r="FU21" s="336"/>
      <c r="FV21" s="336"/>
      <c r="FW21" s="336"/>
      <c r="FX21" s="336"/>
      <c r="FY21" s="336"/>
      <c r="FZ21" s="336"/>
      <c r="GA21" s="336"/>
      <c r="GB21" s="336"/>
      <c r="GC21" s="336"/>
      <c r="GD21" s="336"/>
      <c r="GE21" s="336"/>
      <c r="GF21" s="336"/>
      <c r="GG21" s="336"/>
      <c r="GH21" s="336"/>
      <c r="GI21" s="336"/>
      <c r="GJ21" s="336"/>
      <c r="GK21" s="336"/>
      <c r="GL21" s="336"/>
      <c r="GM21" s="336"/>
      <c r="GN21" s="336"/>
      <c r="GO21" s="336"/>
      <c r="GP21" s="336"/>
      <c r="GQ21" s="336"/>
      <c r="GR21" s="336"/>
      <c r="GS21" s="336"/>
      <c r="GT21" s="336"/>
      <c r="GU21" s="336"/>
      <c r="GV21" s="336"/>
      <c r="GW21" s="336"/>
      <c r="GX21" s="336"/>
      <c r="GY21" s="336"/>
      <c r="GZ21" s="336"/>
      <c r="HA21" s="336"/>
      <c r="HB21" s="336"/>
      <c r="HC21" s="336"/>
      <c r="HD21" s="336"/>
      <c r="HE21" s="336"/>
      <c r="HF21" s="336"/>
      <c r="HG21" s="336"/>
      <c r="HH21" s="336"/>
      <c r="HI21" s="336"/>
      <c r="HJ21" s="336"/>
      <c r="HK21" s="336"/>
      <c r="HL21" s="336"/>
      <c r="HM21" s="336"/>
      <c r="HN21" s="336"/>
      <c r="HO21" s="336"/>
      <c r="HP21" s="336"/>
      <c r="HQ21" s="336"/>
      <c r="HR21" s="336"/>
      <c r="HS21" s="336"/>
    </row>
    <row r="22" spans="1:227" s="366" customFormat="1" ht="31.5" customHeight="1" x14ac:dyDescent="0.3">
      <c r="A22" s="523"/>
      <c r="B22" s="1331" t="s">
        <v>627</v>
      </c>
      <c r="C22" s="1332" t="s">
        <v>1086</v>
      </c>
      <c r="D22" s="524"/>
      <c r="E22" s="524"/>
      <c r="F22" s="524"/>
      <c r="G22" s="524"/>
      <c r="H22" s="524"/>
      <c r="I22" s="1334" t="s">
        <v>1239</v>
      </c>
      <c r="J22" s="363" t="s">
        <v>586</v>
      </c>
      <c r="K22" s="525">
        <v>73140</v>
      </c>
      <c r="M22" s="526"/>
      <c r="N22" s="489"/>
      <c r="O22" s="1286" t="s">
        <v>151</v>
      </c>
      <c r="P22" s="363"/>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67"/>
      <c r="AZ22" s="367"/>
      <c r="BA22" s="367"/>
      <c r="BB22" s="367"/>
      <c r="BC22" s="367"/>
      <c r="BD22" s="367"/>
      <c r="BE22" s="367"/>
      <c r="BF22" s="367"/>
      <c r="BG22" s="367"/>
      <c r="BH22" s="367"/>
      <c r="BI22" s="367"/>
      <c r="BJ22" s="367"/>
      <c r="BK22" s="367"/>
      <c r="BL22" s="367"/>
      <c r="BM22" s="367"/>
      <c r="BN22" s="367"/>
      <c r="BO22" s="367"/>
      <c r="BP22" s="367"/>
      <c r="BQ22" s="367"/>
      <c r="BR22" s="367"/>
      <c r="BS22" s="367"/>
      <c r="BT22" s="367"/>
      <c r="BU22" s="367"/>
      <c r="BV22" s="367"/>
      <c r="BW22" s="367"/>
      <c r="BX22" s="367"/>
      <c r="BY22" s="367"/>
      <c r="BZ22" s="367"/>
      <c r="CA22" s="367"/>
      <c r="CB22" s="367"/>
      <c r="CC22" s="367"/>
      <c r="CD22" s="367"/>
      <c r="CE22" s="367"/>
      <c r="CF22" s="367"/>
      <c r="CG22" s="367"/>
      <c r="CH22" s="367"/>
      <c r="CI22" s="367"/>
      <c r="CJ22" s="367"/>
      <c r="CK22" s="367"/>
      <c r="CL22" s="367"/>
      <c r="CM22" s="367"/>
      <c r="CN22" s="367"/>
      <c r="CO22" s="367"/>
      <c r="CP22" s="367"/>
      <c r="CQ22" s="367"/>
      <c r="CR22" s="367"/>
      <c r="CS22" s="367"/>
      <c r="CT22" s="367"/>
      <c r="CU22" s="367"/>
      <c r="CV22" s="367"/>
      <c r="CW22" s="367"/>
      <c r="CX22" s="367"/>
      <c r="CY22" s="367"/>
      <c r="CZ22" s="367"/>
      <c r="DA22" s="367"/>
      <c r="DB22" s="367"/>
      <c r="DC22" s="367"/>
      <c r="DD22" s="367"/>
      <c r="DE22" s="367"/>
      <c r="DF22" s="367"/>
      <c r="DG22" s="367"/>
      <c r="DH22" s="367"/>
      <c r="DI22" s="367"/>
      <c r="DJ22" s="367"/>
      <c r="DK22" s="367"/>
      <c r="DL22" s="367"/>
      <c r="DM22" s="367"/>
      <c r="DN22" s="367"/>
      <c r="DO22" s="367"/>
      <c r="DP22" s="367"/>
      <c r="DQ22" s="367"/>
      <c r="DR22" s="367"/>
      <c r="DS22" s="367"/>
      <c r="DT22" s="367"/>
      <c r="DU22" s="367"/>
      <c r="DV22" s="367"/>
      <c r="DW22" s="367"/>
      <c r="DX22" s="367"/>
      <c r="DY22" s="367"/>
      <c r="DZ22" s="367"/>
      <c r="EA22" s="367"/>
      <c r="EB22" s="367"/>
      <c r="EC22" s="367"/>
      <c r="ED22" s="367"/>
      <c r="EE22" s="367"/>
      <c r="EF22" s="367"/>
      <c r="EG22" s="367"/>
      <c r="EH22" s="367"/>
      <c r="EI22" s="367"/>
      <c r="EJ22" s="367"/>
      <c r="EK22" s="367"/>
      <c r="EL22" s="367"/>
      <c r="EM22" s="367"/>
      <c r="EN22" s="367"/>
      <c r="EO22" s="367"/>
      <c r="EP22" s="367"/>
      <c r="EQ22" s="367"/>
      <c r="ER22" s="367"/>
      <c r="ES22" s="367"/>
      <c r="ET22" s="367"/>
      <c r="EU22" s="367"/>
      <c r="EV22" s="367"/>
      <c r="EW22" s="367"/>
      <c r="EX22" s="367"/>
      <c r="EY22" s="367"/>
      <c r="EZ22" s="367"/>
      <c r="FA22" s="367"/>
      <c r="FB22" s="367"/>
      <c r="FC22" s="367"/>
      <c r="FD22" s="367"/>
      <c r="FE22" s="367"/>
      <c r="FF22" s="367"/>
      <c r="FG22" s="367"/>
      <c r="FH22" s="367"/>
      <c r="FI22" s="367"/>
      <c r="FJ22" s="367"/>
      <c r="FK22" s="367"/>
      <c r="FL22" s="367"/>
      <c r="FM22" s="367"/>
      <c r="FN22" s="367"/>
      <c r="FO22" s="367"/>
      <c r="FP22" s="367"/>
      <c r="FQ22" s="367"/>
      <c r="FR22" s="367"/>
      <c r="FS22" s="367"/>
      <c r="FT22" s="367"/>
      <c r="FU22" s="367"/>
      <c r="FV22" s="367"/>
      <c r="FW22" s="367"/>
      <c r="FX22" s="367"/>
      <c r="FY22" s="367"/>
      <c r="FZ22" s="367"/>
      <c r="GA22" s="367"/>
      <c r="GB22" s="367"/>
      <c r="GC22" s="367"/>
      <c r="GD22" s="367"/>
      <c r="GE22" s="367"/>
      <c r="GF22" s="367"/>
      <c r="GG22" s="367"/>
      <c r="GH22" s="367"/>
      <c r="GI22" s="367"/>
      <c r="GJ22" s="367"/>
      <c r="GK22" s="367"/>
      <c r="GL22" s="367"/>
      <c r="GM22" s="367"/>
      <c r="GN22" s="367"/>
      <c r="GO22" s="367"/>
      <c r="GP22" s="367"/>
      <c r="GQ22" s="367"/>
      <c r="GR22" s="367"/>
      <c r="GS22" s="367"/>
      <c r="GT22" s="367"/>
      <c r="GU22" s="367"/>
      <c r="GV22" s="367"/>
      <c r="GW22" s="367"/>
      <c r="GX22" s="367"/>
      <c r="GY22" s="367"/>
      <c r="GZ22" s="367"/>
      <c r="HA22" s="367"/>
      <c r="HB22" s="367"/>
      <c r="HC22" s="367"/>
      <c r="HD22" s="367"/>
      <c r="HE22" s="367"/>
      <c r="HF22" s="367"/>
      <c r="HG22" s="367"/>
      <c r="HH22" s="367"/>
      <c r="HI22" s="367"/>
      <c r="HJ22" s="367"/>
      <c r="HK22" s="367"/>
      <c r="HL22" s="367"/>
      <c r="HM22" s="367"/>
      <c r="HN22" s="367"/>
      <c r="HO22" s="367"/>
      <c r="HP22" s="367"/>
      <c r="HQ22" s="367"/>
      <c r="HR22" s="367"/>
      <c r="HS22" s="367"/>
    </row>
    <row r="23" spans="1:227" s="366" customFormat="1" ht="15.6" hidden="1" x14ac:dyDescent="0.3">
      <c r="A23" s="523"/>
      <c r="B23" s="1294"/>
      <c r="C23" s="1333"/>
      <c r="D23" s="524"/>
      <c r="E23" s="524"/>
      <c r="F23" s="524"/>
      <c r="G23" s="524"/>
      <c r="H23" s="524"/>
      <c r="I23" s="1285"/>
      <c r="J23" s="363" t="s">
        <v>528</v>
      </c>
      <c r="K23" s="525"/>
      <c r="M23" s="526"/>
      <c r="N23" s="489"/>
      <c r="O23" s="1335"/>
      <c r="P23" s="363"/>
      <c r="Q23" s="367"/>
      <c r="R23" s="367"/>
      <c r="S23" s="367"/>
      <c r="T23" s="367"/>
      <c r="U23" s="367"/>
      <c r="V23" s="367"/>
      <c r="W23" s="367"/>
      <c r="X23" s="367"/>
      <c r="Y23" s="367"/>
      <c r="Z23" s="367"/>
      <c r="AA23" s="367"/>
      <c r="AB23" s="367"/>
      <c r="AC23" s="367"/>
      <c r="AD23" s="367"/>
      <c r="AE23" s="367"/>
      <c r="AF23" s="367"/>
      <c r="AG23" s="367"/>
      <c r="AH23" s="367"/>
      <c r="AI23" s="367"/>
      <c r="AJ23" s="367"/>
      <c r="AK23" s="367"/>
      <c r="AL23" s="367"/>
      <c r="AM23" s="367"/>
      <c r="AN23" s="367"/>
      <c r="AO23" s="367"/>
      <c r="AP23" s="367"/>
      <c r="AQ23" s="367"/>
      <c r="AR23" s="367"/>
      <c r="AS23" s="367"/>
      <c r="AT23" s="367"/>
      <c r="AU23" s="367"/>
      <c r="AV23" s="367"/>
      <c r="AW23" s="367"/>
      <c r="AX23" s="367"/>
      <c r="AY23" s="367"/>
      <c r="AZ23" s="367"/>
      <c r="BA23" s="367"/>
      <c r="BB23" s="367"/>
      <c r="BC23" s="367"/>
      <c r="BD23" s="367"/>
      <c r="BE23" s="367"/>
      <c r="BF23" s="367"/>
      <c r="BG23" s="367"/>
      <c r="BH23" s="367"/>
      <c r="BI23" s="367"/>
      <c r="BJ23" s="367"/>
      <c r="BK23" s="367"/>
      <c r="BL23" s="367"/>
      <c r="BM23" s="367"/>
      <c r="BN23" s="367"/>
      <c r="BO23" s="367"/>
      <c r="BP23" s="367"/>
      <c r="BQ23" s="367"/>
      <c r="BR23" s="367"/>
      <c r="BS23" s="367"/>
      <c r="BT23" s="367"/>
      <c r="BU23" s="367"/>
      <c r="BV23" s="367"/>
      <c r="BW23" s="367"/>
      <c r="BX23" s="367"/>
      <c r="BY23" s="367"/>
      <c r="BZ23" s="367"/>
      <c r="CA23" s="367"/>
      <c r="CB23" s="367"/>
      <c r="CC23" s="367"/>
      <c r="CD23" s="367"/>
      <c r="CE23" s="367"/>
      <c r="CF23" s="367"/>
      <c r="CG23" s="367"/>
      <c r="CH23" s="367"/>
      <c r="CI23" s="367"/>
      <c r="CJ23" s="367"/>
      <c r="CK23" s="367"/>
      <c r="CL23" s="367"/>
      <c r="CM23" s="367"/>
      <c r="CN23" s="367"/>
      <c r="CO23" s="367"/>
      <c r="CP23" s="367"/>
      <c r="CQ23" s="367"/>
      <c r="CR23" s="367"/>
      <c r="CS23" s="367"/>
      <c r="CT23" s="367"/>
      <c r="CU23" s="367"/>
      <c r="CV23" s="367"/>
      <c r="CW23" s="367"/>
      <c r="CX23" s="367"/>
      <c r="CY23" s="367"/>
      <c r="CZ23" s="367"/>
      <c r="DA23" s="367"/>
      <c r="DB23" s="367"/>
      <c r="DC23" s="367"/>
      <c r="DD23" s="367"/>
      <c r="DE23" s="367"/>
      <c r="DF23" s="367"/>
      <c r="DG23" s="367"/>
      <c r="DH23" s="367"/>
      <c r="DI23" s="367"/>
      <c r="DJ23" s="367"/>
      <c r="DK23" s="367"/>
      <c r="DL23" s="367"/>
      <c r="DM23" s="367"/>
      <c r="DN23" s="367"/>
      <c r="DO23" s="367"/>
      <c r="DP23" s="367"/>
      <c r="DQ23" s="367"/>
      <c r="DR23" s="367"/>
      <c r="DS23" s="367"/>
      <c r="DT23" s="367"/>
      <c r="DU23" s="367"/>
      <c r="DV23" s="367"/>
      <c r="DW23" s="367"/>
      <c r="DX23" s="367"/>
      <c r="DY23" s="367"/>
      <c r="DZ23" s="367"/>
      <c r="EA23" s="367"/>
      <c r="EB23" s="367"/>
      <c r="EC23" s="367"/>
      <c r="ED23" s="367"/>
      <c r="EE23" s="367"/>
      <c r="EF23" s="367"/>
      <c r="EG23" s="367"/>
      <c r="EH23" s="367"/>
      <c r="EI23" s="367"/>
      <c r="EJ23" s="367"/>
      <c r="EK23" s="367"/>
      <c r="EL23" s="367"/>
      <c r="EM23" s="367"/>
      <c r="EN23" s="367"/>
      <c r="EO23" s="367"/>
      <c r="EP23" s="367"/>
      <c r="EQ23" s="367"/>
      <c r="ER23" s="367"/>
      <c r="ES23" s="367"/>
      <c r="ET23" s="367"/>
      <c r="EU23" s="367"/>
      <c r="EV23" s="367"/>
      <c r="EW23" s="367"/>
      <c r="EX23" s="367"/>
      <c r="EY23" s="367"/>
      <c r="EZ23" s="367"/>
      <c r="FA23" s="367"/>
      <c r="FB23" s="367"/>
      <c r="FC23" s="367"/>
      <c r="FD23" s="367"/>
      <c r="FE23" s="367"/>
      <c r="FF23" s="367"/>
      <c r="FG23" s="367"/>
      <c r="FH23" s="367"/>
      <c r="FI23" s="367"/>
      <c r="FJ23" s="367"/>
      <c r="FK23" s="367"/>
      <c r="FL23" s="367"/>
      <c r="FM23" s="367"/>
      <c r="FN23" s="367"/>
      <c r="FO23" s="367"/>
      <c r="FP23" s="367"/>
      <c r="FQ23" s="367"/>
      <c r="FR23" s="367"/>
      <c r="FS23" s="367"/>
      <c r="FT23" s="367"/>
      <c r="FU23" s="367"/>
      <c r="FV23" s="367"/>
      <c r="FW23" s="367"/>
      <c r="FX23" s="367"/>
      <c r="FY23" s="367"/>
      <c r="FZ23" s="367"/>
      <c r="GA23" s="367"/>
      <c r="GB23" s="367"/>
      <c r="GC23" s="367"/>
      <c r="GD23" s="367"/>
      <c r="GE23" s="367"/>
      <c r="GF23" s="367"/>
      <c r="GG23" s="367"/>
      <c r="GH23" s="367"/>
      <c r="GI23" s="367"/>
      <c r="GJ23" s="367"/>
      <c r="GK23" s="367"/>
      <c r="GL23" s="367"/>
      <c r="GM23" s="367"/>
      <c r="GN23" s="367"/>
      <c r="GO23" s="367"/>
      <c r="GP23" s="367"/>
      <c r="GQ23" s="367"/>
      <c r="GR23" s="367"/>
      <c r="GS23" s="367"/>
      <c r="GT23" s="367"/>
      <c r="GU23" s="367"/>
      <c r="GV23" s="367"/>
      <c r="GW23" s="367"/>
      <c r="GX23" s="367"/>
      <c r="GY23" s="367"/>
      <c r="GZ23" s="367"/>
      <c r="HA23" s="367"/>
      <c r="HB23" s="367"/>
      <c r="HC23" s="367"/>
      <c r="HD23" s="367"/>
      <c r="HE23" s="367"/>
      <c r="HF23" s="367"/>
      <c r="HG23" s="367"/>
      <c r="HH23" s="367"/>
      <c r="HI23" s="367"/>
      <c r="HJ23" s="367"/>
      <c r="HK23" s="367"/>
      <c r="HL23" s="367"/>
      <c r="HM23" s="367"/>
      <c r="HN23" s="367"/>
      <c r="HO23" s="367"/>
      <c r="HP23" s="367"/>
      <c r="HQ23" s="367"/>
      <c r="HR23" s="367"/>
      <c r="HS23" s="367"/>
    </row>
    <row r="24" spans="1:227" s="366" customFormat="1" ht="36" customHeight="1" x14ac:dyDescent="0.3">
      <c r="A24" s="388"/>
      <c r="B24" s="527" t="s">
        <v>630</v>
      </c>
      <c r="C24" s="451" t="s">
        <v>1086</v>
      </c>
      <c r="I24" s="528" t="s">
        <v>1240</v>
      </c>
      <c r="J24" s="363" t="s">
        <v>586</v>
      </c>
      <c r="K24" s="364">
        <v>106000</v>
      </c>
      <c r="M24" s="361"/>
      <c r="N24" s="365"/>
      <c r="O24" s="1335"/>
      <c r="P24" s="363"/>
      <c r="Q24" s="367"/>
      <c r="R24" s="367"/>
      <c r="S24" s="367"/>
      <c r="T24" s="367"/>
      <c r="U24" s="367"/>
      <c r="V24" s="367"/>
      <c r="W24" s="367"/>
      <c r="X24" s="367"/>
      <c r="Y24" s="367"/>
      <c r="Z24" s="367"/>
      <c r="AA24" s="367"/>
      <c r="AB24" s="367"/>
      <c r="AC24" s="367"/>
      <c r="AD24" s="367"/>
      <c r="AE24" s="367"/>
      <c r="AF24" s="367"/>
      <c r="AG24" s="367"/>
      <c r="AH24" s="367"/>
      <c r="AI24" s="367"/>
      <c r="AJ24" s="367"/>
      <c r="AK24" s="367"/>
      <c r="AL24" s="367"/>
      <c r="AM24" s="367"/>
      <c r="AN24" s="367"/>
      <c r="AO24" s="367"/>
      <c r="AP24" s="367"/>
      <c r="AQ24" s="367"/>
      <c r="AR24" s="367"/>
      <c r="AS24" s="367"/>
      <c r="AT24" s="367"/>
      <c r="AU24" s="367"/>
      <c r="AV24" s="367"/>
      <c r="AW24" s="367"/>
      <c r="AX24" s="367"/>
      <c r="AY24" s="367"/>
      <c r="AZ24" s="367"/>
      <c r="BA24" s="367"/>
      <c r="BB24" s="367"/>
      <c r="BC24" s="367"/>
      <c r="BD24" s="367"/>
      <c r="BE24" s="367"/>
      <c r="BF24" s="367"/>
      <c r="BG24" s="367"/>
      <c r="BH24" s="367"/>
      <c r="BI24" s="367"/>
      <c r="BJ24" s="367"/>
      <c r="BK24" s="367"/>
      <c r="BL24" s="367"/>
      <c r="BM24" s="367"/>
      <c r="BN24" s="367"/>
      <c r="BO24" s="367"/>
      <c r="BP24" s="367"/>
      <c r="BQ24" s="367"/>
      <c r="BR24" s="367"/>
      <c r="BS24" s="367"/>
      <c r="BT24" s="367"/>
      <c r="BU24" s="367"/>
      <c r="BV24" s="367"/>
      <c r="BW24" s="367"/>
      <c r="BX24" s="367"/>
      <c r="BY24" s="367"/>
      <c r="BZ24" s="367"/>
      <c r="CA24" s="367"/>
      <c r="CB24" s="367"/>
      <c r="CC24" s="367"/>
      <c r="CD24" s="367"/>
      <c r="CE24" s="367"/>
      <c r="CF24" s="367"/>
      <c r="CG24" s="367"/>
      <c r="CH24" s="367"/>
      <c r="CI24" s="367"/>
      <c r="CJ24" s="367"/>
      <c r="CK24" s="367"/>
      <c r="CL24" s="367"/>
      <c r="CM24" s="367"/>
      <c r="CN24" s="367"/>
      <c r="CO24" s="367"/>
      <c r="CP24" s="367"/>
      <c r="CQ24" s="367"/>
      <c r="CR24" s="367"/>
      <c r="CS24" s="367"/>
      <c r="CT24" s="367"/>
      <c r="CU24" s="367"/>
      <c r="CV24" s="367"/>
      <c r="CW24" s="367"/>
      <c r="CX24" s="367"/>
      <c r="CY24" s="367"/>
      <c r="CZ24" s="367"/>
      <c r="DA24" s="367"/>
      <c r="DB24" s="367"/>
      <c r="DC24" s="367"/>
      <c r="DD24" s="367"/>
      <c r="DE24" s="367"/>
      <c r="DF24" s="367"/>
      <c r="DG24" s="367"/>
      <c r="DH24" s="367"/>
      <c r="DI24" s="367"/>
      <c r="DJ24" s="367"/>
      <c r="DK24" s="367"/>
      <c r="DL24" s="367"/>
      <c r="DM24" s="367"/>
      <c r="DN24" s="367"/>
      <c r="DO24" s="367"/>
      <c r="DP24" s="367"/>
      <c r="DQ24" s="367"/>
      <c r="DR24" s="367"/>
      <c r="DS24" s="367"/>
      <c r="DT24" s="367"/>
      <c r="DU24" s="367"/>
      <c r="DV24" s="367"/>
      <c r="DW24" s="367"/>
      <c r="DX24" s="367"/>
      <c r="DY24" s="367"/>
      <c r="DZ24" s="367"/>
      <c r="EA24" s="367"/>
      <c r="EB24" s="367"/>
      <c r="EC24" s="367"/>
      <c r="ED24" s="367"/>
      <c r="EE24" s="367"/>
      <c r="EF24" s="367"/>
      <c r="EG24" s="367"/>
      <c r="EH24" s="367"/>
      <c r="EI24" s="367"/>
      <c r="EJ24" s="367"/>
      <c r="EK24" s="367"/>
      <c r="EL24" s="367"/>
      <c r="EM24" s="367"/>
      <c r="EN24" s="367"/>
    </row>
    <row r="25" spans="1:227" s="366" customFormat="1" ht="46.5" customHeight="1" x14ac:dyDescent="0.3">
      <c r="A25" s="388"/>
      <c r="B25" s="527" t="s">
        <v>633</v>
      </c>
      <c r="C25" s="451" t="s">
        <v>1086</v>
      </c>
      <c r="I25" s="528" t="s">
        <v>1241</v>
      </c>
      <c r="J25" s="363" t="s">
        <v>586</v>
      </c>
      <c r="K25" s="364">
        <v>181000</v>
      </c>
      <c r="M25" s="361"/>
      <c r="N25" s="365"/>
      <c r="O25" s="1335"/>
      <c r="P25" s="363"/>
      <c r="Q25" s="367"/>
      <c r="R25" s="367"/>
      <c r="S25" s="367"/>
      <c r="T25" s="367"/>
      <c r="U25" s="367"/>
      <c r="V25" s="367"/>
    </row>
    <row r="26" spans="1:227" s="366" customFormat="1" ht="33.75" customHeight="1" x14ac:dyDescent="0.3">
      <c r="A26" s="388"/>
      <c r="B26" s="527" t="s">
        <v>636</v>
      </c>
      <c r="C26" s="451" t="s">
        <v>1087</v>
      </c>
      <c r="I26" s="528" t="s">
        <v>1242</v>
      </c>
      <c r="J26" s="363" t="s">
        <v>586</v>
      </c>
      <c r="K26" s="364">
        <v>25000</v>
      </c>
      <c r="M26" s="361"/>
      <c r="N26" s="365"/>
      <c r="O26" s="1335"/>
      <c r="P26" s="363"/>
      <c r="Q26" s="367"/>
      <c r="R26" s="367"/>
      <c r="S26" s="367"/>
      <c r="T26" s="367"/>
      <c r="U26" s="367"/>
      <c r="V26" s="367"/>
    </row>
    <row r="27" spans="1:227" s="366" customFormat="1" ht="35.25" customHeight="1" x14ac:dyDescent="0.3">
      <c r="A27" s="388"/>
      <c r="B27" s="527" t="s">
        <v>639</v>
      </c>
      <c r="C27" s="451" t="s">
        <v>1086</v>
      </c>
      <c r="I27" s="528" t="s">
        <v>1243</v>
      </c>
      <c r="J27" s="363" t="s">
        <v>586</v>
      </c>
      <c r="K27" s="364">
        <v>30000</v>
      </c>
      <c r="M27" s="361"/>
      <c r="N27" s="365"/>
      <c r="O27" s="1335"/>
      <c r="P27" s="363"/>
      <c r="Q27" s="367"/>
      <c r="R27" s="367"/>
      <c r="S27" s="367"/>
      <c r="T27" s="367"/>
      <c r="U27" s="367"/>
      <c r="V27" s="367"/>
    </row>
    <row r="28" spans="1:227" s="366" customFormat="1" ht="30.75" customHeight="1" x14ac:dyDescent="0.3">
      <c r="A28" s="388"/>
      <c r="B28" s="527" t="s">
        <v>642</v>
      </c>
      <c r="C28" s="451" t="s">
        <v>1087</v>
      </c>
      <c r="I28" s="528" t="s">
        <v>1244</v>
      </c>
      <c r="J28" s="363" t="s">
        <v>586</v>
      </c>
      <c r="K28" s="364">
        <v>30000</v>
      </c>
      <c r="M28" s="361"/>
      <c r="N28" s="365"/>
      <c r="O28" s="1335"/>
      <c r="P28" s="363"/>
      <c r="Q28" s="367"/>
      <c r="R28" s="367"/>
      <c r="S28" s="367"/>
      <c r="T28" s="367"/>
      <c r="U28" s="367"/>
      <c r="V28" s="367"/>
    </row>
    <row r="29" spans="1:227" s="366" customFormat="1" ht="30.75" customHeight="1" x14ac:dyDescent="0.3">
      <c r="A29" s="1328"/>
      <c r="B29" s="1293" t="s">
        <v>607</v>
      </c>
      <c r="C29" s="451" t="s">
        <v>1088</v>
      </c>
      <c r="I29" s="1284" t="s">
        <v>1232</v>
      </c>
      <c r="J29" s="363" t="s">
        <v>586</v>
      </c>
      <c r="K29" s="372">
        <v>800000</v>
      </c>
      <c r="M29" s="361"/>
      <c r="N29" s="365"/>
      <c r="O29" s="1287"/>
      <c r="P29" s="363"/>
      <c r="Q29" s="367"/>
      <c r="R29" s="367"/>
      <c r="S29" s="367"/>
      <c r="T29" s="367"/>
      <c r="U29" s="367"/>
      <c r="V29" s="367"/>
    </row>
    <row r="30" spans="1:227" s="366" customFormat="1" ht="50.25" hidden="1" customHeight="1" x14ac:dyDescent="0.3">
      <c r="A30" s="1329"/>
      <c r="B30" s="1294"/>
      <c r="C30" s="451" t="s">
        <v>1159</v>
      </c>
      <c r="I30" s="1285"/>
      <c r="J30" s="363" t="s">
        <v>813</v>
      </c>
      <c r="K30" s="369"/>
      <c r="M30" s="361"/>
      <c r="N30" s="365"/>
      <c r="O30" s="529" t="s">
        <v>1179</v>
      </c>
      <c r="P30" s="363"/>
      <c r="Q30" s="367"/>
      <c r="R30" s="367"/>
      <c r="S30" s="367"/>
      <c r="T30" s="367"/>
      <c r="U30" s="367"/>
      <c r="V30" s="367"/>
    </row>
    <row r="31" spans="1:227" s="366" customFormat="1" ht="50.25" customHeight="1" x14ac:dyDescent="0.3">
      <c r="A31" s="530"/>
      <c r="B31" s="527" t="s">
        <v>1264</v>
      </c>
      <c r="C31" s="451" t="s">
        <v>1103</v>
      </c>
      <c r="I31" s="531" t="s">
        <v>1263</v>
      </c>
      <c r="J31" s="389" t="s">
        <v>586</v>
      </c>
      <c r="K31" s="559">
        <v>500000</v>
      </c>
      <c r="L31" s="532"/>
      <c r="M31" s="533"/>
      <c r="N31" s="365"/>
      <c r="O31" s="1286" t="s">
        <v>151</v>
      </c>
      <c r="P31" s="389"/>
      <c r="Q31" s="367"/>
      <c r="R31" s="367"/>
      <c r="S31" s="367"/>
      <c r="T31" s="367"/>
      <c r="U31" s="367"/>
      <c r="V31" s="367"/>
    </row>
    <row r="32" spans="1:227" s="366" customFormat="1" ht="30.75" hidden="1" customHeight="1" x14ac:dyDescent="0.3">
      <c r="A32" s="530"/>
      <c r="B32" s="534" t="s">
        <v>1168</v>
      </c>
      <c r="C32" s="451" t="s">
        <v>1130</v>
      </c>
      <c r="I32" s="531" t="s">
        <v>1169</v>
      </c>
      <c r="J32" s="389" t="s">
        <v>586</v>
      </c>
      <c r="K32" s="535"/>
      <c r="M32" s="486"/>
      <c r="N32" s="365"/>
      <c r="O32" s="1287"/>
      <c r="P32" s="389"/>
      <c r="Q32" s="367"/>
      <c r="R32" s="367"/>
      <c r="S32" s="367"/>
      <c r="T32" s="367"/>
      <c r="U32" s="367"/>
      <c r="V32" s="367"/>
    </row>
    <row r="33" spans="1:22" s="366" customFormat="1" ht="49.5" customHeight="1" x14ac:dyDescent="0.3">
      <c r="A33" s="530"/>
      <c r="B33" s="521" t="s">
        <v>1201</v>
      </c>
      <c r="C33" s="451"/>
      <c r="I33" s="531"/>
      <c r="J33" s="389"/>
      <c r="K33" s="536">
        <v>0</v>
      </c>
      <c r="M33" s="486"/>
      <c r="N33" s="365"/>
      <c r="O33" s="537"/>
      <c r="P33" s="389"/>
      <c r="Q33" s="367"/>
      <c r="R33" s="367"/>
      <c r="S33" s="367"/>
      <c r="T33" s="367"/>
      <c r="U33" s="367"/>
      <c r="V33" s="367"/>
    </row>
    <row r="34" spans="1:22" s="366" customFormat="1" ht="44.25" customHeight="1" x14ac:dyDescent="0.35">
      <c r="A34" s="446">
        <v>2</v>
      </c>
      <c r="B34" s="538" t="s">
        <v>1082</v>
      </c>
      <c r="C34" s="539"/>
      <c r="D34" s="540"/>
      <c r="E34" s="540"/>
      <c r="F34" s="540"/>
      <c r="G34" s="540"/>
      <c r="H34" s="540"/>
      <c r="I34" s="541" t="s">
        <v>1336</v>
      </c>
      <c r="J34" s="542"/>
      <c r="K34" s="543">
        <f>K35</f>
        <v>53000</v>
      </c>
      <c r="L34" s="540"/>
      <c r="M34" s="543">
        <f>M35</f>
        <v>0</v>
      </c>
      <c r="N34" s="448"/>
      <c r="O34" s="432" t="s">
        <v>151</v>
      </c>
      <c r="P34" s="544"/>
      <c r="Q34" s="367"/>
      <c r="R34" s="367"/>
      <c r="S34" s="367"/>
      <c r="T34" s="367"/>
      <c r="U34" s="367"/>
      <c r="V34" s="367"/>
    </row>
    <row r="35" spans="1:22" s="366" customFormat="1" ht="42.75" customHeight="1" x14ac:dyDescent="0.3">
      <c r="A35" s="388"/>
      <c r="B35" s="459" t="s">
        <v>765</v>
      </c>
      <c r="C35" s="545" t="s">
        <v>1089</v>
      </c>
      <c r="I35" s="452" t="s">
        <v>1288</v>
      </c>
      <c r="J35" s="363" t="s">
        <v>586</v>
      </c>
      <c r="K35" s="364">
        <v>53000</v>
      </c>
      <c r="M35" s="361"/>
      <c r="N35" s="365"/>
      <c r="O35" s="450"/>
      <c r="P35" s="546"/>
      <c r="Q35" s="367"/>
      <c r="R35" s="367"/>
      <c r="S35" s="367"/>
      <c r="T35" s="367"/>
      <c r="U35" s="367"/>
      <c r="V35" s="367"/>
    </row>
    <row r="36" spans="1:22" s="366" customFormat="1" ht="52.8" x14ac:dyDescent="0.35">
      <c r="A36" s="446">
        <v>3</v>
      </c>
      <c r="B36" s="447" t="s">
        <v>1092</v>
      </c>
      <c r="C36" s="448"/>
      <c r="D36" s="448"/>
      <c r="E36" s="448"/>
      <c r="F36" s="448"/>
      <c r="G36" s="448"/>
      <c r="H36" s="547"/>
      <c r="I36" s="429" t="s">
        <v>1338</v>
      </c>
      <c r="J36" s="430"/>
      <c r="K36" s="548">
        <f>K37+K38+K39+K40+K43+K44+K45+K41+K46+K42</f>
        <v>12591358.65</v>
      </c>
      <c r="L36" s="448"/>
      <c r="M36" s="548">
        <f>M37+M38+M39+M40+M43+M44+M45+M41+M46+M42</f>
        <v>697203.94</v>
      </c>
      <c r="N36" s="448"/>
      <c r="O36" s="432" t="s">
        <v>1096</v>
      </c>
      <c r="P36" s="365"/>
    </row>
    <row r="37" spans="1:22" s="474" customFormat="1" ht="31.2" x14ac:dyDescent="0.35">
      <c r="A37" s="467"/>
      <c r="B37" s="549" t="s">
        <v>1231</v>
      </c>
      <c r="C37" s="550" t="s">
        <v>1093</v>
      </c>
      <c r="D37" s="476"/>
      <c r="E37" s="476"/>
      <c r="F37" s="476"/>
      <c r="G37" s="476"/>
      <c r="H37" s="551"/>
      <c r="I37" s="552" t="s">
        <v>1225</v>
      </c>
      <c r="J37" s="371" t="s">
        <v>586</v>
      </c>
      <c r="K37" s="553">
        <v>106000</v>
      </c>
      <c r="L37" s="470"/>
      <c r="M37" s="554"/>
      <c r="N37" s="470"/>
      <c r="O37" s="1280" t="s">
        <v>151</v>
      </c>
      <c r="P37" s="476"/>
    </row>
    <row r="38" spans="1:22" s="366" customFormat="1" ht="31.2" x14ac:dyDescent="0.35">
      <c r="A38" s="446"/>
      <c r="B38" s="459" t="s">
        <v>1281</v>
      </c>
      <c r="C38" s="451" t="s">
        <v>1094</v>
      </c>
      <c r="D38" s="365"/>
      <c r="E38" s="365"/>
      <c r="F38" s="365"/>
      <c r="G38" s="365"/>
      <c r="H38" s="365"/>
      <c r="I38" s="452" t="s">
        <v>1280</v>
      </c>
      <c r="J38" s="363" t="s">
        <v>586</v>
      </c>
      <c r="K38" s="364">
        <v>53000</v>
      </c>
      <c r="L38" s="448"/>
      <c r="M38" s="533"/>
      <c r="N38" s="448"/>
      <c r="O38" s="1282"/>
      <c r="P38" s="365"/>
    </row>
    <row r="39" spans="1:22" s="366" customFormat="1" ht="31.2" x14ac:dyDescent="0.35">
      <c r="A39" s="446"/>
      <c r="B39" s="459" t="s">
        <v>1283</v>
      </c>
      <c r="C39" s="451" t="s">
        <v>1094</v>
      </c>
      <c r="D39" s="365"/>
      <c r="E39" s="365"/>
      <c r="F39" s="365"/>
      <c r="G39" s="365"/>
      <c r="H39" s="365"/>
      <c r="I39" s="452" t="s">
        <v>1282</v>
      </c>
      <c r="J39" s="363" t="s">
        <v>586</v>
      </c>
      <c r="K39" s="364">
        <v>106000</v>
      </c>
      <c r="L39" s="448"/>
      <c r="M39" s="533"/>
      <c r="N39" s="448"/>
      <c r="O39" s="1282"/>
      <c r="P39" s="365"/>
    </row>
    <row r="40" spans="1:22" s="366" customFormat="1" ht="18" x14ac:dyDescent="0.35">
      <c r="A40" s="446"/>
      <c r="B40" s="459" t="s">
        <v>751</v>
      </c>
      <c r="C40" s="451" t="s">
        <v>1094</v>
      </c>
      <c r="D40" s="365"/>
      <c r="E40" s="365"/>
      <c r="F40" s="365"/>
      <c r="G40" s="365"/>
      <c r="H40" s="365"/>
      <c r="I40" s="452" t="s">
        <v>1286</v>
      </c>
      <c r="J40" s="363" t="s">
        <v>586</v>
      </c>
      <c r="K40" s="364">
        <v>212000</v>
      </c>
      <c r="L40" s="448"/>
      <c r="M40" s="533"/>
      <c r="N40" s="448"/>
      <c r="O40" s="1283"/>
      <c r="P40" s="365"/>
    </row>
    <row r="41" spans="1:22" s="366" customFormat="1" ht="62.4" hidden="1" x14ac:dyDescent="0.35">
      <c r="A41" s="446"/>
      <c r="B41" s="478" t="s">
        <v>1181</v>
      </c>
      <c r="C41" s="451" t="s">
        <v>1180</v>
      </c>
      <c r="D41" s="365"/>
      <c r="E41" s="365"/>
      <c r="F41" s="365"/>
      <c r="G41" s="365"/>
      <c r="H41" s="555"/>
      <c r="I41" s="452" t="s">
        <v>752</v>
      </c>
      <c r="J41" s="363" t="s">
        <v>813</v>
      </c>
      <c r="K41" s="364"/>
      <c r="L41" s="448"/>
      <c r="M41" s="533"/>
      <c r="N41" s="448"/>
      <c r="O41" s="529" t="s">
        <v>1179</v>
      </c>
      <c r="P41" s="365"/>
    </row>
    <row r="42" spans="1:22" s="366" customFormat="1" ht="31.2" x14ac:dyDescent="0.35">
      <c r="A42" s="446"/>
      <c r="B42" s="478" t="s">
        <v>748</v>
      </c>
      <c r="C42" s="451" t="s">
        <v>1284</v>
      </c>
      <c r="D42" s="365"/>
      <c r="E42" s="365"/>
      <c r="F42" s="365"/>
      <c r="G42" s="365"/>
      <c r="H42" s="555"/>
      <c r="I42" s="452" t="s">
        <v>1285</v>
      </c>
      <c r="J42" s="363" t="s">
        <v>586</v>
      </c>
      <c r="K42" s="364">
        <v>100000</v>
      </c>
      <c r="L42" s="448"/>
      <c r="M42" s="533"/>
      <c r="N42" s="448"/>
      <c r="O42" s="556" t="s">
        <v>151</v>
      </c>
      <c r="P42" s="365"/>
    </row>
    <row r="43" spans="1:22" s="366" customFormat="1" ht="31.2" x14ac:dyDescent="0.35">
      <c r="A43" s="446"/>
      <c r="B43" s="459" t="s">
        <v>918</v>
      </c>
      <c r="C43" s="451" t="s">
        <v>1095</v>
      </c>
      <c r="D43" s="448"/>
      <c r="E43" s="448"/>
      <c r="F43" s="448"/>
      <c r="G43" s="448"/>
      <c r="H43" s="547"/>
      <c r="I43" s="452" t="s">
        <v>1332</v>
      </c>
      <c r="J43" s="363" t="s">
        <v>613</v>
      </c>
      <c r="K43" s="364">
        <v>4819591.7</v>
      </c>
      <c r="L43" s="448"/>
      <c r="M43" s="487">
        <f>315426.44</f>
        <v>315426.44</v>
      </c>
      <c r="N43" s="448"/>
      <c r="O43" s="1316" t="s">
        <v>1097</v>
      </c>
      <c r="P43" s="365"/>
    </row>
    <row r="44" spans="1:22" s="366" customFormat="1" ht="18" x14ac:dyDescent="0.35">
      <c r="A44" s="446"/>
      <c r="B44" s="459" t="s">
        <v>921</v>
      </c>
      <c r="C44" s="451" t="s">
        <v>1095</v>
      </c>
      <c r="D44" s="448"/>
      <c r="E44" s="448"/>
      <c r="F44" s="448"/>
      <c r="G44" s="448"/>
      <c r="H44" s="547"/>
      <c r="I44" s="452" t="s">
        <v>1333</v>
      </c>
      <c r="J44" s="363" t="s">
        <v>613</v>
      </c>
      <c r="K44" s="364">
        <v>2775762.7</v>
      </c>
      <c r="L44" s="448"/>
      <c r="M44" s="487">
        <f>141775.76</f>
        <v>141775.76</v>
      </c>
      <c r="N44" s="448"/>
      <c r="O44" s="1317"/>
      <c r="P44" s="365"/>
    </row>
    <row r="45" spans="1:22" s="366" customFormat="1" ht="18" x14ac:dyDescent="0.35">
      <c r="A45" s="446"/>
      <c r="B45" s="459" t="s">
        <v>924</v>
      </c>
      <c r="C45" s="451" t="s">
        <v>1095</v>
      </c>
      <c r="D45" s="365"/>
      <c r="E45" s="365"/>
      <c r="F45" s="365"/>
      <c r="G45" s="365"/>
      <c r="H45" s="365"/>
      <c r="I45" s="452" t="s">
        <v>1334</v>
      </c>
      <c r="J45" s="363" t="s">
        <v>613</v>
      </c>
      <c r="K45" s="372">
        <v>4419004.25</v>
      </c>
      <c r="L45" s="448"/>
      <c r="M45" s="487">
        <v>240001.74</v>
      </c>
      <c r="N45" s="448"/>
      <c r="O45" s="1317"/>
      <c r="P45" s="365"/>
    </row>
    <row r="46" spans="1:22" s="366" customFormat="1" ht="53.25" hidden="1" customHeight="1" x14ac:dyDescent="0.35">
      <c r="A46" s="446"/>
      <c r="B46" s="521" t="s">
        <v>926</v>
      </c>
      <c r="C46" s="451" t="s">
        <v>1095</v>
      </c>
      <c r="D46" s="365"/>
      <c r="E46" s="365"/>
      <c r="F46" s="365"/>
      <c r="G46" s="365"/>
      <c r="H46" s="365"/>
      <c r="I46" s="484" t="s">
        <v>1194</v>
      </c>
      <c r="J46" s="389" t="s">
        <v>613</v>
      </c>
      <c r="K46" s="485"/>
      <c r="L46" s="448"/>
      <c r="M46" s="533"/>
      <c r="N46" s="448"/>
      <c r="O46" s="1290"/>
      <c r="P46" s="365"/>
    </row>
    <row r="47" spans="1:22" s="366" customFormat="1" ht="52.8" x14ac:dyDescent="0.35">
      <c r="A47" s="446">
        <v>4</v>
      </c>
      <c r="B47" s="447" t="s">
        <v>1098</v>
      </c>
      <c r="C47" s="557"/>
      <c r="D47" s="448"/>
      <c r="E47" s="448"/>
      <c r="F47" s="448"/>
      <c r="G47" s="448"/>
      <c r="H47" s="448"/>
      <c r="I47" s="429" t="s">
        <v>1339</v>
      </c>
      <c r="J47" s="430"/>
      <c r="K47" s="449">
        <f>K49+K50+K51+K54+K52+K55+K53+K56+K48</f>
        <v>2059831.3199999998</v>
      </c>
      <c r="L47" s="448"/>
      <c r="M47" s="449">
        <f>M49+M50+M51+M54+M52+M55+M53+M56+M48</f>
        <v>0</v>
      </c>
      <c r="N47" s="448"/>
      <c r="O47" s="432" t="s">
        <v>1160</v>
      </c>
      <c r="P47" s="365"/>
    </row>
    <row r="48" spans="1:22" s="366" customFormat="1" ht="31.8" x14ac:dyDescent="0.35">
      <c r="A48" s="446"/>
      <c r="B48" s="558" t="s">
        <v>1249</v>
      </c>
      <c r="C48" s="451" t="s">
        <v>1099</v>
      </c>
      <c r="D48" s="365"/>
      <c r="E48" s="365"/>
      <c r="F48" s="365"/>
      <c r="G48" s="365"/>
      <c r="H48" s="365"/>
      <c r="I48" s="452" t="s">
        <v>1250</v>
      </c>
      <c r="J48" s="389" t="s">
        <v>586</v>
      </c>
      <c r="K48" s="661">
        <v>100000</v>
      </c>
      <c r="L48" s="365"/>
      <c r="M48" s="361"/>
      <c r="N48" s="448"/>
      <c r="O48" s="520"/>
      <c r="P48" s="365"/>
    </row>
    <row r="49" spans="1:22" s="366" customFormat="1" ht="15.6" x14ac:dyDescent="0.3">
      <c r="A49" s="388"/>
      <c r="B49" s="459" t="s">
        <v>651</v>
      </c>
      <c r="C49" s="451" t="s">
        <v>1099</v>
      </c>
      <c r="D49" s="365"/>
      <c r="E49" s="365"/>
      <c r="F49" s="365"/>
      <c r="G49" s="365"/>
      <c r="H49" s="365"/>
      <c r="I49" s="452" t="s">
        <v>1248</v>
      </c>
      <c r="J49" s="389" t="s">
        <v>586</v>
      </c>
      <c r="K49" s="486">
        <v>564980</v>
      </c>
      <c r="L49" s="365"/>
      <c r="M49" s="361"/>
      <c r="N49" s="365"/>
      <c r="O49" s="1318"/>
      <c r="P49" s="365"/>
    </row>
    <row r="50" spans="1:22" s="366" customFormat="1" ht="31.2" hidden="1" x14ac:dyDescent="0.3">
      <c r="A50" s="388"/>
      <c r="B50" s="423" t="s">
        <v>1027</v>
      </c>
      <c r="C50" s="451" t="s">
        <v>1101</v>
      </c>
      <c r="D50" s="365"/>
      <c r="E50" s="365"/>
      <c r="F50" s="365"/>
      <c r="G50" s="365"/>
      <c r="H50" s="365"/>
      <c r="I50" s="452" t="s">
        <v>1100</v>
      </c>
      <c r="J50" s="363" t="s">
        <v>586</v>
      </c>
      <c r="K50" s="364">
        <f>100000-50000-50000</f>
        <v>0</v>
      </c>
      <c r="L50" s="365"/>
      <c r="M50" s="361"/>
      <c r="N50" s="365"/>
      <c r="O50" s="1319"/>
      <c r="P50" s="365"/>
    </row>
    <row r="51" spans="1:22" s="366" customFormat="1" ht="31.2" x14ac:dyDescent="0.3">
      <c r="A51" s="388"/>
      <c r="B51" s="459" t="s">
        <v>703</v>
      </c>
      <c r="C51" s="451" t="s">
        <v>1101</v>
      </c>
      <c r="D51" s="365"/>
      <c r="E51" s="365"/>
      <c r="F51" s="365"/>
      <c r="G51" s="365"/>
      <c r="H51" s="365"/>
      <c r="I51" s="452" t="s">
        <v>1266</v>
      </c>
      <c r="J51" s="363" t="s">
        <v>586</v>
      </c>
      <c r="K51" s="457">
        <v>800000</v>
      </c>
      <c r="L51" s="365"/>
      <c r="M51" s="361"/>
      <c r="N51" s="365"/>
      <c r="O51" s="1319"/>
      <c r="P51" s="365"/>
    </row>
    <row r="52" spans="1:22" s="366" customFormat="1" ht="15.6" x14ac:dyDescent="0.3">
      <c r="A52" s="388"/>
      <c r="B52" s="459" t="s">
        <v>706</v>
      </c>
      <c r="C52" s="451" t="s">
        <v>1101</v>
      </c>
      <c r="D52" s="365"/>
      <c r="E52" s="365"/>
      <c r="F52" s="365"/>
      <c r="G52" s="365"/>
      <c r="H52" s="365"/>
      <c r="I52" s="452" t="s">
        <v>1267</v>
      </c>
      <c r="J52" s="363" t="s">
        <v>586</v>
      </c>
      <c r="K52" s="364">
        <v>380449.21</v>
      </c>
      <c r="L52" s="365"/>
      <c r="M52" s="361"/>
      <c r="N52" s="365"/>
      <c r="O52" s="1319"/>
      <c r="P52" s="367"/>
    </row>
    <row r="53" spans="1:22" s="366" customFormat="1" ht="15.6" hidden="1" x14ac:dyDescent="0.3">
      <c r="A53" s="388"/>
      <c r="B53" s="423" t="s">
        <v>1362</v>
      </c>
      <c r="C53" s="451" t="s">
        <v>1101</v>
      </c>
      <c r="D53" s="365"/>
      <c r="E53" s="365"/>
      <c r="F53" s="365"/>
      <c r="G53" s="365"/>
      <c r="H53" s="365"/>
      <c r="I53" s="452" t="s">
        <v>1363</v>
      </c>
      <c r="J53" s="363" t="s">
        <v>586</v>
      </c>
      <c r="K53" s="464"/>
      <c r="L53" s="365"/>
      <c r="M53" s="361"/>
      <c r="N53" s="365"/>
      <c r="O53" s="1320"/>
      <c r="P53" s="367"/>
    </row>
    <row r="54" spans="1:22" s="366" customFormat="1" ht="31.2" hidden="1" x14ac:dyDescent="0.3">
      <c r="A54" s="388"/>
      <c r="B54" s="459" t="s">
        <v>1158</v>
      </c>
      <c r="C54" s="451" t="s">
        <v>1159</v>
      </c>
      <c r="D54" s="365"/>
      <c r="E54" s="365"/>
      <c r="F54" s="365"/>
      <c r="G54" s="365"/>
      <c r="H54" s="365"/>
      <c r="I54" s="480" t="s">
        <v>707</v>
      </c>
      <c r="J54" s="363" t="s">
        <v>813</v>
      </c>
      <c r="K54" s="372"/>
      <c r="L54" s="365"/>
      <c r="M54" s="361"/>
      <c r="N54" s="365"/>
      <c r="O54" s="1321"/>
      <c r="Q54" s="367"/>
      <c r="R54" s="367"/>
      <c r="S54" s="367"/>
      <c r="T54" s="367"/>
      <c r="U54" s="367"/>
      <c r="V54" s="367"/>
    </row>
    <row r="55" spans="1:22" s="366" customFormat="1" ht="31.2" x14ac:dyDescent="0.3">
      <c r="A55" s="388"/>
      <c r="B55" s="459" t="s">
        <v>1237</v>
      </c>
      <c r="C55" s="451" t="s">
        <v>1170</v>
      </c>
      <c r="D55" s="365"/>
      <c r="E55" s="365"/>
      <c r="F55" s="365"/>
      <c r="G55" s="365"/>
      <c r="H55" s="365"/>
      <c r="I55" s="389" t="s">
        <v>1238</v>
      </c>
      <c r="J55" s="389" t="s">
        <v>586</v>
      </c>
      <c r="K55" s="559">
        <v>214402.11</v>
      </c>
      <c r="L55" s="365"/>
      <c r="M55" s="361"/>
      <c r="N55" s="365"/>
      <c r="O55" s="560"/>
      <c r="Q55" s="367"/>
      <c r="R55" s="367"/>
      <c r="S55" s="367"/>
      <c r="T55" s="367"/>
      <c r="U55" s="367"/>
      <c r="V55" s="367"/>
    </row>
    <row r="56" spans="1:22" s="366" customFormat="1" ht="46.8" hidden="1" x14ac:dyDescent="0.3">
      <c r="A56" s="388"/>
      <c r="B56" s="521" t="s">
        <v>1195</v>
      </c>
      <c r="C56" s="451" t="s">
        <v>1101</v>
      </c>
      <c r="D56" s="365"/>
      <c r="E56" s="365"/>
      <c r="F56" s="365"/>
      <c r="G56" s="365"/>
      <c r="H56" s="365"/>
      <c r="I56" s="484" t="s">
        <v>1196</v>
      </c>
      <c r="J56" s="389" t="s">
        <v>586</v>
      </c>
      <c r="K56" s="559"/>
      <c r="L56" s="365"/>
      <c r="M56" s="486"/>
      <c r="N56" s="365"/>
      <c r="O56" s="560"/>
      <c r="Q56" s="367"/>
      <c r="R56" s="367"/>
      <c r="S56" s="367"/>
      <c r="T56" s="367"/>
      <c r="U56" s="367"/>
      <c r="V56" s="367"/>
    </row>
    <row r="57" spans="1:22" s="366" customFormat="1" ht="54" x14ac:dyDescent="0.35">
      <c r="A57" s="446">
        <v>5</v>
      </c>
      <c r="B57" s="447" t="s">
        <v>1102</v>
      </c>
      <c r="C57" s="448"/>
      <c r="D57" s="448"/>
      <c r="E57" s="448"/>
      <c r="F57" s="448"/>
      <c r="G57" s="448"/>
      <c r="H57" s="448"/>
      <c r="I57" s="429" t="s">
        <v>1340</v>
      </c>
      <c r="J57" s="430"/>
      <c r="K57" s="449">
        <f>K61+K62+K63+K59+K58+K60</f>
        <v>3500000</v>
      </c>
      <c r="L57" s="448"/>
      <c r="M57" s="449">
        <f>M61+M62+M63+M59+M58+M60</f>
        <v>0</v>
      </c>
      <c r="N57" s="448"/>
      <c r="O57" s="432" t="s">
        <v>1183</v>
      </c>
      <c r="Q57" s="367"/>
      <c r="R57" s="367"/>
      <c r="S57" s="367"/>
      <c r="T57" s="367"/>
      <c r="U57" s="367"/>
      <c r="V57" s="367"/>
    </row>
    <row r="58" spans="1:22" s="366" customFormat="1" ht="26.25" hidden="1" customHeight="1" x14ac:dyDescent="0.35">
      <c r="A58" s="446"/>
      <c r="B58" s="660" t="s">
        <v>1197</v>
      </c>
      <c r="C58" s="451" t="s">
        <v>1103</v>
      </c>
      <c r="D58" s="448"/>
      <c r="E58" s="448"/>
      <c r="F58" s="448"/>
      <c r="G58" s="448"/>
      <c r="H58" s="448"/>
      <c r="I58" s="452" t="s">
        <v>1364</v>
      </c>
      <c r="J58" s="389" t="s">
        <v>586</v>
      </c>
      <c r="K58" s="464"/>
      <c r="L58" s="495"/>
      <c r="M58" s="496"/>
      <c r="N58" s="448"/>
      <c r="O58" s="454" t="s">
        <v>151</v>
      </c>
      <c r="Q58" s="367"/>
      <c r="R58" s="367"/>
      <c r="S58" s="367"/>
      <c r="T58" s="367"/>
      <c r="U58" s="367"/>
      <c r="V58" s="367"/>
    </row>
    <row r="59" spans="1:22" s="366" customFormat="1" ht="62.4" hidden="1" x14ac:dyDescent="0.35">
      <c r="A59" s="446"/>
      <c r="B59" s="455" t="s">
        <v>1184</v>
      </c>
      <c r="C59" s="451" t="s">
        <v>1159</v>
      </c>
      <c r="D59" s="448"/>
      <c r="E59" s="448"/>
      <c r="F59" s="448"/>
      <c r="G59" s="448"/>
      <c r="H59" s="448"/>
      <c r="I59" s="452" t="s">
        <v>1182</v>
      </c>
      <c r="J59" s="430">
        <v>500</v>
      </c>
      <c r="K59" s="364"/>
      <c r="L59" s="448"/>
      <c r="M59" s="364"/>
      <c r="N59" s="448"/>
      <c r="O59" s="456" t="s">
        <v>1179</v>
      </c>
      <c r="Q59" s="367"/>
      <c r="R59" s="367"/>
      <c r="S59" s="367"/>
      <c r="T59" s="367"/>
      <c r="U59" s="367"/>
      <c r="V59" s="367"/>
    </row>
    <row r="60" spans="1:22" s="366" customFormat="1" ht="46.8" hidden="1" x14ac:dyDescent="0.35">
      <c r="A60" s="446"/>
      <c r="B60" s="455" t="s">
        <v>1203</v>
      </c>
      <c r="C60" s="451" t="s">
        <v>1159</v>
      </c>
      <c r="D60" s="448"/>
      <c r="E60" s="448"/>
      <c r="F60" s="448"/>
      <c r="G60" s="448"/>
      <c r="H60" s="448"/>
      <c r="I60" s="452" t="s">
        <v>1204</v>
      </c>
      <c r="J60" s="430">
        <v>500</v>
      </c>
      <c r="K60" s="457"/>
      <c r="L60" s="448"/>
      <c r="M60" s="458"/>
      <c r="N60" s="448"/>
      <c r="O60" s="507"/>
      <c r="Q60" s="367"/>
      <c r="R60" s="367"/>
      <c r="S60" s="367"/>
      <c r="T60" s="367"/>
      <c r="U60" s="367"/>
      <c r="V60" s="367"/>
    </row>
    <row r="61" spans="1:22" s="366" customFormat="1" ht="31.2" hidden="1" x14ac:dyDescent="0.3">
      <c r="A61" s="388"/>
      <c r="B61" s="459" t="s">
        <v>822</v>
      </c>
      <c r="C61" s="451" t="s">
        <v>1105</v>
      </c>
      <c r="D61" s="365"/>
      <c r="E61" s="365"/>
      <c r="F61" s="365"/>
      <c r="G61" s="365"/>
      <c r="H61" s="365"/>
      <c r="I61" s="452" t="s">
        <v>823</v>
      </c>
      <c r="J61" s="363" t="s">
        <v>613</v>
      </c>
      <c r="K61" s="364"/>
      <c r="L61" s="365"/>
      <c r="M61" s="361"/>
      <c r="N61" s="365"/>
      <c r="O61" s="1322" t="s">
        <v>968</v>
      </c>
      <c r="Q61" s="367"/>
      <c r="R61" s="367"/>
      <c r="S61" s="367"/>
      <c r="T61" s="367"/>
      <c r="U61" s="367"/>
      <c r="V61" s="367"/>
    </row>
    <row r="62" spans="1:22" s="366" customFormat="1" ht="15.6" hidden="1" x14ac:dyDescent="0.3">
      <c r="A62" s="460"/>
      <c r="B62" s="459" t="s">
        <v>825</v>
      </c>
      <c r="C62" s="451" t="s">
        <v>1105</v>
      </c>
      <c r="D62" s="461"/>
      <c r="E62" s="461"/>
      <c r="F62" s="461"/>
      <c r="G62" s="461"/>
      <c r="H62" s="461"/>
      <c r="I62" s="452" t="s">
        <v>826</v>
      </c>
      <c r="J62" s="363" t="s">
        <v>613</v>
      </c>
      <c r="K62" s="457"/>
      <c r="L62" s="461"/>
      <c r="M62" s="445"/>
      <c r="N62" s="461"/>
      <c r="O62" s="1323"/>
      <c r="P62" s="462"/>
    </row>
    <row r="63" spans="1:22" s="366" customFormat="1" ht="15.6" x14ac:dyDescent="0.3">
      <c r="A63" s="388"/>
      <c r="B63" s="459" t="s">
        <v>828</v>
      </c>
      <c r="C63" s="451" t="s">
        <v>1105</v>
      </c>
      <c r="D63" s="365"/>
      <c r="E63" s="365"/>
      <c r="F63" s="365"/>
      <c r="G63" s="365"/>
      <c r="H63" s="365"/>
      <c r="I63" s="452" t="s">
        <v>1306</v>
      </c>
      <c r="J63" s="363" t="s">
        <v>613</v>
      </c>
      <c r="K63" s="364">
        <v>3500000</v>
      </c>
      <c r="L63" s="365"/>
      <c r="M63" s="361"/>
      <c r="N63" s="365"/>
      <c r="O63" s="1324"/>
    </row>
    <row r="64" spans="1:22" s="366" customFormat="1" ht="54" x14ac:dyDescent="0.35">
      <c r="A64" s="446">
        <v>6</v>
      </c>
      <c r="B64" s="447" t="s">
        <v>1106</v>
      </c>
      <c r="C64" s="557"/>
      <c r="D64" s="448"/>
      <c r="E64" s="448"/>
      <c r="F64" s="448"/>
      <c r="G64" s="448"/>
      <c r="H64" s="448"/>
      <c r="I64" s="429" t="s">
        <v>1341</v>
      </c>
      <c r="J64" s="430"/>
      <c r="K64" s="548">
        <f>K65</f>
        <v>50000</v>
      </c>
      <c r="L64" s="448"/>
      <c r="M64" s="548">
        <f>M65</f>
        <v>0</v>
      </c>
      <c r="N64" s="448"/>
      <c r="O64" s="432" t="s">
        <v>151</v>
      </c>
    </row>
    <row r="65" spans="1:15" s="366" customFormat="1" ht="31.2" x14ac:dyDescent="0.3">
      <c r="A65" s="561"/>
      <c r="B65" s="459" t="s">
        <v>728</v>
      </c>
      <c r="C65" s="387" t="s">
        <v>1107</v>
      </c>
      <c r="D65" s="562"/>
      <c r="E65" s="562"/>
      <c r="F65" s="562"/>
      <c r="G65" s="562"/>
      <c r="H65" s="562"/>
      <c r="I65" s="452" t="s">
        <v>1273</v>
      </c>
      <c r="J65" s="363" t="s">
        <v>586</v>
      </c>
      <c r="K65" s="364">
        <v>50000</v>
      </c>
      <c r="L65" s="365"/>
      <c r="M65" s="361"/>
      <c r="N65" s="365"/>
      <c r="O65" s="563"/>
    </row>
    <row r="66" spans="1:15" s="474" customFormat="1" ht="36" x14ac:dyDescent="0.35">
      <c r="A66" s="467">
        <v>7</v>
      </c>
      <c r="B66" s="468" t="s">
        <v>1108</v>
      </c>
      <c r="C66" s="469"/>
      <c r="D66" s="470"/>
      <c r="E66" s="470"/>
      <c r="F66" s="470"/>
      <c r="G66" s="470"/>
      <c r="H66" s="470"/>
      <c r="I66" s="471" t="s">
        <v>1342</v>
      </c>
      <c r="J66" s="472"/>
      <c r="K66" s="473">
        <f>K67+K68+K69</f>
        <v>3500000</v>
      </c>
      <c r="L66" s="470"/>
      <c r="M66" s="473">
        <f>M67+M68+M69</f>
        <v>0</v>
      </c>
      <c r="N66" s="470"/>
      <c r="O66" s="432" t="s">
        <v>151</v>
      </c>
    </row>
    <row r="67" spans="1:15" s="474" customFormat="1" ht="46.8" x14ac:dyDescent="0.3">
      <c r="A67" s="475"/>
      <c r="B67" s="423" t="s">
        <v>697</v>
      </c>
      <c r="C67" s="395" t="s">
        <v>1109</v>
      </c>
      <c r="D67" s="476"/>
      <c r="E67" s="476"/>
      <c r="F67" s="476"/>
      <c r="G67" s="476"/>
      <c r="H67" s="476"/>
      <c r="I67" s="477" t="s">
        <v>1262</v>
      </c>
      <c r="J67" s="371" t="s">
        <v>700</v>
      </c>
      <c r="K67" s="457">
        <v>2500000</v>
      </c>
      <c r="L67" s="463"/>
      <c r="M67" s="445"/>
      <c r="N67" s="476"/>
      <c r="O67" s="1325"/>
    </row>
    <row r="68" spans="1:15" s="366" customFormat="1" ht="31.2" x14ac:dyDescent="0.3">
      <c r="A68" s="388"/>
      <c r="B68" s="459" t="s">
        <v>768</v>
      </c>
      <c r="C68" s="387" t="s">
        <v>1111</v>
      </c>
      <c r="D68" s="365"/>
      <c r="E68" s="365"/>
      <c r="F68" s="365"/>
      <c r="G68" s="365"/>
      <c r="H68" s="365"/>
      <c r="I68" s="452" t="s">
        <v>1289</v>
      </c>
      <c r="J68" s="363" t="s">
        <v>764</v>
      </c>
      <c r="K68" s="364">
        <v>1000000</v>
      </c>
      <c r="L68" s="365"/>
      <c r="M68" s="361"/>
      <c r="N68" s="365"/>
      <c r="O68" s="1326"/>
    </row>
    <row r="69" spans="1:15" s="366" customFormat="1" ht="46.8" hidden="1" x14ac:dyDescent="0.3">
      <c r="A69" s="388"/>
      <c r="B69" s="423" t="s">
        <v>1360</v>
      </c>
      <c r="C69" s="387" t="s">
        <v>1109</v>
      </c>
      <c r="D69" s="365"/>
      <c r="E69" s="365"/>
      <c r="F69" s="365"/>
      <c r="G69" s="365"/>
      <c r="H69" s="365"/>
      <c r="I69" s="452" t="s">
        <v>1359</v>
      </c>
      <c r="J69" s="363" t="s">
        <v>700</v>
      </c>
      <c r="K69" s="464"/>
      <c r="L69" s="365"/>
      <c r="M69" s="465"/>
      <c r="N69" s="365"/>
      <c r="O69" s="514"/>
    </row>
    <row r="70" spans="1:15" s="366" customFormat="1" ht="35.4" x14ac:dyDescent="0.35">
      <c r="A70" s="425">
        <v>8</v>
      </c>
      <c r="B70" s="437" t="s">
        <v>561</v>
      </c>
      <c r="C70" s="427"/>
      <c r="D70" s="428"/>
      <c r="E70" s="428"/>
      <c r="F70" s="428"/>
      <c r="G70" s="428"/>
      <c r="H70" s="428"/>
      <c r="I70" s="429" t="s">
        <v>1343</v>
      </c>
      <c r="J70" s="430"/>
      <c r="K70" s="438">
        <f>K71+K72+K73+K74+K75</f>
        <v>233880</v>
      </c>
      <c r="L70" s="428"/>
      <c r="M70" s="438">
        <f>M71+M72+M73+M74+M75</f>
        <v>0</v>
      </c>
      <c r="N70" s="428"/>
      <c r="O70" s="432" t="s">
        <v>151</v>
      </c>
    </row>
    <row r="71" spans="1:15" s="366" customFormat="1" ht="31.2" x14ac:dyDescent="0.3">
      <c r="A71" s="388"/>
      <c r="B71" s="459" t="s">
        <v>684</v>
      </c>
      <c r="C71" s="387" t="s">
        <v>1114</v>
      </c>
      <c r="D71" s="365"/>
      <c r="E71" s="365"/>
      <c r="F71" s="365"/>
      <c r="G71" s="365"/>
      <c r="H71" s="365"/>
      <c r="I71" s="452" t="s">
        <v>1259</v>
      </c>
      <c r="J71" s="363" t="s">
        <v>528</v>
      </c>
      <c r="K71" s="364">
        <v>106000</v>
      </c>
      <c r="L71" s="365"/>
      <c r="M71" s="361"/>
      <c r="N71" s="365"/>
      <c r="O71" s="1325"/>
    </row>
    <row r="72" spans="1:15" s="366" customFormat="1" ht="62.4" x14ac:dyDescent="0.3">
      <c r="A72" s="388"/>
      <c r="B72" s="459" t="s">
        <v>687</v>
      </c>
      <c r="C72" s="387" t="s">
        <v>1114</v>
      </c>
      <c r="D72" s="365"/>
      <c r="E72" s="365"/>
      <c r="F72" s="365"/>
      <c r="G72" s="365"/>
      <c r="H72" s="365"/>
      <c r="I72" s="452" t="s">
        <v>1260</v>
      </c>
      <c r="J72" s="363" t="s">
        <v>528</v>
      </c>
      <c r="K72" s="364">
        <v>53000</v>
      </c>
      <c r="L72" s="365"/>
      <c r="M72" s="361"/>
      <c r="N72" s="365"/>
      <c r="O72" s="1327"/>
    </row>
    <row r="73" spans="1:15" s="366" customFormat="1" ht="31.2" x14ac:dyDescent="0.3">
      <c r="A73" s="388"/>
      <c r="B73" s="459" t="s">
        <v>690</v>
      </c>
      <c r="C73" s="513" t="s">
        <v>1114</v>
      </c>
      <c r="D73" s="482"/>
      <c r="E73" s="482"/>
      <c r="F73" s="482"/>
      <c r="G73" s="482"/>
      <c r="H73" s="482"/>
      <c r="I73" s="480" t="s">
        <v>1261</v>
      </c>
      <c r="J73" s="564" t="s">
        <v>586</v>
      </c>
      <c r="K73" s="369">
        <v>24000</v>
      </c>
      <c r="L73" s="365"/>
      <c r="M73" s="361"/>
      <c r="N73" s="365"/>
      <c r="O73" s="1326"/>
    </row>
    <row r="74" spans="1:15" s="366" customFormat="1" ht="31.2" x14ac:dyDescent="0.3">
      <c r="A74" s="388"/>
      <c r="B74" s="565" t="s">
        <v>1171</v>
      </c>
      <c r="C74" s="387" t="s">
        <v>1172</v>
      </c>
      <c r="D74" s="365"/>
      <c r="E74" s="365"/>
      <c r="F74" s="365"/>
      <c r="G74" s="365"/>
      <c r="H74" s="365"/>
      <c r="I74" s="389" t="s">
        <v>1246</v>
      </c>
      <c r="J74" s="389" t="s">
        <v>528</v>
      </c>
      <c r="K74" s="485">
        <v>31800</v>
      </c>
      <c r="L74" s="365"/>
      <c r="M74" s="361"/>
      <c r="N74" s="365"/>
      <c r="O74" s="514"/>
    </row>
    <row r="75" spans="1:15" s="366" customFormat="1" ht="62.4" x14ac:dyDescent="0.3">
      <c r="A75" s="388"/>
      <c r="B75" s="565" t="s">
        <v>1173</v>
      </c>
      <c r="C75" s="387" t="s">
        <v>1172</v>
      </c>
      <c r="D75" s="365"/>
      <c r="E75" s="365"/>
      <c r="F75" s="365"/>
      <c r="G75" s="365"/>
      <c r="H75" s="365"/>
      <c r="I75" s="389" t="s">
        <v>1247</v>
      </c>
      <c r="J75" s="389" t="s">
        <v>528</v>
      </c>
      <c r="K75" s="485">
        <v>19080</v>
      </c>
      <c r="L75" s="365"/>
      <c r="M75" s="361"/>
      <c r="N75" s="365"/>
      <c r="O75" s="514"/>
    </row>
    <row r="76" spans="1:15" s="366" customFormat="1" ht="36" x14ac:dyDescent="0.35">
      <c r="A76" s="446">
        <v>9</v>
      </c>
      <c r="B76" s="566" t="s">
        <v>560</v>
      </c>
      <c r="C76" s="365"/>
      <c r="D76" s="365"/>
      <c r="E76" s="365"/>
      <c r="F76" s="365"/>
      <c r="G76" s="365"/>
      <c r="H76" s="365"/>
      <c r="I76" s="429" t="s">
        <v>1344</v>
      </c>
      <c r="J76" s="430"/>
      <c r="K76" s="436">
        <f>K77+K78+K79+K80+K81</f>
        <v>7506998</v>
      </c>
      <c r="L76" s="365"/>
      <c r="M76" s="436">
        <f>M77+M78+M79+M80+M81</f>
        <v>0</v>
      </c>
      <c r="N76" s="365"/>
      <c r="O76" s="432" t="s">
        <v>151</v>
      </c>
    </row>
    <row r="77" spans="1:15" s="366" customFormat="1" ht="18" x14ac:dyDescent="0.35">
      <c r="A77" s="446"/>
      <c r="B77" s="459" t="s">
        <v>787</v>
      </c>
      <c r="C77" s="387" t="s">
        <v>1116</v>
      </c>
      <c r="D77" s="365"/>
      <c r="E77" s="365"/>
      <c r="F77" s="365"/>
      <c r="G77" s="365"/>
      <c r="H77" s="365"/>
      <c r="I77" s="452" t="s">
        <v>1295</v>
      </c>
      <c r="J77" s="363" t="s">
        <v>586</v>
      </c>
      <c r="K77" s="457">
        <v>476999</v>
      </c>
      <c r="L77" s="365"/>
      <c r="M77" s="361"/>
      <c r="N77" s="365"/>
      <c r="O77" s="1325"/>
    </row>
    <row r="78" spans="1:15" s="366" customFormat="1" ht="15.6" x14ac:dyDescent="0.3">
      <c r="A78" s="388"/>
      <c r="B78" s="534" t="s">
        <v>781</v>
      </c>
      <c r="C78" s="387" t="s">
        <v>1115</v>
      </c>
      <c r="D78" s="365"/>
      <c r="E78" s="365"/>
      <c r="F78" s="365"/>
      <c r="G78" s="365"/>
      <c r="H78" s="365"/>
      <c r="I78" s="452" t="s">
        <v>1293</v>
      </c>
      <c r="J78" s="363" t="s">
        <v>586</v>
      </c>
      <c r="K78" s="364">
        <v>450000</v>
      </c>
      <c r="L78" s="365"/>
      <c r="M78" s="361"/>
      <c r="N78" s="365"/>
      <c r="O78" s="1327"/>
    </row>
    <row r="79" spans="1:15" s="366" customFormat="1" ht="15.6" x14ac:dyDescent="0.3">
      <c r="A79" s="388"/>
      <c r="B79" s="459" t="s">
        <v>790</v>
      </c>
      <c r="C79" s="387" t="s">
        <v>1116</v>
      </c>
      <c r="D79" s="365"/>
      <c r="E79" s="365"/>
      <c r="F79" s="365"/>
      <c r="G79" s="365"/>
      <c r="H79" s="365"/>
      <c r="I79" s="452" t="s">
        <v>1296</v>
      </c>
      <c r="J79" s="363" t="s">
        <v>586</v>
      </c>
      <c r="K79" s="364">
        <v>529999</v>
      </c>
      <c r="L79" s="365"/>
      <c r="M79" s="361"/>
      <c r="N79" s="365"/>
      <c r="O79" s="1327"/>
    </row>
    <row r="80" spans="1:15" s="366" customFormat="1" ht="31.2" x14ac:dyDescent="0.3">
      <c r="A80" s="388"/>
      <c r="B80" s="459" t="s">
        <v>784</v>
      </c>
      <c r="C80" s="387" t="s">
        <v>1115</v>
      </c>
      <c r="D80" s="365"/>
      <c r="E80" s="365"/>
      <c r="F80" s="365"/>
      <c r="G80" s="365"/>
      <c r="H80" s="365"/>
      <c r="I80" s="452" t="s">
        <v>1294</v>
      </c>
      <c r="J80" s="363" t="s">
        <v>586</v>
      </c>
      <c r="K80" s="364">
        <f>100000-50000</f>
        <v>50000</v>
      </c>
      <c r="L80" s="365"/>
      <c r="M80" s="361"/>
      <c r="N80" s="365"/>
      <c r="O80" s="1326"/>
    </row>
    <row r="81" spans="1:22" s="366" customFormat="1" ht="31.2" x14ac:dyDescent="0.3">
      <c r="A81" s="388"/>
      <c r="B81" s="521" t="s">
        <v>1297</v>
      </c>
      <c r="C81" s="387" t="s">
        <v>1116</v>
      </c>
      <c r="D81" s="365"/>
      <c r="E81" s="365"/>
      <c r="F81" s="365"/>
      <c r="G81" s="365"/>
      <c r="H81" s="365"/>
      <c r="I81" s="452" t="s">
        <v>1298</v>
      </c>
      <c r="J81" s="363" t="s">
        <v>700</v>
      </c>
      <c r="K81" s="364">
        <v>6000000</v>
      </c>
      <c r="L81" s="365"/>
      <c r="M81" s="361"/>
      <c r="N81" s="365"/>
      <c r="O81" s="514"/>
    </row>
    <row r="82" spans="1:22" s="366" customFormat="1" ht="70.2" x14ac:dyDescent="0.35">
      <c r="A82" s="446">
        <v>10</v>
      </c>
      <c r="B82" s="447" t="s">
        <v>562</v>
      </c>
      <c r="C82" s="365"/>
      <c r="D82" s="365"/>
      <c r="E82" s="365"/>
      <c r="F82" s="365"/>
      <c r="G82" s="365"/>
      <c r="H82" s="365"/>
      <c r="I82" s="429" t="s">
        <v>1345</v>
      </c>
      <c r="J82" s="430"/>
      <c r="K82" s="436">
        <f>K83+K87+K88+K89+K91+K95+K98+K103+K105+K107+K106+K104+K108+K90+K102</f>
        <v>76069071.390000001</v>
      </c>
      <c r="L82" s="365"/>
      <c r="M82" s="436">
        <f>M83+M87+M88+M89+M91+M95+M98+M103+M105+M107+M106+M104+M108+M90+M102</f>
        <v>3717218.01</v>
      </c>
      <c r="N82" s="365"/>
      <c r="O82" s="432" t="s">
        <v>1135</v>
      </c>
    </row>
    <row r="83" spans="1:22" s="366" customFormat="1" ht="15.6" x14ac:dyDescent="0.3">
      <c r="A83" s="1343"/>
      <c r="B83" s="1346" t="s">
        <v>796</v>
      </c>
      <c r="C83" s="387" t="s">
        <v>1131</v>
      </c>
      <c r="D83" s="388"/>
      <c r="E83" s="388"/>
      <c r="F83" s="388"/>
      <c r="G83" s="388"/>
      <c r="H83" s="388"/>
      <c r="I83" s="389" t="s">
        <v>1299</v>
      </c>
      <c r="J83" s="363"/>
      <c r="K83" s="364">
        <f>K84+K85+K86</f>
        <v>10546860.609999999</v>
      </c>
      <c r="L83" s="368"/>
      <c r="M83" s="364">
        <f>M84+M85+M86</f>
        <v>683617.91999999993</v>
      </c>
      <c r="N83" s="365"/>
      <c r="O83" s="1350" t="s">
        <v>1136</v>
      </c>
      <c r="Q83" s="367"/>
      <c r="R83" s="367"/>
      <c r="S83" s="367"/>
      <c r="T83" s="367"/>
      <c r="U83" s="367"/>
      <c r="V83" s="367"/>
    </row>
    <row r="84" spans="1:22" s="366" customFormat="1" ht="15.6" x14ac:dyDescent="0.3">
      <c r="A84" s="1344"/>
      <c r="B84" s="1298"/>
      <c r="C84" s="382"/>
      <c r="D84" s="386"/>
      <c r="E84" s="386"/>
      <c r="F84" s="386"/>
      <c r="G84" s="386"/>
      <c r="H84" s="386"/>
      <c r="I84" s="383"/>
      <c r="J84" s="363" t="s">
        <v>162</v>
      </c>
      <c r="K84" s="364">
        <v>9687260.6099999994</v>
      </c>
      <c r="L84" s="365"/>
      <c r="M84" s="445">
        <f>524429.57+75+158298.21</f>
        <v>682802.77999999991</v>
      </c>
      <c r="N84" s="365"/>
      <c r="O84" s="1351"/>
      <c r="Q84" s="367"/>
      <c r="R84" s="367"/>
      <c r="S84" s="367"/>
      <c r="T84" s="367"/>
      <c r="U84" s="367"/>
      <c r="V84" s="367"/>
    </row>
    <row r="85" spans="1:22" s="366" customFormat="1" ht="15.6" x14ac:dyDescent="0.3">
      <c r="A85" s="1344"/>
      <c r="B85" s="1298"/>
      <c r="C85" s="382"/>
      <c r="D85" s="362"/>
      <c r="E85" s="362"/>
      <c r="F85" s="362"/>
      <c r="G85" s="362"/>
      <c r="H85" s="362"/>
      <c r="I85" s="383"/>
      <c r="J85" s="363" t="s">
        <v>586</v>
      </c>
      <c r="K85" s="364">
        <v>847600</v>
      </c>
      <c r="L85" s="365"/>
      <c r="M85" s="361">
        <f>815.14</f>
        <v>815.14</v>
      </c>
      <c r="N85" s="365"/>
      <c r="O85" s="1351"/>
      <c r="Q85" s="367"/>
      <c r="R85" s="367"/>
      <c r="S85" s="367"/>
      <c r="T85" s="367"/>
      <c r="U85" s="367"/>
      <c r="V85" s="367"/>
    </row>
    <row r="86" spans="1:22" s="366" customFormat="1" ht="15.6" x14ac:dyDescent="0.3">
      <c r="A86" s="1345"/>
      <c r="B86" s="1299"/>
      <c r="C86" s="384"/>
      <c r="D86" s="362"/>
      <c r="E86" s="362"/>
      <c r="F86" s="362"/>
      <c r="G86" s="362"/>
      <c r="H86" s="362"/>
      <c r="I86" s="385"/>
      <c r="J86" s="363" t="s">
        <v>528</v>
      </c>
      <c r="K86" s="364">
        <v>12000</v>
      </c>
      <c r="L86" s="365"/>
      <c r="M86" s="361"/>
      <c r="N86" s="365"/>
      <c r="O86" s="1351"/>
      <c r="Q86" s="367"/>
      <c r="R86" s="367"/>
      <c r="S86" s="367"/>
      <c r="T86" s="367"/>
      <c r="U86" s="367"/>
      <c r="V86" s="367"/>
    </row>
    <row r="87" spans="1:22" s="366" customFormat="1" ht="78" x14ac:dyDescent="0.35">
      <c r="A87" s="446"/>
      <c r="B87" s="478" t="s">
        <v>810</v>
      </c>
      <c r="C87" s="387" t="s">
        <v>1133</v>
      </c>
      <c r="D87" s="365"/>
      <c r="E87" s="365"/>
      <c r="F87" s="365"/>
      <c r="G87" s="365"/>
      <c r="H87" s="365"/>
      <c r="I87" s="452" t="s">
        <v>1302</v>
      </c>
      <c r="J87" s="363" t="s">
        <v>813</v>
      </c>
      <c r="K87" s="364">
        <v>18000000</v>
      </c>
      <c r="L87" s="365"/>
      <c r="M87" s="361"/>
      <c r="N87" s="365"/>
      <c r="O87" s="1351"/>
      <c r="Q87" s="367"/>
      <c r="R87" s="367"/>
      <c r="S87" s="367"/>
      <c r="T87" s="367"/>
      <c r="U87" s="367"/>
      <c r="V87" s="367"/>
    </row>
    <row r="88" spans="1:22" s="366" customFormat="1" ht="31.2" x14ac:dyDescent="0.35">
      <c r="A88" s="446"/>
      <c r="B88" s="459" t="s">
        <v>805</v>
      </c>
      <c r="C88" s="387" t="s">
        <v>1132</v>
      </c>
      <c r="D88" s="365"/>
      <c r="E88" s="365"/>
      <c r="F88" s="365"/>
      <c r="G88" s="365"/>
      <c r="H88" s="365"/>
      <c r="I88" s="452" t="s">
        <v>1301</v>
      </c>
      <c r="J88" s="363" t="s">
        <v>808</v>
      </c>
      <c r="K88" s="364">
        <v>51963.839999999997</v>
      </c>
      <c r="L88" s="365"/>
      <c r="M88" s="361"/>
      <c r="N88" s="365"/>
      <c r="O88" s="1351"/>
      <c r="Q88" s="367"/>
      <c r="R88" s="367"/>
      <c r="S88" s="367"/>
      <c r="T88" s="367"/>
      <c r="U88" s="367"/>
      <c r="V88" s="367"/>
    </row>
    <row r="89" spans="1:22" s="366" customFormat="1" ht="49.5" customHeight="1" x14ac:dyDescent="0.35">
      <c r="A89" s="493"/>
      <c r="B89" s="1297" t="s">
        <v>801</v>
      </c>
      <c r="C89" s="1347" t="s">
        <v>1131</v>
      </c>
      <c r="D89" s="522"/>
      <c r="E89" s="522"/>
      <c r="F89" s="522"/>
      <c r="G89" s="522"/>
      <c r="H89" s="522"/>
      <c r="I89" s="1295" t="s">
        <v>1300</v>
      </c>
      <c r="J89" s="363" t="s">
        <v>162</v>
      </c>
      <c r="K89" s="457">
        <v>600000</v>
      </c>
      <c r="L89" s="365"/>
      <c r="M89" s="361">
        <f>30041.46+9072.51</f>
        <v>39113.97</v>
      </c>
      <c r="N89" s="365"/>
      <c r="O89" s="1352"/>
      <c r="Q89" s="367"/>
      <c r="R89" s="367"/>
      <c r="S89" s="367"/>
      <c r="T89" s="367"/>
      <c r="U89" s="367"/>
      <c r="V89" s="367"/>
    </row>
    <row r="90" spans="1:22" s="366" customFormat="1" ht="27.75" hidden="1" customHeight="1" x14ac:dyDescent="0.35">
      <c r="A90" s="494"/>
      <c r="B90" s="1299"/>
      <c r="C90" s="1348"/>
      <c r="D90" s="522"/>
      <c r="E90" s="522"/>
      <c r="F90" s="522"/>
      <c r="G90" s="522"/>
      <c r="H90" s="522"/>
      <c r="I90" s="1285"/>
      <c r="J90" s="363" t="s">
        <v>586</v>
      </c>
      <c r="K90" s="364"/>
      <c r="L90" s="365"/>
      <c r="M90" s="491"/>
      <c r="N90" s="365"/>
      <c r="O90" s="492"/>
      <c r="Q90" s="367"/>
      <c r="R90" s="367"/>
      <c r="S90" s="367"/>
      <c r="T90" s="367"/>
      <c r="U90" s="367"/>
      <c r="V90" s="367"/>
    </row>
    <row r="91" spans="1:22" s="366" customFormat="1" ht="15.6" x14ac:dyDescent="0.3">
      <c r="A91" s="1349"/>
      <c r="B91" s="1297" t="s">
        <v>904</v>
      </c>
      <c r="C91" s="387" t="s">
        <v>1134</v>
      </c>
      <c r="D91" s="388"/>
      <c r="E91" s="388"/>
      <c r="F91" s="388"/>
      <c r="G91" s="388"/>
      <c r="H91" s="388"/>
      <c r="I91" s="389" t="s">
        <v>1328</v>
      </c>
      <c r="J91" s="363"/>
      <c r="K91" s="364">
        <f>K92+K93+K94</f>
        <v>5332603.96</v>
      </c>
      <c r="L91" s="368"/>
      <c r="M91" s="364">
        <f>M92+M93+M94</f>
        <v>350328.11000000004</v>
      </c>
      <c r="N91" s="365"/>
      <c r="O91" s="1288" t="s">
        <v>1097</v>
      </c>
      <c r="Q91" s="367"/>
      <c r="R91" s="367"/>
      <c r="S91" s="367"/>
      <c r="T91" s="367"/>
      <c r="U91" s="367"/>
      <c r="V91" s="367"/>
    </row>
    <row r="92" spans="1:22" s="366" customFormat="1" ht="15.6" x14ac:dyDescent="0.3">
      <c r="A92" s="1344"/>
      <c r="B92" s="1298"/>
      <c r="C92" s="382"/>
      <c r="D92" s="386"/>
      <c r="E92" s="386"/>
      <c r="F92" s="386"/>
      <c r="G92" s="386"/>
      <c r="H92" s="386"/>
      <c r="I92" s="383"/>
      <c r="J92" s="363" t="s">
        <v>162</v>
      </c>
      <c r="K92" s="364">
        <v>5094348.96</v>
      </c>
      <c r="L92" s="365"/>
      <c r="M92" s="361">
        <f>267156.78+80681.33</f>
        <v>347838.11000000004</v>
      </c>
      <c r="N92" s="365"/>
      <c r="O92" s="1289"/>
      <c r="Q92" s="367"/>
      <c r="R92" s="367"/>
      <c r="S92" s="367"/>
      <c r="T92" s="367"/>
      <c r="U92" s="367"/>
      <c r="V92" s="367"/>
    </row>
    <row r="93" spans="1:22" s="366" customFormat="1" ht="15.6" x14ac:dyDescent="0.3">
      <c r="A93" s="1344"/>
      <c r="B93" s="1298"/>
      <c r="C93" s="382"/>
      <c r="D93" s="362"/>
      <c r="E93" s="362"/>
      <c r="F93" s="362"/>
      <c r="G93" s="362"/>
      <c r="H93" s="362"/>
      <c r="I93" s="383"/>
      <c r="J93" s="363" t="s">
        <v>586</v>
      </c>
      <c r="K93" s="364">
        <v>237874</v>
      </c>
      <c r="L93" s="365"/>
      <c r="M93" s="361">
        <f>2490</f>
        <v>2490</v>
      </c>
      <c r="N93" s="365"/>
      <c r="O93" s="1289"/>
      <c r="Q93" s="367"/>
      <c r="R93" s="367"/>
      <c r="S93" s="367"/>
      <c r="T93" s="367"/>
      <c r="U93" s="367"/>
      <c r="V93" s="367"/>
    </row>
    <row r="94" spans="1:22" s="366" customFormat="1" ht="15.6" x14ac:dyDescent="0.3">
      <c r="A94" s="1345"/>
      <c r="B94" s="1299"/>
      <c r="C94" s="384"/>
      <c r="D94" s="362"/>
      <c r="E94" s="362"/>
      <c r="F94" s="362"/>
      <c r="G94" s="362"/>
      <c r="H94" s="362"/>
      <c r="I94" s="383"/>
      <c r="J94" s="363" t="s">
        <v>528</v>
      </c>
      <c r="K94" s="364">
        <v>381</v>
      </c>
      <c r="L94" s="365"/>
      <c r="M94" s="361"/>
      <c r="N94" s="365"/>
      <c r="O94" s="1289"/>
      <c r="Q94" s="367"/>
      <c r="R94" s="367"/>
      <c r="S94" s="367"/>
      <c r="T94" s="367"/>
      <c r="U94" s="367"/>
      <c r="V94" s="367"/>
    </row>
    <row r="95" spans="1:22" s="366" customFormat="1" ht="18" x14ac:dyDescent="0.35">
      <c r="A95" s="446"/>
      <c r="B95" s="1300" t="s">
        <v>909</v>
      </c>
      <c r="C95" s="511" t="s">
        <v>1134</v>
      </c>
      <c r="D95" s="479"/>
      <c r="E95" s="479"/>
      <c r="F95" s="479"/>
      <c r="G95" s="479"/>
      <c r="H95" s="479"/>
      <c r="I95" s="389" t="s">
        <v>1329</v>
      </c>
      <c r="J95" s="363"/>
      <c r="K95" s="364">
        <f>K96+K97</f>
        <v>828876.26</v>
      </c>
      <c r="L95" s="365"/>
      <c r="M95" s="364">
        <f>M96+M97</f>
        <v>26103.040000000001</v>
      </c>
      <c r="N95" s="365"/>
      <c r="O95" s="1290"/>
      <c r="Q95" s="367"/>
      <c r="R95" s="367"/>
      <c r="S95" s="367"/>
      <c r="T95" s="367"/>
      <c r="U95" s="367"/>
      <c r="V95" s="367"/>
    </row>
    <row r="96" spans="1:22" s="366" customFormat="1" ht="18" x14ac:dyDescent="0.35">
      <c r="A96" s="481"/>
      <c r="B96" s="1301"/>
      <c r="C96" s="1303"/>
      <c r="D96" s="482"/>
      <c r="E96" s="482"/>
      <c r="F96" s="482"/>
      <c r="G96" s="482"/>
      <c r="H96" s="482"/>
      <c r="I96" s="1305"/>
      <c r="J96" s="363" t="s">
        <v>586</v>
      </c>
      <c r="K96" s="372">
        <v>810750.26</v>
      </c>
      <c r="L96" s="365"/>
      <c r="M96" s="361">
        <f>26103.04</f>
        <v>26103.040000000001</v>
      </c>
      <c r="N96" s="365"/>
      <c r="O96" s="509"/>
      <c r="Q96" s="367"/>
      <c r="R96" s="367"/>
      <c r="S96" s="367"/>
      <c r="T96" s="367"/>
      <c r="U96" s="367"/>
      <c r="V96" s="367"/>
    </row>
    <row r="97" spans="1:22" s="366" customFormat="1" ht="18" x14ac:dyDescent="0.35">
      <c r="A97" s="481"/>
      <c r="B97" s="1302"/>
      <c r="C97" s="1304"/>
      <c r="D97" s="482"/>
      <c r="E97" s="482"/>
      <c r="F97" s="482"/>
      <c r="G97" s="482"/>
      <c r="H97" s="482"/>
      <c r="I97" s="1306"/>
      <c r="J97" s="363" t="s">
        <v>528</v>
      </c>
      <c r="K97" s="369">
        <v>18126</v>
      </c>
      <c r="L97" s="365"/>
      <c r="M97" s="361"/>
      <c r="N97" s="365"/>
      <c r="O97" s="509"/>
      <c r="Q97" s="367"/>
      <c r="R97" s="367"/>
      <c r="S97" s="367"/>
      <c r="T97" s="367"/>
      <c r="U97" s="367"/>
      <c r="V97" s="367"/>
    </row>
    <row r="98" spans="1:22" s="474" customFormat="1" ht="15.6" x14ac:dyDescent="0.3">
      <c r="A98" s="1357"/>
      <c r="B98" s="1360" t="s">
        <v>1230</v>
      </c>
      <c r="C98" s="395" t="s">
        <v>1093</v>
      </c>
      <c r="D98" s="475"/>
      <c r="E98" s="475"/>
      <c r="F98" s="475"/>
      <c r="G98" s="475"/>
      <c r="H98" s="475"/>
      <c r="I98" s="397" t="s">
        <v>1226</v>
      </c>
      <c r="J98" s="371"/>
      <c r="K98" s="372">
        <f>K99+K100+K101</f>
        <v>28501970.560000002</v>
      </c>
      <c r="L98" s="476"/>
      <c r="M98" s="372">
        <f>M99+M100+M101</f>
        <v>2035847.19</v>
      </c>
      <c r="N98" s="476"/>
      <c r="O98" s="1280" t="s">
        <v>151</v>
      </c>
      <c r="Q98" s="516"/>
      <c r="R98" s="516"/>
      <c r="S98" s="516"/>
      <c r="T98" s="516"/>
      <c r="U98" s="516"/>
      <c r="V98" s="516"/>
    </row>
    <row r="99" spans="1:22" s="474" customFormat="1" ht="15.6" x14ac:dyDescent="0.3">
      <c r="A99" s="1358"/>
      <c r="B99" s="1361"/>
      <c r="C99" s="390"/>
      <c r="D99" s="517"/>
      <c r="E99" s="517"/>
      <c r="F99" s="517"/>
      <c r="G99" s="517"/>
      <c r="H99" s="517"/>
      <c r="I99" s="391"/>
      <c r="J99" s="371" t="s">
        <v>162</v>
      </c>
      <c r="K99" s="372">
        <v>24557419.370000001</v>
      </c>
      <c r="L99" s="476"/>
      <c r="M99" s="445">
        <f>1217872.51+88843.54+627345.62</f>
        <v>1934061.67</v>
      </c>
      <c r="N99" s="476"/>
      <c r="O99" s="1282"/>
      <c r="Q99" s="516"/>
      <c r="R99" s="516"/>
      <c r="S99" s="516"/>
      <c r="T99" s="516"/>
      <c r="U99" s="516"/>
      <c r="V99" s="516"/>
    </row>
    <row r="100" spans="1:22" s="474" customFormat="1" ht="15.6" x14ac:dyDescent="0.3">
      <c r="A100" s="1358"/>
      <c r="B100" s="1361"/>
      <c r="C100" s="390"/>
      <c r="D100" s="518"/>
      <c r="E100" s="518"/>
      <c r="F100" s="518"/>
      <c r="G100" s="518"/>
      <c r="H100" s="518"/>
      <c r="I100" s="391"/>
      <c r="J100" s="371" t="s">
        <v>586</v>
      </c>
      <c r="K100" s="372">
        <v>3678500</v>
      </c>
      <c r="L100" s="476"/>
      <c r="M100" s="445">
        <f>101785.52</f>
        <v>101785.52</v>
      </c>
      <c r="N100" s="476"/>
      <c r="O100" s="1282"/>
      <c r="Q100" s="516"/>
      <c r="R100" s="516"/>
      <c r="S100" s="516"/>
      <c r="T100" s="516"/>
      <c r="U100" s="516"/>
      <c r="V100" s="516"/>
    </row>
    <row r="101" spans="1:22" s="474" customFormat="1" ht="15.6" x14ac:dyDescent="0.3">
      <c r="A101" s="1359"/>
      <c r="B101" s="1362"/>
      <c r="C101" s="392"/>
      <c r="D101" s="518"/>
      <c r="E101" s="518"/>
      <c r="F101" s="518"/>
      <c r="G101" s="518"/>
      <c r="H101" s="518"/>
      <c r="I101" s="393"/>
      <c r="J101" s="371" t="s">
        <v>528</v>
      </c>
      <c r="K101" s="372">
        <v>266051.19</v>
      </c>
      <c r="L101" s="476"/>
      <c r="M101" s="445"/>
      <c r="N101" s="476"/>
      <c r="O101" s="1282"/>
      <c r="Q101" s="516"/>
      <c r="R101" s="516"/>
      <c r="S101" s="516"/>
      <c r="T101" s="516"/>
      <c r="U101" s="516"/>
      <c r="V101" s="516"/>
    </row>
    <row r="102" spans="1:22" s="515" customFormat="1" ht="31.2" hidden="1" x14ac:dyDescent="0.3">
      <c r="A102" s="651"/>
      <c r="B102" s="652" t="s">
        <v>1353</v>
      </c>
      <c r="C102" s="653" t="s">
        <v>1093</v>
      </c>
      <c r="D102" s="654"/>
      <c r="E102" s="654"/>
      <c r="F102" s="654"/>
      <c r="G102" s="654"/>
      <c r="H102" s="654"/>
      <c r="I102" s="655" t="s">
        <v>1354</v>
      </c>
      <c r="J102" s="656" t="s">
        <v>528</v>
      </c>
      <c r="K102" s="650"/>
      <c r="L102" s="463"/>
      <c r="M102" s="424"/>
      <c r="N102" s="463"/>
      <c r="O102" s="1281"/>
      <c r="Q102" s="657"/>
      <c r="R102" s="657"/>
      <c r="S102" s="657"/>
      <c r="T102" s="657"/>
      <c r="U102" s="657"/>
      <c r="V102" s="657"/>
    </row>
    <row r="103" spans="1:22" s="366" customFormat="1" ht="46.8" x14ac:dyDescent="0.3">
      <c r="A103" s="388"/>
      <c r="B103" s="459" t="s">
        <v>610</v>
      </c>
      <c r="C103" s="387" t="s">
        <v>1130</v>
      </c>
      <c r="D103" s="365"/>
      <c r="E103" s="365"/>
      <c r="F103" s="365"/>
      <c r="G103" s="365"/>
      <c r="H103" s="365"/>
      <c r="I103" s="452" t="s">
        <v>1233</v>
      </c>
      <c r="J103" s="363" t="s">
        <v>613</v>
      </c>
      <c r="K103" s="364">
        <v>11822578.16</v>
      </c>
      <c r="L103" s="365"/>
      <c r="M103" s="361">
        <f>582207.78</f>
        <v>582207.78</v>
      </c>
      <c r="N103" s="365"/>
      <c r="O103" s="1282"/>
      <c r="Q103" s="367"/>
      <c r="R103" s="367"/>
      <c r="S103" s="367"/>
      <c r="T103" s="367"/>
      <c r="U103" s="367"/>
      <c r="V103" s="367"/>
    </row>
    <row r="104" spans="1:22" s="366" customFormat="1" ht="15.6" hidden="1" x14ac:dyDescent="0.3">
      <c r="A104" s="388"/>
      <c r="B104" s="459" t="s">
        <v>1174</v>
      </c>
      <c r="C104" s="387" t="s">
        <v>1130</v>
      </c>
      <c r="D104" s="365"/>
      <c r="E104" s="365"/>
      <c r="F104" s="365"/>
      <c r="G104" s="365"/>
      <c r="H104" s="365"/>
      <c r="I104" s="452" t="s">
        <v>1175</v>
      </c>
      <c r="J104" s="363" t="s">
        <v>528</v>
      </c>
      <c r="K104" s="364"/>
      <c r="L104" s="365"/>
      <c r="M104" s="361"/>
      <c r="N104" s="365"/>
      <c r="O104" s="1282"/>
      <c r="Q104" s="367"/>
      <c r="R104" s="367"/>
      <c r="S104" s="367"/>
      <c r="T104" s="367"/>
      <c r="U104" s="367"/>
      <c r="V104" s="367"/>
    </row>
    <row r="105" spans="1:22" s="474" customFormat="1" ht="15.6" x14ac:dyDescent="0.3">
      <c r="A105" s="475"/>
      <c r="B105" s="423" t="s">
        <v>604</v>
      </c>
      <c r="C105" s="395" t="s">
        <v>1129</v>
      </c>
      <c r="D105" s="476"/>
      <c r="E105" s="476"/>
      <c r="F105" s="476"/>
      <c r="G105" s="476"/>
      <c r="H105" s="476"/>
      <c r="I105" s="477" t="s">
        <v>1229</v>
      </c>
      <c r="J105" s="371" t="s">
        <v>528</v>
      </c>
      <c r="K105" s="457">
        <v>334218</v>
      </c>
      <c r="L105" s="476"/>
      <c r="M105" s="445"/>
      <c r="N105" s="476"/>
      <c r="O105" s="1282"/>
      <c r="Q105" s="516"/>
      <c r="R105" s="516"/>
      <c r="S105" s="516"/>
      <c r="T105" s="516"/>
      <c r="U105" s="516"/>
      <c r="V105" s="516"/>
    </row>
    <row r="106" spans="1:22" s="366" customFormat="1" ht="31.2" x14ac:dyDescent="0.3">
      <c r="A106" s="388"/>
      <c r="B106" s="459" t="s">
        <v>771</v>
      </c>
      <c r="C106" s="387" t="s">
        <v>1111</v>
      </c>
      <c r="D106" s="365"/>
      <c r="E106" s="365"/>
      <c r="F106" s="365"/>
      <c r="G106" s="365"/>
      <c r="H106" s="365"/>
      <c r="I106" s="452" t="s">
        <v>1290</v>
      </c>
      <c r="J106" s="363" t="s">
        <v>586</v>
      </c>
      <c r="K106" s="364">
        <v>50000</v>
      </c>
      <c r="L106" s="365"/>
      <c r="M106" s="361"/>
      <c r="N106" s="365"/>
      <c r="O106" s="1282"/>
      <c r="Q106" s="367"/>
      <c r="R106" s="367"/>
      <c r="S106" s="367"/>
      <c r="T106" s="367"/>
      <c r="U106" s="367"/>
      <c r="V106" s="367"/>
    </row>
    <row r="107" spans="1:22" s="366" customFormat="1" ht="62.4" hidden="1" x14ac:dyDescent="0.3">
      <c r="A107" s="388"/>
      <c r="B107" s="483" t="s">
        <v>1187</v>
      </c>
      <c r="C107" s="387" t="s">
        <v>1161</v>
      </c>
      <c r="D107" s="365"/>
      <c r="E107" s="365"/>
      <c r="F107" s="365"/>
      <c r="G107" s="365"/>
      <c r="H107" s="365"/>
      <c r="I107" s="452" t="s">
        <v>1162</v>
      </c>
      <c r="J107" s="363" t="s">
        <v>528</v>
      </c>
      <c r="K107" s="369"/>
      <c r="L107" s="365"/>
      <c r="M107" s="361"/>
      <c r="N107" s="365"/>
      <c r="O107" s="1283"/>
    </row>
    <row r="108" spans="1:22" s="366" customFormat="1" ht="62.4" hidden="1" x14ac:dyDescent="0.3">
      <c r="A108" s="388"/>
      <c r="B108" s="423" t="s">
        <v>1188</v>
      </c>
      <c r="C108" s="387" t="s">
        <v>1185</v>
      </c>
      <c r="D108" s="365"/>
      <c r="E108" s="365"/>
      <c r="F108" s="365"/>
      <c r="G108" s="365"/>
      <c r="H108" s="365"/>
      <c r="I108" s="484" t="s">
        <v>1186</v>
      </c>
      <c r="J108" s="389" t="s">
        <v>528</v>
      </c>
      <c r="K108" s="485"/>
      <c r="L108" s="365"/>
      <c r="M108" s="486"/>
      <c r="N108" s="365"/>
      <c r="O108" s="508" t="s">
        <v>968</v>
      </c>
    </row>
    <row r="109" spans="1:22" s="366" customFormat="1" ht="72" x14ac:dyDescent="0.35">
      <c r="A109" s="425">
        <v>11</v>
      </c>
      <c r="B109" s="435" t="s">
        <v>563</v>
      </c>
      <c r="C109" s="428"/>
      <c r="D109" s="428"/>
      <c r="E109" s="428"/>
      <c r="F109" s="428"/>
      <c r="G109" s="428"/>
      <c r="H109" s="428"/>
      <c r="I109" s="429" t="s">
        <v>1346</v>
      </c>
      <c r="J109" s="430"/>
      <c r="K109" s="436">
        <f>K110+K111+K112+K113+K114+K115+K117+K118+K116</f>
        <v>5308249.99</v>
      </c>
      <c r="L109" s="428"/>
      <c r="M109" s="436">
        <f>M110+M111+M112+M113+M114+M115+M117+M118+M116</f>
        <v>156868.34</v>
      </c>
      <c r="N109" s="428"/>
      <c r="O109" s="432" t="s">
        <v>1147</v>
      </c>
    </row>
    <row r="110" spans="1:22" s="366" customFormat="1" ht="46.8" x14ac:dyDescent="0.35">
      <c r="A110" s="425"/>
      <c r="B110" s="459" t="s">
        <v>618</v>
      </c>
      <c r="C110" s="387" t="s">
        <v>1137</v>
      </c>
      <c r="D110" s="428"/>
      <c r="E110" s="428"/>
      <c r="F110" s="428"/>
      <c r="G110" s="428"/>
      <c r="H110" s="428"/>
      <c r="I110" s="452" t="s">
        <v>1235</v>
      </c>
      <c r="J110" s="363" t="s">
        <v>586</v>
      </c>
      <c r="K110" s="364">
        <v>515000</v>
      </c>
      <c r="L110" s="428"/>
      <c r="M110" s="487"/>
      <c r="N110" s="428"/>
      <c r="O110" s="1288" t="s">
        <v>151</v>
      </c>
    </row>
    <row r="111" spans="1:22" s="366" customFormat="1" ht="18" x14ac:dyDescent="0.35">
      <c r="A111" s="425"/>
      <c r="B111" s="459" t="s">
        <v>621</v>
      </c>
      <c r="C111" s="387" t="s">
        <v>1137</v>
      </c>
      <c r="D111" s="428"/>
      <c r="E111" s="428"/>
      <c r="F111" s="428"/>
      <c r="G111" s="428"/>
      <c r="H111" s="428"/>
      <c r="I111" s="452" t="s">
        <v>1236</v>
      </c>
      <c r="J111" s="363" t="s">
        <v>586</v>
      </c>
      <c r="K111" s="364">
        <v>212500</v>
      </c>
      <c r="L111" s="428"/>
      <c r="M111" s="487"/>
      <c r="N111" s="428"/>
      <c r="O111" s="1289"/>
    </row>
    <row r="112" spans="1:22" s="366" customFormat="1" ht="31.2" x14ac:dyDescent="0.35">
      <c r="A112" s="425"/>
      <c r="B112" s="459" t="s">
        <v>731</v>
      </c>
      <c r="C112" s="387" t="s">
        <v>1107</v>
      </c>
      <c r="D112" s="428"/>
      <c r="E112" s="428"/>
      <c r="F112" s="428"/>
      <c r="G112" s="428"/>
      <c r="H112" s="428"/>
      <c r="I112" s="452" t="s">
        <v>1274</v>
      </c>
      <c r="J112" s="363" t="s">
        <v>586</v>
      </c>
      <c r="K112" s="364">
        <v>50000</v>
      </c>
      <c r="L112" s="428"/>
      <c r="M112" s="487"/>
      <c r="N112" s="428"/>
      <c r="O112" s="1289"/>
    </row>
    <row r="113" spans="1:15" s="515" customFormat="1" ht="31.2" x14ac:dyDescent="0.35">
      <c r="A113" s="567"/>
      <c r="B113" s="423" t="s">
        <v>736</v>
      </c>
      <c r="C113" s="395" t="s">
        <v>1107</v>
      </c>
      <c r="D113" s="568"/>
      <c r="E113" s="568"/>
      <c r="F113" s="568"/>
      <c r="G113" s="568"/>
      <c r="H113" s="568"/>
      <c r="I113" s="477" t="s">
        <v>1275</v>
      </c>
      <c r="J113" s="371" t="s">
        <v>586</v>
      </c>
      <c r="K113" s="457">
        <v>53000</v>
      </c>
      <c r="L113" s="568"/>
      <c r="M113" s="569"/>
      <c r="N113" s="570"/>
      <c r="O113" s="1290"/>
    </row>
    <row r="114" spans="1:15" s="366" customFormat="1" ht="31.2" x14ac:dyDescent="0.35">
      <c r="A114" s="425"/>
      <c r="B114" s="459" t="s">
        <v>834</v>
      </c>
      <c r="C114" s="387" t="s">
        <v>1105</v>
      </c>
      <c r="D114" s="428"/>
      <c r="E114" s="428"/>
      <c r="F114" s="428"/>
      <c r="G114" s="428"/>
      <c r="H114" s="428"/>
      <c r="I114" s="452" t="s">
        <v>1308</v>
      </c>
      <c r="J114" s="363" t="s">
        <v>613</v>
      </c>
      <c r="K114" s="364">
        <v>1650000</v>
      </c>
      <c r="L114" s="428"/>
      <c r="M114" s="487"/>
      <c r="N114" s="428"/>
      <c r="O114" s="1291" t="s">
        <v>968</v>
      </c>
    </row>
    <row r="115" spans="1:15" s="366" customFormat="1" ht="31.5" customHeight="1" x14ac:dyDescent="0.35">
      <c r="A115" s="425"/>
      <c r="B115" s="1293" t="s">
        <v>831</v>
      </c>
      <c r="C115" s="387" t="s">
        <v>1105</v>
      </c>
      <c r="D115" s="428"/>
      <c r="E115" s="428"/>
      <c r="F115" s="428"/>
      <c r="G115" s="428"/>
      <c r="H115" s="428"/>
      <c r="I115" s="1295" t="s">
        <v>1307</v>
      </c>
      <c r="J115" s="363" t="s">
        <v>613</v>
      </c>
      <c r="K115" s="364">
        <v>300000</v>
      </c>
      <c r="L115" s="428"/>
      <c r="M115" s="487"/>
      <c r="N115" s="428"/>
      <c r="O115" s="1292"/>
    </row>
    <row r="116" spans="1:15" s="366" customFormat="1" ht="18" hidden="1" x14ac:dyDescent="0.35">
      <c r="A116" s="425"/>
      <c r="B116" s="1294"/>
      <c r="C116" s="387" t="s">
        <v>1142</v>
      </c>
      <c r="D116" s="428"/>
      <c r="E116" s="428"/>
      <c r="F116" s="428"/>
      <c r="G116" s="428"/>
      <c r="H116" s="428"/>
      <c r="I116" s="1296"/>
      <c r="J116" s="363" t="s">
        <v>613</v>
      </c>
      <c r="K116" s="369"/>
      <c r="L116" s="428"/>
      <c r="M116" s="487"/>
      <c r="N116" s="428"/>
      <c r="O116" s="571"/>
    </row>
    <row r="117" spans="1:15" s="366" customFormat="1" ht="31.2" x14ac:dyDescent="0.35">
      <c r="A117" s="425"/>
      <c r="B117" s="459" t="s">
        <v>912</v>
      </c>
      <c r="C117" s="387" t="s">
        <v>1138</v>
      </c>
      <c r="D117" s="428"/>
      <c r="E117" s="428"/>
      <c r="F117" s="428"/>
      <c r="G117" s="428"/>
      <c r="H117" s="428"/>
      <c r="I117" s="452" t="s">
        <v>1330</v>
      </c>
      <c r="J117" s="363" t="s">
        <v>613</v>
      </c>
      <c r="K117" s="369">
        <v>2497749.9900000002</v>
      </c>
      <c r="L117" s="428"/>
      <c r="M117" s="487">
        <f>156868.34</f>
        <v>156868.34</v>
      </c>
      <c r="N117" s="428"/>
      <c r="O117" s="495" t="s">
        <v>1097</v>
      </c>
    </row>
    <row r="118" spans="1:15" s="366" customFormat="1" ht="51" customHeight="1" x14ac:dyDescent="0.35">
      <c r="A118" s="425"/>
      <c r="B118" s="521" t="s">
        <v>1198</v>
      </c>
      <c r="C118" s="387" t="s">
        <v>1107</v>
      </c>
      <c r="D118" s="428"/>
      <c r="E118" s="428"/>
      <c r="F118" s="428"/>
      <c r="G118" s="428"/>
      <c r="H118" s="428"/>
      <c r="I118" s="484" t="s">
        <v>1276</v>
      </c>
      <c r="J118" s="389" t="s">
        <v>586</v>
      </c>
      <c r="K118" s="485">
        <v>30000</v>
      </c>
      <c r="L118" s="428"/>
      <c r="M118" s="533"/>
      <c r="N118" s="428"/>
      <c r="O118" s="495"/>
    </row>
    <row r="119" spans="1:15" s="366" customFormat="1" ht="52.8" x14ac:dyDescent="0.35">
      <c r="A119" s="425">
        <v>12</v>
      </c>
      <c r="B119" s="435" t="s">
        <v>558</v>
      </c>
      <c r="C119" s="428"/>
      <c r="D119" s="428"/>
      <c r="E119" s="428"/>
      <c r="F119" s="428"/>
      <c r="G119" s="428"/>
      <c r="H119" s="428"/>
      <c r="I119" s="429" t="s">
        <v>1347</v>
      </c>
      <c r="J119" s="430"/>
      <c r="K119" s="436">
        <f>K120+K121+K122+K123+K124+K125+K126+K127+K128+K129+K130+K132+K133+K134+K135+K139+K143+K131</f>
        <v>197100075.58000004</v>
      </c>
      <c r="L119" s="428"/>
      <c r="M119" s="436">
        <f>M120+M121+M122+M123+M124+M125+M126+M127+M128+M129+M130+M132+M133+M134+M135+M139+M143+M131</f>
        <v>9392514.5699999984</v>
      </c>
      <c r="N119" s="428"/>
      <c r="O119" s="432" t="s">
        <v>1147</v>
      </c>
    </row>
    <row r="120" spans="1:15" s="366" customFormat="1" ht="18" hidden="1" x14ac:dyDescent="0.35">
      <c r="A120" s="425"/>
      <c r="B120" s="423" t="s">
        <v>1153</v>
      </c>
      <c r="C120" s="387" t="s">
        <v>1139</v>
      </c>
      <c r="D120" s="428"/>
      <c r="E120" s="428"/>
      <c r="F120" s="428"/>
      <c r="G120" s="428"/>
      <c r="H120" s="428"/>
      <c r="I120" s="452" t="s">
        <v>818</v>
      </c>
      <c r="J120" s="363" t="s">
        <v>586</v>
      </c>
      <c r="K120" s="364">
        <v>0</v>
      </c>
      <c r="L120" s="428"/>
      <c r="M120" s="487"/>
      <c r="N120" s="428"/>
      <c r="O120" s="1288" t="s">
        <v>151</v>
      </c>
    </row>
    <row r="121" spans="1:15" s="366" customFormat="1" ht="18" x14ac:dyDescent="0.35">
      <c r="A121" s="425"/>
      <c r="B121" s="459" t="s">
        <v>725</v>
      </c>
      <c r="C121" s="387" t="s">
        <v>1140</v>
      </c>
      <c r="D121" s="428"/>
      <c r="E121" s="428"/>
      <c r="F121" s="428"/>
      <c r="G121" s="428"/>
      <c r="H121" s="428"/>
      <c r="I121" s="452" t="s">
        <v>1272</v>
      </c>
      <c r="J121" s="363" t="s">
        <v>586</v>
      </c>
      <c r="K121" s="457">
        <v>8000000</v>
      </c>
      <c r="L121" s="428"/>
      <c r="M121" s="487"/>
      <c r="N121" s="428"/>
      <c r="O121" s="1289"/>
    </row>
    <row r="122" spans="1:15" s="366" customFormat="1" ht="31.2" x14ac:dyDescent="0.35">
      <c r="A122" s="425"/>
      <c r="B122" s="459" t="s">
        <v>1278</v>
      </c>
      <c r="C122" s="387" t="s">
        <v>1107</v>
      </c>
      <c r="D122" s="428"/>
      <c r="E122" s="428"/>
      <c r="F122" s="428"/>
      <c r="G122" s="428"/>
      <c r="H122" s="428"/>
      <c r="I122" s="452" t="s">
        <v>1277</v>
      </c>
      <c r="J122" s="363" t="s">
        <v>586</v>
      </c>
      <c r="K122" s="457">
        <v>114734.39999999999</v>
      </c>
      <c r="L122" s="428"/>
      <c r="M122" s="487"/>
      <c r="N122" s="428"/>
      <c r="O122" s="1290"/>
    </row>
    <row r="123" spans="1:15" s="366" customFormat="1" ht="31.2" x14ac:dyDescent="0.35">
      <c r="A123" s="425"/>
      <c r="B123" s="459" t="s">
        <v>915</v>
      </c>
      <c r="C123" s="387" t="s">
        <v>1146</v>
      </c>
      <c r="D123" s="428"/>
      <c r="E123" s="428"/>
      <c r="F123" s="428"/>
      <c r="G123" s="428"/>
      <c r="H123" s="428"/>
      <c r="I123" s="452" t="s">
        <v>1331</v>
      </c>
      <c r="J123" s="363" t="s">
        <v>613</v>
      </c>
      <c r="K123" s="457">
        <v>7636834.5599999996</v>
      </c>
      <c r="L123" s="428"/>
      <c r="M123" s="487">
        <f>363230.85</f>
        <v>363230.85</v>
      </c>
      <c r="N123" s="428"/>
      <c r="O123" s="510" t="s">
        <v>1097</v>
      </c>
    </row>
    <row r="124" spans="1:15" s="366" customFormat="1" ht="18" x14ac:dyDescent="0.35">
      <c r="A124" s="425"/>
      <c r="B124" s="459" t="s">
        <v>817</v>
      </c>
      <c r="C124" s="387" t="s">
        <v>1142</v>
      </c>
      <c r="D124" s="428"/>
      <c r="E124" s="428"/>
      <c r="F124" s="428"/>
      <c r="G124" s="428"/>
      <c r="H124" s="428"/>
      <c r="I124" s="452" t="s">
        <v>1304</v>
      </c>
      <c r="J124" s="363" t="s">
        <v>613</v>
      </c>
      <c r="K124" s="457">
        <f>1200000</f>
        <v>1200000</v>
      </c>
      <c r="L124" s="428"/>
      <c r="M124" s="487"/>
      <c r="N124" s="428"/>
      <c r="O124" s="1288" t="s">
        <v>968</v>
      </c>
    </row>
    <row r="125" spans="1:15" s="366" customFormat="1" ht="31.2" x14ac:dyDescent="0.35">
      <c r="A125" s="425"/>
      <c r="B125" s="459" t="s">
        <v>814</v>
      </c>
      <c r="C125" s="387" t="s">
        <v>1142</v>
      </c>
      <c r="D125" s="428"/>
      <c r="E125" s="428"/>
      <c r="F125" s="428"/>
      <c r="G125" s="428"/>
      <c r="H125" s="428"/>
      <c r="I125" s="452" t="s">
        <v>1303</v>
      </c>
      <c r="J125" s="363" t="s">
        <v>613</v>
      </c>
      <c r="K125" s="457">
        <f>34085991.49</f>
        <v>34085991.490000002</v>
      </c>
      <c r="L125" s="428"/>
      <c r="M125" s="487">
        <f>2356160.12+452255.67</f>
        <v>2808415.79</v>
      </c>
      <c r="N125" s="428"/>
      <c r="O125" s="1289"/>
    </row>
    <row r="126" spans="1:15" s="366" customFormat="1" ht="31.2" x14ac:dyDescent="0.35">
      <c r="A126" s="425"/>
      <c r="B126" s="459" t="s">
        <v>837</v>
      </c>
      <c r="C126" s="387" t="s">
        <v>1105</v>
      </c>
      <c r="D126" s="428"/>
      <c r="E126" s="428"/>
      <c r="F126" s="428"/>
      <c r="G126" s="428"/>
      <c r="H126" s="428"/>
      <c r="I126" s="452" t="s">
        <v>1309</v>
      </c>
      <c r="J126" s="363" t="s">
        <v>613</v>
      </c>
      <c r="K126" s="457">
        <f>95155748.66</f>
        <v>95155748.659999996</v>
      </c>
      <c r="L126" s="428"/>
      <c r="M126" s="487">
        <f>4290134.18+215001.81</f>
        <v>4505135.9899999993</v>
      </c>
      <c r="N126" s="428"/>
      <c r="O126" s="1289"/>
    </row>
    <row r="127" spans="1:15" s="366" customFormat="1" ht="31.2" x14ac:dyDescent="0.35">
      <c r="A127" s="425"/>
      <c r="B127" s="459" t="s">
        <v>840</v>
      </c>
      <c r="C127" s="387" t="s">
        <v>1105</v>
      </c>
      <c r="D127" s="428"/>
      <c r="E127" s="428"/>
      <c r="F127" s="428"/>
      <c r="G127" s="428"/>
      <c r="H127" s="428"/>
      <c r="I127" s="452" t="s">
        <v>1310</v>
      </c>
      <c r="J127" s="363" t="s">
        <v>613</v>
      </c>
      <c r="K127" s="457">
        <v>6355514.5199999996</v>
      </c>
      <c r="L127" s="428"/>
      <c r="M127" s="487">
        <f>588256.75</f>
        <v>588256.75</v>
      </c>
      <c r="N127" s="428"/>
      <c r="O127" s="1289"/>
    </row>
    <row r="128" spans="1:15" s="366" customFormat="1" ht="18" x14ac:dyDescent="0.35">
      <c r="A128" s="425"/>
      <c r="B128" s="459" t="s">
        <v>725</v>
      </c>
      <c r="C128" s="387" t="s">
        <v>1105</v>
      </c>
      <c r="D128" s="428"/>
      <c r="E128" s="428"/>
      <c r="F128" s="428"/>
      <c r="G128" s="428"/>
      <c r="H128" s="428"/>
      <c r="I128" s="452" t="s">
        <v>1272</v>
      </c>
      <c r="J128" s="363" t="s">
        <v>613</v>
      </c>
      <c r="K128" s="457">
        <v>17174500</v>
      </c>
      <c r="L128" s="428"/>
      <c r="M128" s="487"/>
      <c r="N128" s="428"/>
      <c r="O128" s="1289"/>
    </row>
    <row r="129" spans="1:22" s="366" customFormat="1" ht="15.6" x14ac:dyDescent="0.3">
      <c r="A129" s="388"/>
      <c r="B129" s="459" t="s">
        <v>844</v>
      </c>
      <c r="C129" s="387" t="s">
        <v>1105</v>
      </c>
      <c r="D129" s="365"/>
      <c r="E129" s="365"/>
      <c r="F129" s="365"/>
      <c r="G129" s="365"/>
      <c r="H129" s="365"/>
      <c r="I129" s="452" t="s">
        <v>1311</v>
      </c>
      <c r="J129" s="363" t="s">
        <v>613</v>
      </c>
      <c r="K129" s="364">
        <v>483000</v>
      </c>
      <c r="L129" s="365"/>
      <c r="M129" s="487"/>
      <c r="N129" s="365"/>
      <c r="O129" s="1289"/>
    </row>
    <row r="130" spans="1:22" s="366" customFormat="1" ht="46.8" x14ac:dyDescent="0.3">
      <c r="A130" s="388"/>
      <c r="B130" s="459" t="s">
        <v>847</v>
      </c>
      <c r="C130" s="387" t="s">
        <v>1105</v>
      </c>
      <c r="D130" s="365"/>
      <c r="E130" s="365"/>
      <c r="F130" s="365"/>
      <c r="G130" s="365"/>
      <c r="H130" s="365"/>
      <c r="I130" s="452" t="s">
        <v>1312</v>
      </c>
      <c r="J130" s="363" t="s">
        <v>613</v>
      </c>
      <c r="K130" s="364">
        <v>50000</v>
      </c>
      <c r="L130" s="365"/>
      <c r="M130" s="487"/>
      <c r="N130" s="365"/>
      <c r="O130" s="1289"/>
    </row>
    <row r="131" spans="1:22" s="366" customFormat="1" ht="15.6" x14ac:dyDescent="0.3">
      <c r="A131" s="1307"/>
      <c r="B131" s="1297" t="s">
        <v>864</v>
      </c>
      <c r="C131" s="1354" t="s">
        <v>1143</v>
      </c>
      <c r="D131" s="365"/>
      <c r="E131" s="365"/>
      <c r="F131" s="365"/>
      <c r="G131" s="365"/>
      <c r="H131" s="365"/>
      <c r="I131" s="1355" t="s">
        <v>1317</v>
      </c>
      <c r="J131" s="363" t="s">
        <v>764</v>
      </c>
      <c r="K131" s="364"/>
      <c r="L131" s="365"/>
      <c r="M131" s="487"/>
      <c r="N131" s="365"/>
      <c r="O131" s="1317"/>
    </row>
    <row r="132" spans="1:22" s="366" customFormat="1" ht="15.6" x14ac:dyDescent="0.3">
      <c r="A132" s="1308"/>
      <c r="B132" s="1299"/>
      <c r="C132" s="1304"/>
      <c r="D132" s="365"/>
      <c r="E132" s="365"/>
      <c r="F132" s="365"/>
      <c r="G132" s="365"/>
      <c r="H132" s="365"/>
      <c r="I132" s="1356"/>
      <c r="J132" s="363" t="s">
        <v>613</v>
      </c>
      <c r="K132" s="364">
        <v>1900000</v>
      </c>
      <c r="L132" s="365"/>
      <c r="M132" s="487"/>
      <c r="N132" s="365"/>
      <c r="O132" s="1289"/>
    </row>
    <row r="133" spans="1:22" s="366" customFormat="1" ht="31.2" x14ac:dyDescent="0.3">
      <c r="A133" s="388"/>
      <c r="B133" s="459" t="s">
        <v>867</v>
      </c>
      <c r="C133" s="387" t="s">
        <v>1143</v>
      </c>
      <c r="D133" s="365"/>
      <c r="E133" s="365"/>
      <c r="F133" s="365"/>
      <c r="G133" s="365"/>
      <c r="H133" s="365"/>
      <c r="I133" s="452" t="s">
        <v>1318</v>
      </c>
      <c r="J133" s="363" t="s">
        <v>613</v>
      </c>
      <c r="K133" s="364">
        <v>100000</v>
      </c>
      <c r="L133" s="365"/>
      <c r="M133" s="487"/>
      <c r="N133" s="365"/>
      <c r="O133" s="1289"/>
    </row>
    <row r="134" spans="1:22" s="366" customFormat="1" ht="15.6" hidden="1" x14ac:dyDescent="0.3">
      <c r="A134" s="388"/>
      <c r="B134" s="459" t="s">
        <v>870</v>
      </c>
      <c r="C134" s="511" t="s">
        <v>1143</v>
      </c>
      <c r="D134" s="479"/>
      <c r="E134" s="479"/>
      <c r="F134" s="479"/>
      <c r="G134" s="479"/>
      <c r="H134" s="479"/>
      <c r="I134" s="480" t="s">
        <v>871</v>
      </c>
      <c r="J134" s="363" t="s">
        <v>613</v>
      </c>
      <c r="K134" s="364">
        <v>0</v>
      </c>
      <c r="L134" s="365"/>
      <c r="M134" s="487"/>
      <c r="N134" s="365"/>
      <c r="O134" s="1289"/>
    </row>
    <row r="135" spans="1:22" s="366" customFormat="1" ht="15.6" x14ac:dyDescent="0.3">
      <c r="A135" s="1307"/>
      <c r="B135" s="1297" t="s">
        <v>877</v>
      </c>
      <c r="C135" s="387" t="s">
        <v>1144</v>
      </c>
      <c r="D135" s="388"/>
      <c r="E135" s="388"/>
      <c r="F135" s="388"/>
      <c r="G135" s="388"/>
      <c r="H135" s="388"/>
      <c r="I135" s="389" t="s">
        <v>1320</v>
      </c>
      <c r="J135" s="363"/>
      <c r="K135" s="364">
        <f>K136+K137+K138</f>
        <v>5523184.1100000003</v>
      </c>
      <c r="L135" s="365"/>
      <c r="M135" s="364">
        <f>M136+M137+M138</f>
        <v>271503.28000000003</v>
      </c>
      <c r="N135" s="365"/>
      <c r="O135" s="1289"/>
    </row>
    <row r="136" spans="1:22" s="366" customFormat="1" ht="15.6" x14ac:dyDescent="0.3">
      <c r="A136" s="1336"/>
      <c r="B136" s="1298"/>
      <c r="C136" s="1337"/>
      <c r="D136" s="386"/>
      <c r="E136" s="386"/>
      <c r="F136" s="386"/>
      <c r="G136" s="386"/>
      <c r="H136" s="386"/>
      <c r="I136" s="1340"/>
      <c r="J136" s="363" t="s">
        <v>162</v>
      </c>
      <c r="K136" s="364">
        <v>5429984.1100000003</v>
      </c>
      <c r="L136" s="365"/>
      <c r="M136" s="487">
        <f>267903.28+3600</f>
        <v>271503.28000000003</v>
      </c>
      <c r="N136" s="365"/>
      <c r="O136" s="1289"/>
    </row>
    <row r="137" spans="1:22" s="366" customFormat="1" ht="15.6" x14ac:dyDescent="0.3">
      <c r="A137" s="1336"/>
      <c r="B137" s="1298"/>
      <c r="C137" s="1338"/>
      <c r="D137" s="362"/>
      <c r="E137" s="362"/>
      <c r="F137" s="362"/>
      <c r="G137" s="362"/>
      <c r="H137" s="362"/>
      <c r="I137" s="1341"/>
      <c r="J137" s="363" t="s">
        <v>586</v>
      </c>
      <c r="K137" s="364">
        <v>93200</v>
      </c>
      <c r="L137" s="365"/>
      <c r="M137" s="487"/>
      <c r="N137" s="365"/>
      <c r="O137" s="1289"/>
    </row>
    <row r="138" spans="1:22" s="366" customFormat="1" ht="15.6" x14ac:dyDescent="0.3">
      <c r="A138" s="1308"/>
      <c r="B138" s="1299"/>
      <c r="C138" s="1338"/>
      <c r="D138" s="488"/>
      <c r="E138" s="488"/>
      <c r="F138" s="488"/>
      <c r="G138" s="488"/>
      <c r="H138" s="488"/>
      <c r="I138" s="1341"/>
      <c r="J138" s="363" t="s">
        <v>528</v>
      </c>
      <c r="K138" s="364">
        <f>6000-6000</f>
        <v>0</v>
      </c>
      <c r="L138" s="365"/>
      <c r="M138" s="487"/>
      <c r="N138" s="365"/>
      <c r="O138" s="1289"/>
    </row>
    <row r="139" spans="1:22" s="366" customFormat="1" ht="15.6" x14ac:dyDescent="0.3">
      <c r="A139" s="1307"/>
      <c r="B139" s="1297" t="s">
        <v>882</v>
      </c>
      <c r="C139" s="387" t="s">
        <v>1144</v>
      </c>
      <c r="D139" s="388"/>
      <c r="E139" s="388"/>
      <c r="F139" s="388"/>
      <c r="G139" s="388"/>
      <c r="H139" s="388"/>
      <c r="I139" s="389" t="s">
        <v>1321</v>
      </c>
      <c r="J139" s="363"/>
      <c r="K139" s="364">
        <f>K140+K141+K142</f>
        <v>16641770.050000001</v>
      </c>
      <c r="L139" s="368"/>
      <c r="M139" s="364">
        <f>M140+M141+M142</f>
        <v>685849.16999999993</v>
      </c>
      <c r="N139" s="365"/>
      <c r="O139" s="1289"/>
    </row>
    <row r="140" spans="1:22" s="366" customFormat="1" ht="15.6" x14ac:dyDescent="0.3">
      <c r="A140" s="1336"/>
      <c r="B140" s="1298"/>
      <c r="C140" s="1337"/>
      <c r="D140" s="386"/>
      <c r="E140" s="386"/>
      <c r="F140" s="386"/>
      <c r="G140" s="386"/>
      <c r="H140" s="386"/>
      <c r="I140" s="1340"/>
      <c r="J140" s="363" t="s">
        <v>162</v>
      </c>
      <c r="K140" s="364">
        <v>12358242.65</v>
      </c>
      <c r="L140" s="365"/>
      <c r="M140" s="487">
        <f>641319.57+6605.75</f>
        <v>647925.31999999995</v>
      </c>
      <c r="N140" s="365"/>
      <c r="O140" s="1289"/>
    </row>
    <row r="141" spans="1:22" s="366" customFormat="1" ht="15.6" x14ac:dyDescent="0.3">
      <c r="A141" s="1336"/>
      <c r="B141" s="1298"/>
      <c r="C141" s="1338"/>
      <c r="D141" s="362"/>
      <c r="E141" s="362"/>
      <c r="F141" s="362"/>
      <c r="G141" s="362"/>
      <c r="H141" s="362"/>
      <c r="I141" s="1341"/>
      <c r="J141" s="363" t="s">
        <v>586</v>
      </c>
      <c r="K141" s="457">
        <v>4275140.4000000004</v>
      </c>
      <c r="L141" s="365"/>
      <c r="M141" s="487">
        <f>37923.85</f>
        <v>37923.85</v>
      </c>
      <c r="N141" s="365"/>
      <c r="O141" s="1289"/>
    </row>
    <row r="142" spans="1:22" s="366" customFormat="1" ht="15.6" x14ac:dyDescent="0.3">
      <c r="A142" s="1308"/>
      <c r="B142" s="1299"/>
      <c r="C142" s="1339"/>
      <c r="D142" s="362"/>
      <c r="E142" s="362"/>
      <c r="F142" s="362"/>
      <c r="G142" s="362"/>
      <c r="H142" s="362"/>
      <c r="I142" s="1342"/>
      <c r="J142" s="363" t="s">
        <v>528</v>
      </c>
      <c r="K142" s="364">
        <v>8387</v>
      </c>
      <c r="L142" s="365"/>
      <c r="M142" s="487"/>
      <c r="N142" s="365"/>
      <c r="O142" s="1289"/>
    </row>
    <row r="143" spans="1:22" s="366" customFormat="1" ht="31.2" x14ac:dyDescent="0.3">
      <c r="A143" s="388"/>
      <c r="B143" s="459" t="s">
        <v>887</v>
      </c>
      <c r="C143" s="512" t="s">
        <v>1144</v>
      </c>
      <c r="D143" s="489"/>
      <c r="E143" s="489"/>
      <c r="F143" s="489"/>
      <c r="G143" s="489"/>
      <c r="H143" s="489"/>
      <c r="I143" s="490" t="s">
        <v>1322</v>
      </c>
      <c r="J143" s="363" t="s">
        <v>613</v>
      </c>
      <c r="K143" s="364">
        <v>2678797.79</v>
      </c>
      <c r="L143" s="365"/>
      <c r="M143" s="487">
        <f>170122.74</f>
        <v>170122.74</v>
      </c>
      <c r="N143" s="365"/>
      <c r="O143" s="1290"/>
      <c r="Q143" s="367"/>
      <c r="R143" s="367"/>
      <c r="S143" s="367"/>
      <c r="T143" s="367"/>
      <c r="U143" s="367"/>
      <c r="V143" s="367"/>
    </row>
    <row r="144" spans="1:22" s="366" customFormat="1" ht="52.8" x14ac:dyDescent="0.35">
      <c r="A144" s="446">
        <v>13</v>
      </c>
      <c r="B144" s="447" t="s">
        <v>564</v>
      </c>
      <c r="C144" s="448"/>
      <c r="D144" s="448"/>
      <c r="E144" s="448"/>
      <c r="F144" s="448"/>
      <c r="G144" s="448"/>
      <c r="H144" s="448"/>
      <c r="I144" s="429" t="s">
        <v>1348</v>
      </c>
      <c r="J144" s="430"/>
      <c r="K144" s="548">
        <f>K145+K147+K149+K150+K151+K152+K153+K154+K155+K156+K160+K161+K162+K146+K148+K157</f>
        <v>9767934.9199999999</v>
      </c>
      <c r="L144" s="448"/>
      <c r="M144" s="548">
        <f>M145+M147+M149+M150+M151+M152+M153+M154+M155+M156+M160+M161+M162+M146+M148+M157</f>
        <v>0</v>
      </c>
      <c r="N144" s="448"/>
      <c r="O144" s="432" t="s">
        <v>1083</v>
      </c>
      <c r="Q144" s="367"/>
      <c r="R144" s="367"/>
      <c r="S144" s="367"/>
      <c r="T144" s="367"/>
      <c r="U144" s="367"/>
      <c r="V144" s="367"/>
    </row>
    <row r="145" spans="1:22" s="366" customFormat="1" ht="15.6" x14ac:dyDescent="0.3">
      <c r="A145" s="388"/>
      <c r="B145" s="459" t="s">
        <v>654</v>
      </c>
      <c r="C145" s="387" t="s">
        <v>1148</v>
      </c>
      <c r="D145" s="365"/>
      <c r="E145" s="365"/>
      <c r="F145" s="365"/>
      <c r="G145" s="365"/>
      <c r="H145" s="365"/>
      <c r="I145" s="452" t="s">
        <v>1251</v>
      </c>
      <c r="J145" s="363" t="s">
        <v>586</v>
      </c>
      <c r="K145" s="364">
        <v>300000</v>
      </c>
      <c r="L145" s="365"/>
      <c r="M145" s="361"/>
      <c r="N145" s="365"/>
      <c r="O145" s="1280" t="s">
        <v>151</v>
      </c>
      <c r="Q145" s="367"/>
      <c r="R145" s="367"/>
      <c r="S145" s="367"/>
      <c r="T145" s="367"/>
      <c r="U145" s="367"/>
      <c r="V145" s="367"/>
    </row>
    <row r="146" spans="1:22" s="366" customFormat="1" ht="15.6" hidden="1" x14ac:dyDescent="0.3">
      <c r="A146" s="388"/>
      <c r="B146" s="459" t="s">
        <v>1357</v>
      </c>
      <c r="C146" s="387" t="s">
        <v>1148</v>
      </c>
      <c r="D146" s="365"/>
      <c r="E146" s="365"/>
      <c r="F146" s="365"/>
      <c r="G146" s="365"/>
      <c r="H146" s="365"/>
      <c r="I146" s="452" t="s">
        <v>1356</v>
      </c>
      <c r="J146" s="363" t="s">
        <v>586</v>
      </c>
      <c r="K146" s="464"/>
      <c r="L146" s="365"/>
      <c r="M146" s="361"/>
      <c r="N146" s="365"/>
      <c r="O146" s="1281"/>
      <c r="Q146" s="367"/>
      <c r="R146" s="367"/>
      <c r="S146" s="367"/>
      <c r="T146" s="367"/>
      <c r="U146" s="367"/>
      <c r="V146" s="367"/>
    </row>
    <row r="147" spans="1:22" s="366" customFormat="1" ht="31.2" x14ac:dyDescent="0.3">
      <c r="A147" s="388"/>
      <c r="B147" s="459" t="s">
        <v>657</v>
      </c>
      <c r="C147" s="387" t="s">
        <v>1148</v>
      </c>
      <c r="D147" s="365"/>
      <c r="E147" s="365"/>
      <c r="F147" s="365"/>
      <c r="G147" s="365"/>
      <c r="H147" s="365"/>
      <c r="I147" s="452" t="s">
        <v>1252</v>
      </c>
      <c r="J147" s="363" t="s">
        <v>586</v>
      </c>
      <c r="K147" s="364">
        <v>59000</v>
      </c>
      <c r="L147" s="365"/>
      <c r="M147" s="361"/>
      <c r="N147" s="365"/>
      <c r="O147" s="1282"/>
      <c r="Q147" s="367"/>
      <c r="R147" s="367"/>
      <c r="S147" s="367"/>
      <c r="T147" s="367"/>
      <c r="U147" s="367"/>
      <c r="V147" s="367"/>
    </row>
    <row r="148" spans="1:22" s="366" customFormat="1" ht="31.2" hidden="1" x14ac:dyDescent="0.3">
      <c r="A148" s="388"/>
      <c r="B148" s="459" t="s">
        <v>666</v>
      </c>
      <c r="C148" s="387" t="s">
        <v>1148</v>
      </c>
      <c r="D148" s="365"/>
      <c r="E148" s="365"/>
      <c r="F148" s="365"/>
      <c r="G148" s="365"/>
      <c r="H148" s="365"/>
      <c r="I148" s="452" t="s">
        <v>1358</v>
      </c>
      <c r="J148" s="363" t="s">
        <v>586</v>
      </c>
      <c r="K148" s="464"/>
      <c r="L148" s="365"/>
      <c r="M148" s="361"/>
      <c r="N148" s="365"/>
      <c r="O148" s="1281"/>
      <c r="Q148" s="367"/>
      <c r="R148" s="367"/>
      <c r="S148" s="367"/>
      <c r="T148" s="367"/>
      <c r="U148" s="367"/>
      <c r="V148" s="367"/>
    </row>
    <row r="149" spans="1:22" s="366" customFormat="1" ht="31.2" hidden="1" x14ac:dyDescent="0.3">
      <c r="A149" s="388"/>
      <c r="B149" s="459" t="s">
        <v>660</v>
      </c>
      <c r="C149" s="387" t="s">
        <v>1148</v>
      </c>
      <c r="D149" s="365"/>
      <c r="E149" s="365"/>
      <c r="F149" s="365"/>
      <c r="G149" s="365"/>
      <c r="H149" s="365"/>
      <c r="I149" s="452" t="s">
        <v>661</v>
      </c>
      <c r="J149" s="363" t="s">
        <v>586</v>
      </c>
      <c r="K149" s="364"/>
      <c r="L149" s="365"/>
      <c r="M149" s="361"/>
      <c r="N149" s="365"/>
      <c r="O149" s="1282"/>
      <c r="Q149" s="367"/>
      <c r="R149" s="367"/>
      <c r="S149" s="367"/>
      <c r="T149" s="367"/>
      <c r="U149" s="367"/>
      <c r="V149" s="367"/>
    </row>
    <row r="150" spans="1:22" s="366" customFormat="1" ht="15.6" x14ac:dyDescent="0.3">
      <c r="A150" s="388"/>
      <c r="B150" s="459" t="s">
        <v>663</v>
      </c>
      <c r="C150" s="387" t="s">
        <v>1148</v>
      </c>
      <c r="D150" s="365"/>
      <c r="E150" s="365"/>
      <c r="F150" s="365"/>
      <c r="G150" s="365"/>
      <c r="H150" s="365"/>
      <c r="I150" s="452" t="s">
        <v>1253</v>
      </c>
      <c r="J150" s="363" t="s">
        <v>586</v>
      </c>
      <c r="K150" s="457">
        <f>360000</f>
        <v>360000</v>
      </c>
      <c r="L150" s="365"/>
      <c r="M150" s="361"/>
      <c r="N150" s="365"/>
      <c r="O150" s="1282"/>
      <c r="Q150" s="367"/>
      <c r="R150" s="367"/>
      <c r="S150" s="367"/>
      <c r="T150" s="367"/>
      <c r="U150" s="367"/>
      <c r="V150" s="367"/>
    </row>
    <row r="151" spans="1:22" s="366" customFormat="1" ht="31.2" x14ac:dyDescent="0.3">
      <c r="A151" s="388"/>
      <c r="B151" s="459" t="s">
        <v>666</v>
      </c>
      <c r="C151" s="387" t="s">
        <v>1148</v>
      </c>
      <c r="D151" s="365"/>
      <c r="E151" s="365"/>
      <c r="F151" s="365"/>
      <c r="G151" s="365"/>
      <c r="H151" s="365"/>
      <c r="I151" s="452" t="s">
        <v>1254</v>
      </c>
      <c r="J151" s="363" t="s">
        <v>528</v>
      </c>
      <c r="K151" s="457">
        <f>500000</f>
        <v>500000</v>
      </c>
      <c r="L151" s="365"/>
      <c r="M151" s="361"/>
      <c r="N151" s="365"/>
      <c r="O151" s="1282"/>
      <c r="Q151" s="367"/>
      <c r="R151" s="367"/>
      <c r="S151" s="367"/>
      <c r="T151" s="367"/>
      <c r="U151" s="367"/>
      <c r="V151" s="367"/>
    </row>
    <row r="152" spans="1:22" s="366" customFormat="1" ht="15.6" x14ac:dyDescent="0.3">
      <c r="A152" s="388"/>
      <c r="B152" s="459" t="s">
        <v>669</v>
      </c>
      <c r="C152" s="387" t="s">
        <v>1148</v>
      </c>
      <c r="D152" s="365"/>
      <c r="E152" s="365"/>
      <c r="F152" s="365"/>
      <c r="G152" s="365"/>
      <c r="H152" s="365"/>
      <c r="I152" s="452" t="s">
        <v>1255</v>
      </c>
      <c r="J152" s="363" t="s">
        <v>586</v>
      </c>
      <c r="K152" s="364">
        <v>150000</v>
      </c>
      <c r="L152" s="365"/>
      <c r="M152" s="361"/>
      <c r="N152" s="365"/>
      <c r="O152" s="1282"/>
      <c r="Q152" s="367"/>
      <c r="R152" s="367"/>
      <c r="S152" s="367"/>
      <c r="T152" s="367"/>
      <c r="U152" s="367"/>
      <c r="V152" s="367"/>
    </row>
    <row r="153" spans="1:22" s="366" customFormat="1" ht="46.8" x14ac:dyDescent="0.3">
      <c r="A153" s="388"/>
      <c r="B153" s="459" t="s">
        <v>672</v>
      </c>
      <c r="C153" s="387" t="s">
        <v>1148</v>
      </c>
      <c r="D153" s="365"/>
      <c r="E153" s="365"/>
      <c r="F153" s="365"/>
      <c r="G153" s="365"/>
      <c r="H153" s="365"/>
      <c r="I153" s="452" t="s">
        <v>1256</v>
      </c>
      <c r="J153" s="363" t="s">
        <v>586</v>
      </c>
      <c r="K153" s="364">
        <v>106000</v>
      </c>
      <c r="L153" s="365"/>
      <c r="M153" s="361"/>
      <c r="N153" s="365"/>
      <c r="O153" s="1282"/>
      <c r="Q153" s="367"/>
      <c r="R153" s="367"/>
      <c r="S153" s="367"/>
      <c r="T153" s="367"/>
      <c r="U153" s="367"/>
      <c r="V153" s="367"/>
    </row>
    <row r="154" spans="1:22" s="366" customFormat="1" ht="31.2" hidden="1" x14ac:dyDescent="0.3">
      <c r="A154" s="388"/>
      <c r="B154" s="519" t="s">
        <v>675</v>
      </c>
      <c r="C154" s="513" t="s">
        <v>1148</v>
      </c>
      <c r="D154" s="482"/>
      <c r="E154" s="482"/>
      <c r="F154" s="482"/>
      <c r="G154" s="482"/>
      <c r="H154" s="482"/>
      <c r="I154" s="480" t="s">
        <v>1257</v>
      </c>
      <c r="J154" s="363" t="s">
        <v>586</v>
      </c>
      <c r="K154" s="369"/>
      <c r="L154" s="365"/>
      <c r="M154" s="361">
        <f>183800-183800</f>
        <v>0</v>
      </c>
      <c r="N154" s="365"/>
      <c r="O154" s="1282"/>
      <c r="Q154" s="367"/>
      <c r="R154" s="367"/>
      <c r="S154" s="367"/>
      <c r="T154" s="367"/>
      <c r="U154" s="367"/>
      <c r="V154" s="367"/>
    </row>
    <row r="155" spans="1:22" s="532" customFormat="1" ht="31.2" x14ac:dyDescent="0.3">
      <c r="A155" s="572"/>
      <c r="B155" s="573" t="s">
        <v>675</v>
      </c>
      <c r="C155" s="513" t="s">
        <v>1163</v>
      </c>
      <c r="D155" s="574"/>
      <c r="E155" s="574"/>
      <c r="F155" s="574"/>
      <c r="G155" s="574"/>
      <c r="H155" s="574"/>
      <c r="I155" s="575" t="s">
        <v>1257</v>
      </c>
      <c r="J155" s="576" t="s">
        <v>586</v>
      </c>
      <c r="K155" s="577">
        <v>4966877.4000000004</v>
      </c>
      <c r="L155" s="368"/>
      <c r="M155" s="361"/>
      <c r="N155" s="368"/>
      <c r="O155" s="1282"/>
      <c r="Q155" s="578"/>
      <c r="R155" s="578"/>
      <c r="S155" s="578"/>
      <c r="T155" s="578"/>
      <c r="U155" s="578"/>
      <c r="V155" s="578"/>
    </row>
    <row r="156" spans="1:22" s="366" customFormat="1" ht="46.8" hidden="1" x14ac:dyDescent="0.3">
      <c r="A156" s="388"/>
      <c r="B156" s="459" t="s">
        <v>681</v>
      </c>
      <c r="C156" s="513" t="s">
        <v>1148</v>
      </c>
      <c r="D156" s="365"/>
      <c r="E156" s="365"/>
      <c r="F156" s="365"/>
      <c r="G156" s="365"/>
      <c r="H156" s="365"/>
      <c r="I156" s="452" t="s">
        <v>682</v>
      </c>
      <c r="J156" s="363" t="s">
        <v>586</v>
      </c>
      <c r="K156" s="364">
        <v>0</v>
      </c>
      <c r="L156" s="365"/>
      <c r="M156" s="361"/>
      <c r="N156" s="365"/>
      <c r="O156" s="1282"/>
      <c r="Q156" s="367"/>
      <c r="R156" s="367"/>
      <c r="S156" s="367"/>
      <c r="T156" s="367"/>
      <c r="U156" s="367"/>
      <c r="V156" s="367"/>
    </row>
    <row r="157" spans="1:22" s="366" customFormat="1" ht="24.75" customHeight="1" x14ac:dyDescent="0.3">
      <c r="A157" s="388"/>
      <c r="B157" s="1369" t="s">
        <v>681</v>
      </c>
      <c r="C157" s="1372" t="s">
        <v>1163</v>
      </c>
      <c r="D157" s="365"/>
      <c r="E157" s="365"/>
      <c r="F157" s="365"/>
      <c r="G157" s="365"/>
      <c r="H157" s="365"/>
      <c r="I157" s="1295" t="s">
        <v>1258</v>
      </c>
      <c r="J157" s="363"/>
      <c r="K157" s="457">
        <f>K158+K159</f>
        <v>3176057.52</v>
      </c>
      <c r="L157" s="365"/>
      <c r="M157" s="361"/>
      <c r="N157" s="365"/>
      <c r="O157" s="1281"/>
      <c r="Q157" s="367"/>
      <c r="R157" s="367"/>
      <c r="S157" s="367"/>
      <c r="T157" s="367"/>
      <c r="U157" s="367"/>
      <c r="V157" s="367"/>
    </row>
    <row r="158" spans="1:22" s="366" customFormat="1" ht="20.25" customHeight="1" x14ac:dyDescent="0.3">
      <c r="A158" s="388"/>
      <c r="B158" s="1370"/>
      <c r="C158" s="1373"/>
      <c r="D158" s="658"/>
      <c r="E158" s="658"/>
      <c r="F158" s="658"/>
      <c r="G158" s="658"/>
      <c r="H158" s="658"/>
      <c r="I158" s="1374"/>
      <c r="J158" s="363" t="s">
        <v>586</v>
      </c>
      <c r="K158" s="457">
        <v>3176057.52</v>
      </c>
      <c r="L158" s="365"/>
      <c r="M158" s="361">
        <v>0</v>
      </c>
      <c r="N158" s="365"/>
      <c r="O158" s="1283"/>
      <c r="Q158" s="367"/>
      <c r="R158" s="367"/>
      <c r="S158" s="367"/>
      <c r="T158" s="367"/>
      <c r="U158" s="367"/>
      <c r="V158" s="367"/>
    </row>
    <row r="159" spans="1:22" s="366" customFormat="1" ht="20.25" customHeight="1" x14ac:dyDescent="0.3">
      <c r="A159" s="388"/>
      <c r="B159" s="1371"/>
      <c r="C159" s="1348"/>
      <c r="D159" s="658"/>
      <c r="E159" s="658"/>
      <c r="F159" s="658"/>
      <c r="G159" s="658"/>
      <c r="H159" s="658"/>
      <c r="I159" s="1296"/>
      <c r="J159" s="363" t="s">
        <v>813</v>
      </c>
      <c r="K159" s="457"/>
      <c r="L159" s="365"/>
      <c r="M159" s="361"/>
      <c r="N159" s="365"/>
      <c r="O159" s="579"/>
      <c r="Q159" s="367"/>
      <c r="R159" s="367"/>
      <c r="S159" s="367"/>
      <c r="T159" s="367"/>
      <c r="U159" s="367"/>
      <c r="V159" s="367"/>
    </row>
    <row r="160" spans="1:22" s="366" customFormat="1" ht="15.6" x14ac:dyDescent="0.3">
      <c r="A160" s="388"/>
      <c r="B160" s="459" t="s">
        <v>852</v>
      </c>
      <c r="C160" s="387" t="s">
        <v>1105</v>
      </c>
      <c r="D160" s="365"/>
      <c r="E160" s="365"/>
      <c r="F160" s="365"/>
      <c r="G160" s="365"/>
      <c r="H160" s="365"/>
      <c r="I160" s="452" t="s">
        <v>1314</v>
      </c>
      <c r="J160" s="363" t="s">
        <v>613</v>
      </c>
      <c r="K160" s="364">
        <v>80000</v>
      </c>
      <c r="L160" s="365"/>
      <c r="M160" s="361"/>
      <c r="N160" s="365"/>
      <c r="O160" s="1280" t="s">
        <v>968</v>
      </c>
      <c r="Q160" s="367"/>
      <c r="R160" s="367"/>
      <c r="S160" s="367"/>
      <c r="T160" s="367"/>
      <c r="U160" s="367"/>
      <c r="V160" s="367"/>
    </row>
    <row r="161" spans="1:22" s="366" customFormat="1" ht="15.6" x14ac:dyDescent="0.3">
      <c r="A161" s="388"/>
      <c r="B161" s="459" t="s">
        <v>855</v>
      </c>
      <c r="C161" s="387" t="s">
        <v>1105</v>
      </c>
      <c r="D161" s="365"/>
      <c r="E161" s="365"/>
      <c r="F161" s="365"/>
      <c r="G161" s="365"/>
      <c r="H161" s="365"/>
      <c r="I161" s="452" t="s">
        <v>1315</v>
      </c>
      <c r="J161" s="363" t="s">
        <v>613</v>
      </c>
      <c r="K161" s="364">
        <v>50000</v>
      </c>
      <c r="L161" s="365"/>
      <c r="M161" s="361"/>
      <c r="N161" s="365"/>
      <c r="O161" s="1282"/>
      <c r="Q161" s="367"/>
      <c r="R161" s="367"/>
      <c r="S161" s="367"/>
      <c r="T161" s="367"/>
      <c r="U161" s="367"/>
      <c r="V161" s="367"/>
    </row>
    <row r="162" spans="1:22" s="366" customFormat="1" ht="15.6" x14ac:dyDescent="0.3">
      <c r="A162" s="388"/>
      <c r="B162" s="459" t="s">
        <v>858</v>
      </c>
      <c r="C162" s="387" t="s">
        <v>1105</v>
      </c>
      <c r="D162" s="365"/>
      <c r="E162" s="365"/>
      <c r="F162" s="365"/>
      <c r="G162" s="365"/>
      <c r="H162" s="365"/>
      <c r="I162" s="452" t="s">
        <v>1316</v>
      </c>
      <c r="J162" s="363" t="s">
        <v>613</v>
      </c>
      <c r="K162" s="364">
        <v>20000</v>
      </c>
      <c r="L162" s="365"/>
      <c r="M162" s="361"/>
      <c r="N162" s="365"/>
      <c r="O162" s="1283"/>
      <c r="Q162" s="367"/>
      <c r="R162" s="367"/>
      <c r="S162" s="367"/>
      <c r="T162" s="367"/>
      <c r="U162" s="367"/>
      <c r="V162" s="367"/>
    </row>
    <row r="163" spans="1:22" s="433" customFormat="1" ht="18" x14ac:dyDescent="0.35">
      <c r="A163" s="425">
        <v>14</v>
      </c>
      <c r="B163" s="426" t="s">
        <v>559</v>
      </c>
      <c r="C163" s="427"/>
      <c r="D163" s="428"/>
      <c r="E163" s="428"/>
      <c r="F163" s="428"/>
      <c r="G163" s="428"/>
      <c r="H163" s="428"/>
      <c r="I163" s="429" t="s">
        <v>1349</v>
      </c>
      <c r="J163" s="430"/>
      <c r="K163" s="431">
        <f>K166+K167+K169+K168+K164+K165</f>
        <v>440000</v>
      </c>
      <c r="L163" s="428"/>
      <c r="M163" s="431">
        <f>M166+M167+M169+M168+M164+M165</f>
        <v>0</v>
      </c>
      <c r="N163" s="428"/>
      <c r="O163" s="432"/>
      <c r="Q163" s="434"/>
      <c r="R163" s="434"/>
      <c r="S163" s="434"/>
      <c r="T163" s="434"/>
      <c r="U163" s="434"/>
      <c r="V163" s="434"/>
    </row>
    <row r="164" spans="1:22" s="433" customFormat="1" ht="18" x14ac:dyDescent="0.35">
      <c r="A164" s="425"/>
      <c r="B164" s="521" t="s">
        <v>709</v>
      </c>
      <c r="C164" s="513" t="s">
        <v>1101</v>
      </c>
      <c r="D164" s="365"/>
      <c r="E164" s="365"/>
      <c r="F164" s="365"/>
      <c r="G164" s="365"/>
      <c r="H164" s="365"/>
      <c r="I164" s="452" t="s">
        <v>1268</v>
      </c>
      <c r="J164" s="363" t="s">
        <v>586</v>
      </c>
      <c r="K164" s="364">
        <v>100000</v>
      </c>
      <c r="L164" s="428"/>
      <c r="M164" s="431"/>
      <c r="N164" s="428"/>
      <c r="O164" s="520"/>
      <c r="Q164" s="434"/>
      <c r="R164" s="434"/>
      <c r="S164" s="434"/>
      <c r="T164" s="434"/>
      <c r="U164" s="434"/>
      <c r="V164" s="434"/>
    </row>
    <row r="165" spans="1:22" s="433" customFormat="1" ht="18" hidden="1" x14ac:dyDescent="0.35">
      <c r="A165" s="425"/>
      <c r="B165" s="466" t="s">
        <v>712</v>
      </c>
      <c r="C165" s="641" t="s">
        <v>1101</v>
      </c>
      <c r="D165" s="365"/>
      <c r="E165" s="365"/>
      <c r="F165" s="365"/>
      <c r="G165" s="365"/>
      <c r="H165" s="365"/>
      <c r="I165" s="452" t="s">
        <v>1361</v>
      </c>
      <c r="J165" s="363" t="s">
        <v>586</v>
      </c>
      <c r="K165" s="464"/>
      <c r="L165" s="428"/>
      <c r="M165" s="431"/>
      <c r="N165" s="428"/>
      <c r="O165" s="520"/>
      <c r="Q165" s="434"/>
      <c r="R165" s="434"/>
      <c r="S165" s="434"/>
      <c r="T165" s="434"/>
      <c r="U165" s="434"/>
      <c r="V165" s="434"/>
    </row>
    <row r="166" spans="1:22" s="366" customFormat="1" ht="15.6" x14ac:dyDescent="0.3">
      <c r="A166" s="388"/>
      <c r="B166" s="534" t="s">
        <v>715</v>
      </c>
      <c r="C166" s="513" t="s">
        <v>1101</v>
      </c>
      <c r="D166" s="365"/>
      <c r="E166" s="365"/>
      <c r="F166" s="365"/>
      <c r="G166" s="365"/>
      <c r="H166" s="365"/>
      <c r="I166" s="452" t="s">
        <v>1269</v>
      </c>
      <c r="J166" s="363" t="s">
        <v>586</v>
      </c>
      <c r="K166" s="364">
        <v>200000</v>
      </c>
      <c r="L166" s="365"/>
      <c r="M166" s="365"/>
      <c r="N166" s="365"/>
      <c r="O166" s="1380" t="s">
        <v>151</v>
      </c>
      <c r="Q166" s="367"/>
      <c r="R166" s="367"/>
      <c r="S166" s="367"/>
      <c r="T166" s="367"/>
      <c r="U166" s="367"/>
      <c r="V166" s="367"/>
    </row>
    <row r="167" spans="1:22" s="366" customFormat="1" ht="15.6" x14ac:dyDescent="0.3">
      <c r="A167" s="388"/>
      <c r="B167" s="459" t="s">
        <v>718</v>
      </c>
      <c r="C167" s="513" t="s">
        <v>1101</v>
      </c>
      <c r="D167" s="365"/>
      <c r="E167" s="365"/>
      <c r="F167" s="365"/>
      <c r="G167" s="365"/>
      <c r="H167" s="365"/>
      <c r="I167" s="452" t="s">
        <v>1270</v>
      </c>
      <c r="J167" s="363" t="s">
        <v>586</v>
      </c>
      <c r="K167" s="369">
        <v>40000</v>
      </c>
      <c r="L167" s="365"/>
      <c r="M167" s="365"/>
      <c r="N167" s="365"/>
      <c r="O167" s="1381"/>
      <c r="Q167" s="367"/>
      <c r="R167" s="367"/>
      <c r="S167" s="367"/>
      <c r="T167" s="367"/>
      <c r="U167" s="367"/>
      <c r="V167" s="367"/>
    </row>
    <row r="168" spans="1:22" s="366" customFormat="1" ht="15.6" x14ac:dyDescent="0.3">
      <c r="A168" s="388"/>
      <c r="B168" s="521" t="s">
        <v>1205</v>
      </c>
      <c r="C168" s="513" t="s">
        <v>1101</v>
      </c>
      <c r="D168" s="365"/>
      <c r="E168" s="365"/>
      <c r="F168" s="365"/>
      <c r="G168" s="365"/>
      <c r="H168" s="365"/>
      <c r="I168" s="484" t="s">
        <v>1271</v>
      </c>
      <c r="J168" s="389" t="s">
        <v>586</v>
      </c>
      <c r="K168" s="485">
        <v>100000</v>
      </c>
      <c r="L168" s="365"/>
      <c r="M168" s="580"/>
      <c r="N168" s="365"/>
      <c r="O168" s="581"/>
      <c r="Q168" s="367"/>
      <c r="R168" s="367"/>
      <c r="S168" s="367"/>
      <c r="T168" s="367"/>
      <c r="U168" s="367"/>
      <c r="V168" s="367"/>
    </row>
    <row r="169" spans="1:22" s="366" customFormat="1" ht="15.6" hidden="1" x14ac:dyDescent="0.3">
      <c r="A169" s="388"/>
      <c r="B169" s="521" t="s">
        <v>1205</v>
      </c>
      <c r="C169" s="513" t="s">
        <v>1159</v>
      </c>
      <c r="D169" s="365"/>
      <c r="E169" s="365"/>
      <c r="F169" s="365"/>
      <c r="G169" s="365"/>
      <c r="H169" s="365"/>
      <c r="I169" s="389" t="s">
        <v>1206</v>
      </c>
      <c r="J169" s="389" t="s">
        <v>813</v>
      </c>
      <c r="K169" s="582"/>
      <c r="L169" s="365"/>
      <c r="M169" s="486"/>
      <c r="N169" s="365"/>
      <c r="O169" s="579" t="s">
        <v>1136</v>
      </c>
      <c r="Q169" s="367"/>
      <c r="R169" s="367"/>
      <c r="S169" s="367"/>
      <c r="T169" s="367"/>
      <c r="U169" s="367"/>
      <c r="V169" s="367"/>
    </row>
    <row r="170" spans="1:22" ht="21" x14ac:dyDescent="0.4">
      <c r="A170" s="401"/>
      <c r="B170" s="402" t="s">
        <v>1149</v>
      </c>
      <c r="C170" s="403"/>
      <c r="D170" s="401"/>
      <c r="E170" s="401"/>
      <c r="F170" s="401"/>
      <c r="G170" s="401"/>
      <c r="H170" s="401"/>
      <c r="I170" s="404"/>
      <c r="J170" s="405"/>
      <c r="K170" s="406">
        <f>K21+K34+K36+K47+K57+K64+K66+K70+K76+K82+K109+K119+K144+K163</f>
        <v>319925539.85000008</v>
      </c>
      <c r="L170" s="401"/>
      <c r="M170" s="406">
        <f>M21+M34+M36+M47+M57+M64+M66+M70+M76+M82+M109+M119+M144+M163</f>
        <v>13963804.859999998</v>
      </c>
      <c r="N170" s="400"/>
      <c r="O170" s="400"/>
    </row>
    <row r="171" spans="1:22" ht="15.6" x14ac:dyDescent="0.3">
      <c r="A171" s="146"/>
      <c r="B171" s="146"/>
      <c r="C171" s="146"/>
      <c r="D171" s="146"/>
      <c r="E171" s="146"/>
      <c r="F171" s="146"/>
      <c r="G171" s="146"/>
      <c r="H171" s="146"/>
      <c r="I171" s="358"/>
      <c r="J171" s="360"/>
      <c r="K171" s="359"/>
      <c r="L171" s="146"/>
      <c r="M171" s="146"/>
      <c r="N171" s="146"/>
      <c r="O171" s="146"/>
    </row>
    <row r="172" spans="1:22" s="375" customFormat="1" ht="31.2" x14ac:dyDescent="0.3">
      <c r="A172" s="1382">
        <v>1</v>
      </c>
      <c r="B172" s="1366" t="s">
        <v>1355</v>
      </c>
      <c r="C172" s="395" t="s">
        <v>1110</v>
      </c>
      <c r="D172" s="396"/>
      <c r="E172" s="396"/>
      <c r="F172" s="396"/>
      <c r="G172" s="396"/>
      <c r="H172" s="396"/>
      <c r="I172" s="397" t="s">
        <v>1287</v>
      </c>
      <c r="J172" s="371"/>
      <c r="K172" s="421">
        <f>K173+K174</f>
        <v>573400</v>
      </c>
      <c r="L172" s="373"/>
      <c r="M172" s="421">
        <f>M173+M174</f>
        <v>23633.33</v>
      </c>
      <c r="N172" s="373"/>
      <c r="O172" s="374" t="s">
        <v>151</v>
      </c>
      <c r="Q172" s="376"/>
      <c r="R172" s="376"/>
      <c r="S172" s="376"/>
      <c r="T172" s="376"/>
      <c r="U172" s="376"/>
      <c r="V172" s="376"/>
    </row>
    <row r="173" spans="1:22" s="375" customFormat="1" ht="15.6" x14ac:dyDescent="0.3">
      <c r="A173" s="1383"/>
      <c r="B173" s="1367"/>
      <c r="C173" s="390"/>
      <c r="D173" s="394"/>
      <c r="E173" s="394"/>
      <c r="F173" s="394"/>
      <c r="G173" s="394"/>
      <c r="H173" s="394"/>
      <c r="I173" s="391"/>
      <c r="J173" s="371" t="s">
        <v>162</v>
      </c>
      <c r="K173" s="372">
        <f>541284</f>
        <v>541284</v>
      </c>
      <c r="L173" s="378"/>
      <c r="M173" s="379">
        <f>18151.56+5481.77</f>
        <v>23633.33</v>
      </c>
      <c r="N173" s="378"/>
      <c r="O173" s="380"/>
      <c r="Q173" s="376"/>
      <c r="R173" s="376"/>
      <c r="S173" s="376"/>
      <c r="T173" s="376"/>
      <c r="U173" s="376"/>
      <c r="V173" s="376"/>
    </row>
    <row r="174" spans="1:22" s="375" customFormat="1" ht="76.5" customHeight="1" x14ac:dyDescent="0.3">
      <c r="A174" s="1384"/>
      <c r="B174" s="1368"/>
      <c r="C174" s="392"/>
      <c r="D174" s="377"/>
      <c r="E174" s="377"/>
      <c r="F174" s="377"/>
      <c r="G174" s="377"/>
      <c r="H174" s="377"/>
      <c r="I174" s="393"/>
      <c r="J174" s="371" t="s">
        <v>586</v>
      </c>
      <c r="K174" s="372">
        <v>32116</v>
      </c>
      <c r="L174" s="378"/>
      <c r="M174" s="379"/>
      <c r="N174" s="378"/>
      <c r="O174" s="380"/>
      <c r="Q174" s="376"/>
      <c r="R174" s="376"/>
      <c r="S174" s="376"/>
      <c r="T174" s="376"/>
      <c r="U174" s="376"/>
      <c r="V174" s="376"/>
    </row>
    <row r="175" spans="1:22" s="375" customFormat="1" ht="46.8" x14ac:dyDescent="0.3">
      <c r="A175" s="583">
        <v>2</v>
      </c>
      <c r="B175" s="584" t="s">
        <v>1104</v>
      </c>
      <c r="C175" s="585" t="s">
        <v>1103</v>
      </c>
      <c r="D175" s="586"/>
      <c r="E175" s="586"/>
      <c r="F175" s="586"/>
      <c r="G175" s="586"/>
      <c r="H175" s="586"/>
      <c r="I175" s="587" t="s">
        <v>1265</v>
      </c>
      <c r="J175" s="371" t="s">
        <v>528</v>
      </c>
      <c r="K175" s="421">
        <f>87107200</f>
        <v>87107200</v>
      </c>
      <c r="L175" s="588"/>
      <c r="M175" s="589"/>
      <c r="N175" s="588"/>
      <c r="O175" s="374" t="s">
        <v>151</v>
      </c>
      <c r="Q175" s="376"/>
      <c r="R175" s="376"/>
      <c r="S175" s="376"/>
      <c r="T175" s="376"/>
      <c r="U175" s="376"/>
      <c r="V175" s="376"/>
    </row>
    <row r="176" spans="1:22" s="366" customFormat="1" ht="46.8" x14ac:dyDescent="0.3">
      <c r="A176" s="583">
        <v>3</v>
      </c>
      <c r="B176" s="590" t="s">
        <v>645</v>
      </c>
      <c r="C176" s="395" t="s">
        <v>1086</v>
      </c>
      <c r="D176" s="591"/>
      <c r="E176" s="592"/>
      <c r="F176" s="592"/>
      <c r="G176" s="592"/>
      <c r="H176" s="593"/>
      <c r="I176" s="594" t="s">
        <v>1245</v>
      </c>
      <c r="J176" s="371" t="s">
        <v>586</v>
      </c>
      <c r="K176" s="421">
        <f>147000</f>
        <v>147000</v>
      </c>
      <c r="L176" s="375"/>
      <c r="M176" s="361"/>
      <c r="N176" s="373"/>
      <c r="O176" s="595" t="s">
        <v>151</v>
      </c>
      <c r="Q176" s="367"/>
      <c r="R176" s="367"/>
      <c r="S176" s="367"/>
      <c r="T176" s="367"/>
      <c r="U176" s="367"/>
      <c r="V176" s="367"/>
    </row>
    <row r="177" spans="1:22" s="375" customFormat="1" ht="31.2" x14ac:dyDescent="0.3">
      <c r="A177" s="596">
        <v>4</v>
      </c>
      <c r="B177" s="423" t="s">
        <v>893</v>
      </c>
      <c r="C177" s="395" t="s">
        <v>1090</v>
      </c>
      <c r="D177" s="597"/>
      <c r="E177" s="597"/>
      <c r="F177" s="597"/>
      <c r="G177" s="597"/>
      <c r="H177" s="597"/>
      <c r="I177" s="477" t="s">
        <v>1323</v>
      </c>
      <c r="J177" s="371" t="s">
        <v>764</v>
      </c>
      <c r="K177" s="453">
        <v>1241900</v>
      </c>
      <c r="M177" s="598"/>
      <c r="N177" s="373"/>
      <c r="O177" s="595" t="s">
        <v>1084</v>
      </c>
      <c r="P177" s="599"/>
      <c r="Q177" s="376"/>
      <c r="R177" s="376"/>
      <c r="S177" s="376"/>
      <c r="T177" s="376"/>
      <c r="U177" s="376"/>
      <c r="V177" s="376"/>
    </row>
    <row r="178" spans="1:22" s="375" customFormat="1" ht="46.8" x14ac:dyDescent="0.3">
      <c r="A178" s="596">
        <v>5</v>
      </c>
      <c r="B178" s="423" t="s">
        <v>896</v>
      </c>
      <c r="C178" s="395" t="s">
        <v>1091</v>
      </c>
      <c r="D178" s="597"/>
      <c r="E178" s="597"/>
      <c r="F178" s="597"/>
      <c r="G178" s="597"/>
      <c r="H178" s="597"/>
      <c r="I178" s="477" t="s">
        <v>1324</v>
      </c>
      <c r="J178" s="371" t="s">
        <v>764</v>
      </c>
      <c r="K178" s="453">
        <f>55100</f>
        <v>55100</v>
      </c>
      <c r="M178" s="598"/>
      <c r="N178" s="373"/>
      <c r="O178" s="595" t="s">
        <v>1084</v>
      </c>
      <c r="P178" s="599"/>
    </row>
    <row r="179" spans="1:22" s="375" customFormat="1" ht="15.6" x14ac:dyDescent="0.3">
      <c r="A179" s="1375">
        <v>6</v>
      </c>
      <c r="B179" s="1385" t="s">
        <v>873</v>
      </c>
      <c r="C179" s="585" t="s">
        <v>1090</v>
      </c>
      <c r="D179" s="597"/>
      <c r="E179" s="597"/>
      <c r="F179" s="597"/>
      <c r="G179" s="597"/>
      <c r="H179" s="597"/>
      <c r="I179" s="477" t="s">
        <v>1327</v>
      </c>
      <c r="J179" s="371"/>
      <c r="K179" s="453">
        <f>K180+K181</f>
        <v>1750200</v>
      </c>
      <c r="M179" s="453">
        <f>M180+M181</f>
        <v>70351.8</v>
      </c>
      <c r="N179" s="588"/>
      <c r="O179" s="595" t="s">
        <v>1084</v>
      </c>
      <c r="P179" s="600"/>
    </row>
    <row r="180" spans="1:22" s="375" customFormat="1" ht="15.6" x14ac:dyDescent="0.3">
      <c r="A180" s="1364"/>
      <c r="B180" s="1386"/>
      <c r="C180" s="1388"/>
      <c r="D180" s="597"/>
      <c r="E180" s="597"/>
      <c r="F180" s="597"/>
      <c r="G180" s="597"/>
      <c r="H180" s="597"/>
      <c r="I180" s="1389"/>
      <c r="J180" s="371" t="s">
        <v>162</v>
      </c>
      <c r="K180" s="457">
        <f>1635414</f>
        <v>1635414</v>
      </c>
      <c r="M180" s="601">
        <f>43749.18+352.62</f>
        <v>44101.8</v>
      </c>
      <c r="N180" s="588"/>
      <c r="O180" s="595"/>
      <c r="P180" s="600"/>
    </row>
    <row r="181" spans="1:22" s="375" customFormat="1" ht="15.6" x14ac:dyDescent="0.3">
      <c r="A181" s="1365"/>
      <c r="B181" s="1387"/>
      <c r="C181" s="1379"/>
      <c r="D181" s="597"/>
      <c r="E181" s="597"/>
      <c r="F181" s="597"/>
      <c r="G181" s="597"/>
      <c r="H181" s="597"/>
      <c r="I181" s="1390"/>
      <c r="J181" s="371" t="s">
        <v>586</v>
      </c>
      <c r="K181" s="457">
        <v>114786</v>
      </c>
      <c r="M181" s="601">
        <v>26250</v>
      </c>
      <c r="N181" s="588"/>
      <c r="O181" s="595"/>
      <c r="P181" s="600"/>
    </row>
    <row r="182" spans="1:22" s="375" customFormat="1" ht="46.8" x14ac:dyDescent="0.3">
      <c r="A182" s="596">
        <v>7</v>
      </c>
      <c r="B182" s="602" t="s">
        <v>899</v>
      </c>
      <c r="C182" s="585" t="s">
        <v>1090</v>
      </c>
      <c r="D182" s="603"/>
      <c r="E182" s="586"/>
      <c r="F182" s="586"/>
      <c r="G182" s="586"/>
      <c r="H182" s="604"/>
      <c r="I182" s="477" t="s">
        <v>1325</v>
      </c>
      <c r="J182" s="371" t="s">
        <v>764</v>
      </c>
      <c r="K182" s="453">
        <v>15024600</v>
      </c>
      <c r="M182" s="589"/>
      <c r="N182" s="588"/>
      <c r="O182" s="595" t="s">
        <v>1084</v>
      </c>
      <c r="P182" s="599"/>
    </row>
    <row r="183" spans="1:22" s="366" customFormat="1" ht="31.2" hidden="1" x14ac:dyDescent="0.3">
      <c r="A183" s="596">
        <v>8</v>
      </c>
      <c r="B183" s="605" t="s">
        <v>1032</v>
      </c>
      <c r="C183" s="395" t="s">
        <v>1111</v>
      </c>
      <c r="D183" s="592"/>
      <c r="E183" s="592"/>
      <c r="F183" s="592"/>
      <c r="G183" s="592"/>
      <c r="H183" s="592"/>
      <c r="I183" s="477" t="s">
        <v>1112</v>
      </c>
      <c r="J183" s="371" t="s">
        <v>586</v>
      </c>
      <c r="K183" s="453"/>
      <c r="M183" s="598"/>
      <c r="O183" s="595" t="s">
        <v>151</v>
      </c>
      <c r="Q183" s="367"/>
      <c r="R183" s="367"/>
      <c r="S183" s="367"/>
      <c r="T183" s="367"/>
      <c r="U183" s="367"/>
      <c r="V183" s="367"/>
    </row>
    <row r="184" spans="1:22" s="366" customFormat="1" ht="46.8" x14ac:dyDescent="0.3">
      <c r="A184" s="596">
        <v>9</v>
      </c>
      <c r="B184" s="423" t="s">
        <v>513</v>
      </c>
      <c r="C184" s="395" t="s">
        <v>1113</v>
      </c>
      <c r="D184" s="592"/>
      <c r="E184" s="592"/>
      <c r="F184" s="592"/>
      <c r="G184" s="592"/>
      <c r="H184" s="592"/>
      <c r="I184" s="477" t="s">
        <v>1291</v>
      </c>
      <c r="J184" s="371" t="s">
        <v>700</v>
      </c>
      <c r="K184" s="453">
        <v>4356000</v>
      </c>
      <c r="M184" s="598"/>
      <c r="O184" s="595" t="s">
        <v>151</v>
      </c>
      <c r="Q184" s="367"/>
      <c r="R184" s="367"/>
      <c r="S184" s="367"/>
      <c r="T184" s="367"/>
      <c r="U184" s="367"/>
      <c r="V184" s="367"/>
    </row>
    <row r="185" spans="1:22" s="366" customFormat="1" ht="31.2" hidden="1" x14ac:dyDescent="0.3">
      <c r="A185" s="645"/>
      <c r="B185" s="606" t="s">
        <v>1365</v>
      </c>
      <c r="C185" s="647" t="s">
        <v>1101</v>
      </c>
      <c r="D185" s="586"/>
      <c r="E185" s="586"/>
      <c r="F185" s="586"/>
      <c r="G185" s="586"/>
      <c r="H185" s="586"/>
      <c r="I185" s="587" t="s">
        <v>1366</v>
      </c>
      <c r="J185" s="371" t="s">
        <v>586</v>
      </c>
      <c r="K185" s="659"/>
      <c r="M185" s="598"/>
      <c r="O185" s="595"/>
      <c r="Q185" s="367"/>
      <c r="R185" s="367"/>
      <c r="S185" s="367"/>
      <c r="T185" s="367"/>
      <c r="U185" s="367"/>
      <c r="V185" s="367"/>
    </row>
    <row r="186" spans="1:22" s="366" customFormat="1" ht="62.4" x14ac:dyDescent="0.3">
      <c r="A186" s="583">
        <v>10</v>
      </c>
      <c r="B186" s="606" t="s">
        <v>514</v>
      </c>
      <c r="C186" s="585" t="s">
        <v>1113</v>
      </c>
      <c r="D186" s="586"/>
      <c r="E186" s="586"/>
      <c r="F186" s="586"/>
      <c r="G186" s="586"/>
      <c r="H186" s="586"/>
      <c r="I186" s="587" t="s">
        <v>1292</v>
      </c>
      <c r="J186" s="371" t="s">
        <v>700</v>
      </c>
      <c r="K186" s="421">
        <v>2178000</v>
      </c>
      <c r="M186" s="598"/>
      <c r="O186" s="595" t="s">
        <v>151</v>
      </c>
      <c r="Q186" s="367"/>
      <c r="R186" s="367"/>
      <c r="S186" s="367"/>
      <c r="T186" s="367"/>
      <c r="U186" s="367"/>
      <c r="V186" s="367"/>
    </row>
    <row r="187" spans="1:22" s="366" customFormat="1" ht="31.2" x14ac:dyDescent="0.3">
      <c r="A187" s="1363">
        <v>11</v>
      </c>
      <c r="B187" s="1366" t="s">
        <v>1150</v>
      </c>
      <c r="C187" s="395" t="s">
        <v>1130</v>
      </c>
      <c r="D187" s="396"/>
      <c r="E187" s="396"/>
      <c r="F187" s="396"/>
      <c r="G187" s="396"/>
      <c r="H187" s="396"/>
      <c r="I187" s="397" t="s">
        <v>1234</v>
      </c>
      <c r="J187" s="371"/>
      <c r="K187" s="422">
        <f>K188+K189</f>
        <v>584400</v>
      </c>
      <c r="L187" s="365"/>
      <c r="M187" s="422">
        <f>M188+M189</f>
        <v>33825.18</v>
      </c>
      <c r="N187" s="365"/>
      <c r="O187" s="374" t="s">
        <v>151</v>
      </c>
    </row>
    <row r="188" spans="1:22" s="366" customFormat="1" ht="15.6" x14ac:dyDescent="0.3">
      <c r="A188" s="1364"/>
      <c r="B188" s="1367"/>
      <c r="C188" s="390"/>
      <c r="D188" s="399"/>
      <c r="E188" s="399"/>
      <c r="F188" s="399"/>
      <c r="G188" s="399"/>
      <c r="H188" s="399"/>
      <c r="I188" s="391"/>
      <c r="J188" s="371" t="s">
        <v>162</v>
      </c>
      <c r="K188" s="381">
        <f>538299.94</f>
        <v>538299.93999999994</v>
      </c>
      <c r="L188" s="365"/>
      <c r="M188" s="361">
        <f>25979.4+7845.78</f>
        <v>33825.18</v>
      </c>
      <c r="N188" s="365"/>
      <c r="O188" s="380"/>
    </row>
    <row r="189" spans="1:22" s="366" customFormat="1" ht="15.6" x14ac:dyDescent="0.3">
      <c r="A189" s="1365"/>
      <c r="B189" s="1368"/>
      <c r="C189" s="392"/>
      <c r="D189" s="370"/>
      <c r="E189" s="370"/>
      <c r="F189" s="370"/>
      <c r="G189" s="370"/>
      <c r="H189" s="370"/>
      <c r="I189" s="398"/>
      <c r="J189" s="371" t="s">
        <v>586</v>
      </c>
      <c r="K189" s="381">
        <v>46100.06</v>
      </c>
      <c r="L189" s="365"/>
      <c r="M189" s="361"/>
      <c r="N189" s="365"/>
      <c r="O189" s="380"/>
    </row>
    <row r="190" spans="1:22" s="366" customFormat="1" ht="34.799999999999997" x14ac:dyDescent="0.3">
      <c r="A190" s="1375">
        <v>12</v>
      </c>
      <c r="B190" s="607" t="s">
        <v>1215</v>
      </c>
      <c r="C190" s="392"/>
      <c r="D190" s="370"/>
      <c r="E190" s="370"/>
      <c r="F190" s="370"/>
      <c r="G190" s="370"/>
      <c r="H190" s="370"/>
      <c r="I190" s="497"/>
      <c r="J190" s="371"/>
      <c r="K190" s="381"/>
      <c r="L190" s="365"/>
      <c r="M190" s="486"/>
      <c r="N190" s="365"/>
      <c r="O190" s="374"/>
    </row>
    <row r="191" spans="1:22" s="366" customFormat="1" ht="31.2" x14ac:dyDescent="0.3">
      <c r="A191" s="1376"/>
      <c r="B191" s="1377" t="s">
        <v>1216</v>
      </c>
      <c r="C191" s="395" t="s">
        <v>1141</v>
      </c>
      <c r="D191" s="592"/>
      <c r="E191" s="592"/>
      <c r="F191" s="592"/>
      <c r="G191" s="592"/>
      <c r="H191" s="592"/>
      <c r="I191" s="594" t="s">
        <v>1279</v>
      </c>
      <c r="J191" s="371"/>
      <c r="K191" s="422">
        <f>K192+K193</f>
        <v>573400</v>
      </c>
      <c r="L191" s="365"/>
      <c r="M191" s="422">
        <f>M192+M193</f>
        <v>40374.409999999996</v>
      </c>
      <c r="N191" s="365"/>
      <c r="O191" s="374" t="s">
        <v>151</v>
      </c>
    </row>
    <row r="192" spans="1:22" s="366" customFormat="1" ht="15.6" x14ac:dyDescent="0.3">
      <c r="A192" s="1376"/>
      <c r="B192" s="1377"/>
      <c r="C192" s="1378"/>
      <c r="D192" s="592"/>
      <c r="E192" s="592"/>
      <c r="F192" s="592"/>
      <c r="G192" s="592"/>
      <c r="H192" s="592"/>
      <c r="I192" s="1392"/>
      <c r="J192" s="371" t="s">
        <v>162</v>
      </c>
      <c r="K192" s="381">
        <f>539686.9</f>
        <v>539686.9</v>
      </c>
      <c r="L192" s="365"/>
      <c r="M192" s="361">
        <f>29652.04+8954.91</f>
        <v>38606.949999999997</v>
      </c>
      <c r="N192" s="365"/>
      <c r="O192" s="380"/>
    </row>
    <row r="193" spans="1:15" s="366" customFormat="1" ht="15.6" x14ac:dyDescent="0.3">
      <c r="A193" s="1376"/>
      <c r="B193" s="1377"/>
      <c r="C193" s="1379"/>
      <c r="D193" s="592"/>
      <c r="E193" s="592"/>
      <c r="F193" s="592"/>
      <c r="G193" s="592"/>
      <c r="H193" s="592"/>
      <c r="I193" s="1393"/>
      <c r="J193" s="371" t="s">
        <v>586</v>
      </c>
      <c r="K193" s="381">
        <v>33713.1</v>
      </c>
      <c r="L193" s="365"/>
      <c r="M193" s="361">
        <f>1767.46</f>
        <v>1767.46</v>
      </c>
      <c r="N193" s="365"/>
      <c r="O193" s="380"/>
    </row>
    <row r="194" spans="1:15" s="366" customFormat="1" ht="62.4" x14ac:dyDescent="0.3">
      <c r="A194" s="1376"/>
      <c r="B194" s="608" t="s">
        <v>1217</v>
      </c>
      <c r="C194" s="395" t="s">
        <v>1142</v>
      </c>
      <c r="D194" s="592"/>
      <c r="E194" s="592"/>
      <c r="F194" s="592"/>
      <c r="G194" s="592"/>
      <c r="H194" s="592"/>
      <c r="I194" s="594" t="s">
        <v>1305</v>
      </c>
      <c r="J194" s="371" t="s">
        <v>613</v>
      </c>
      <c r="K194" s="422">
        <f>43977400</f>
        <v>43977400</v>
      </c>
      <c r="L194" s="365"/>
      <c r="M194" s="598">
        <f>2619427.54+595333.96</f>
        <v>3214761.5</v>
      </c>
      <c r="N194" s="365"/>
      <c r="O194" s="1350" t="s">
        <v>968</v>
      </c>
    </row>
    <row r="195" spans="1:15" s="366" customFormat="1" ht="15.6" x14ac:dyDescent="0.3">
      <c r="A195" s="1376"/>
      <c r="B195" s="1377" t="s">
        <v>1218</v>
      </c>
      <c r="C195" s="395" t="s">
        <v>1105</v>
      </c>
      <c r="D195" s="592"/>
      <c r="E195" s="592"/>
      <c r="F195" s="592"/>
      <c r="G195" s="592"/>
      <c r="H195" s="592"/>
      <c r="I195" s="594" t="s">
        <v>1313</v>
      </c>
      <c r="J195" s="371"/>
      <c r="K195" s="422">
        <f>K196+K197</f>
        <v>155831300</v>
      </c>
      <c r="L195" s="365"/>
      <c r="M195" s="422">
        <f>M196+M197</f>
        <v>9595649.9700000007</v>
      </c>
      <c r="N195" s="365"/>
      <c r="O195" s="1394"/>
    </row>
    <row r="196" spans="1:15" s="366" customFormat="1" ht="15.6" x14ac:dyDescent="0.3">
      <c r="A196" s="1376"/>
      <c r="B196" s="1377"/>
      <c r="C196" s="1388"/>
      <c r="D196" s="592"/>
      <c r="E196" s="592"/>
      <c r="F196" s="592"/>
      <c r="G196" s="592"/>
      <c r="H196" s="592"/>
      <c r="I196" s="1395"/>
      <c r="J196" s="371" t="s">
        <v>586</v>
      </c>
      <c r="K196" s="381"/>
      <c r="L196" s="365"/>
      <c r="M196" s="361"/>
      <c r="N196" s="365"/>
      <c r="O196" s="1394"/>
    </row>
    <row r="197" spans="1:15" s="366" customFormat="1" ht="15.6" x14ac:dyDescent="0.3">
      <c r="A197" s="1376"/>
      <c r="B197" s="1377"/>
      <c r="C197" s="1379"/>
      <c r="D197" s="592"/>
      <c r="E197" s="592"/>
      <c r="F197" s="592"/>
      <c r="G197" s="592"/>
      <c r="H197" s="592"/>
      <c r="I197" s="1393"/>
      <c r="J197" s="371" t="s">
        <v>613</v>
      </c>
      <c r="K197" s="381">
        <f>155831300</f>
        <v>155831300</v>
      </c>
      <c r="L197" s="365"/>
      <c r="M197" s="361">
        <f>9004508.92+591141.05</f>
        <v>9595649.9700000007</v>
      </c>
      <c r="N197" s="365"/>
      <c r="O197" s="1394"/>
    </row>
    <row r="198" spans="1:15" s="366" customFormat="1" ht="15.6" x14ac:dyDescent="0.3">
      <c r="A198" s="1376"/>
      <c r="B198" s="1377" t="s">
        <v>1219</v>
      </c>
      <c r="C198" s="395" t="s">
        <v>1145</v>
      </c>
      <c r="D198" s="592"/>
      <c r="E198" s="592"/>
      <c r="F198" s="592"/>
      <c r="G198" s="592"/>
      <c r="H198" s="592"/>
      <c r="I198" s="594" t="s">
        <v>1326</v>
      </c>
      <c r="J198" s="371"/>
      <c r="K198" s="422">
        <f>K199+K200</f>
        <v>7075400</v>
      </c>
      <c r="L198" s="365"/>
      <c r="M198" s="422">
        <f>M199+M200</f>
        <v>0</v>
      </c>
      <c r="N198" s="365"/>
      <c r="O198" s="1394"/>
    </row>
    <row r="199" spans="1:15" s="366" customFormat="1" ht="15.6" x14ac:dyDescent="0.3">
      <c r="A199" s="1376"/>
      <c r="B199" s="1377"/>
      <c r="C199" s="1388"/>
      <c r="D199" s="592"/>
      <c r="E199" s="592"/>
      <c r="F199" s="592"/>
      <c r="G199" s="592"/>
      <c r="H199" s="592"/>
      <c r="I199" s="1395"/>
      <c r="J199" s="371" t="s">
        <v>764</v>
      </c>
      <c r="K199" s="381">
        <f>7075400</f>
        <v>7075400</v>
      </c>
      <c r="L199" s="365"/>
      <c r="M199" s="361"/>
      <c r="N199" s="365"/>
      <c r="O199" s="1394"/>
    </row>
    <row r="200" spans="1:15" s="366" customFormat="1" ht="15.6" x14ac:dyDescent="0.3">
      <c r="A200" s="1376"/>
      <c r="B200" s="1377"/>
      <c r="C200" s="1379"/>
      <c r="D200" s="592"/>
      <c r="E200" s="592"/>
      <c r="F200" s="592"/>
      <c r="G200" s="592"/>
      <c r="H200" s="592"/>
      <c r="I200" s="1393"/>
      <c r="J200" s="371" t="s">
        <v>613</v>
      </c>
      <c r="K200" s="381"/>
      <c r="L200" s="365"/>
      <c r="M200" s="361"/>
      <c r="N200" s="365"/>
      <c r="O200" s="1394"/>
    </row>
    <row r="201" spans="1:15" s="366" customFormat="1" ht="46.8" hidden="1" x14ac:dyDescent="0.3">
      <c r="A201" s="1376"/>
      <c r="B201" s="608" t="s">
        <v>1220</v>
      </c>
      <c r="C201" s="609" t="s">
        <v>1105</v>
      </c>
      <c r="D201" s="592"/>
      <c r="E201" s="592"/>
      <c r="F201" s="592"/>
      <c r="G201" s="592"/>
      <c r="H201" s="592"/>
      <c r="I201" s="610" t="s">
        <v>1189</v>
      </c>
      <c r="J201" s="371" t="s">
        <v>613</v>
      </c>
      <c r="K201" s="422"/>
      <c r="L201" s="365"/>
      <c r="M201" s="598"/>
      <c r="N201" s="365"/>
      <c r="O201" s="1394"/>
    </row>
    <row r="202" spans="1:15" s="366" customFormat="1" ht="15.6" x14ac:dyDescent="0.3">
      <c r="A202" s="1376"/>
      <c r="B202" s="1377" t="s">
        <v>1221</v>
      </c>
      <c r="C202" s="609" t="s">
        <v>1143</v>
      </c>
      <c r="D202" s="592"/>
      <c r="E202" s="592"/>
      <c r="F202" s="592"/>
      <c r="G202" s="592"/>
      <c r="H202" s="592"/>
      <c r="I202" s="610" t="s">
        <v>1319</v>
      </c>
      <c r="J202" s="371"/>
      <c r="K202" s="422">
        <f>K203+K204</f>
        <v>1361000</v>
      </c>
      <c r="L202" s="365"/>
      <c r="M202" s="422">
        <f>M203+M204</f>
        <v>0</v>
      </c>
      <c r="N202" s="365"/>
      <c r="O202" s="1394"/>
    </row>
    <row r="203" spans="1:15" s="366" customFormat="1" ht="15.6" x14ac:dyDescent="0.3">
      <c r="A203" s="1376"/>
      <c r="B203" s="1377"/>
      <c r="C203" s="609"/>
      <c r="D203" s="592"/>
      <c r="E203" s="592"/>
      <c r="F203" s="592"/>
      <c r="G203" s="592"/>
      <c r="H203" s="592"/>
      <c r="I203" s="610"/>
      <c r="J203" s="371" t="s">
        <v>764</v>
      </c>
      <c r="K203" s="381"/>
      <c r="L203" s="365"/>
      <c r="M203" s="361"/>
      <c r="N203" s="365"/>
      <c r="O203" s="1394"/>
    </row>
    <row r="204" spans="1:15" s="366" customFormat="1" ht="15.6" x14ac:dyDescent="0.3">
      <c r="A204" s="1376"/>
      <c r="B204" s="1377"/>
      <c r="C204" s="609"/>
      <c r="D204" s="592"/>
      <c r="E204" s="592"/>
      <c r="F204" s="592"/>
      <c r="G204" s="592"/>
      <c r="H204" s="592"/>
      <c r="I204" s="610"/>
      <c r="J204" s="371" t="s">
        <v>613</v>
      </c>
      <c r="K204" s="381">
        <f>1361000</f>
        <v>1361000</v>
      </c>
      <c r="L204" s="365"/>
      <c r="M204" s="361"/>
      <c r="N204" s="365"/>
      <c r="O204" s="1394"/>
    </row>
    <row r="205" spans="1:15" s="366" customFormat="1" ht="15.6" hidden="1" x14ac:dyDescent="0.3">
      <c r="A205" s="1376"/>
      <c r="B205" s="608" t="s">
        <v>1222</v>
      </c>
      <c r="C205" s="550" t="s">
        <v>1190</v>
      </c>
      <c r="D205" s="592"/>
      <c r="E205" s="592"/>
      <c r="F205" s="592"/>
      <c r="G205" s="592"/>
      <c r="H205" s="592"/>
      <c r="I205" s="611" t="s">
        <v>1191</v>
      </c>
      <c r="J205" s="397" t="s">
        <v>613</v>
      </c>
      <c r="K205" s="612"/>
      <c r="L205" s="365"/>
      <c r="M205" s="613"/>
      <c r="N205" s="365"/>
      <c r="O205" s="1394"/>
    </row>
    <row r="206" spans="1:15" s="366" customFormat="1" ht="46.8" hidden="1" x14ac:dyDescent="0.3">
      <c r="A206" s="1376"/>
      <c r="B206" s="608" t="s">
        <v>1223</v>
      </c>
      <c r="C206" s="550" t="s">
        <v>1142</v>
      </c>
      <c r="D206" s="592"/>
      <c r="E206" s="592"/>
      <c r="F206" s="592"/>
      <c r="G206" s="592"/>
      <c r="H206" s="592"/>
      <c r="I206" s="611" t="s">
        <v>1192</v>
      </c>
      <c r="J206" s="397" t="s">
        <v>613</v>
      </c>
      <c r="K206" s="612"/>
      <c r="L206" s="365"/>
      <c r="M206" s="486"/>
      <c r="N206" s="365"/>
      <c r="O206" s="1394"/>
    </row>
    <row r="207" spans="1:15" s="366" customFormat="1" ht="46.8" hidden="1" x14ac:dyDescent="0.3">
      <c r="A207" s="1376"/>
      <c r="B207" s="608" t="s">
        <v>1224</v>
      </c>
      <c r="C207" s="550" t="s">
        <v>1105</v>
      </c>
      <c r="D207" s="592"/>
      <c r="E207" s="592"/>
      <c r="F207" s="592"/>
      <c r="G207" s="592"/>
      <c r="H207" s="592"/>
      <c r="I207" s="611" t="s">
        <v>1193</v>
      </c>
      <c r="J207" s="397" t="s">
        <v>613</v>
      </c>
      <c r="K207" s="612"/>
      <c r="L207" s="365"/>
      <c r="M207" s="613"/>
      <c r="N207" s="365"/>
      <c r="O207" s="1352"/>
    </row>
    <row r="208" spans="1:15" s="366" customFormat="1" ht="17.399999999999999" x14ac:dyDescent="0.3">
      <c r="A208" s="1365"/>
      <c r="B208" s="614" t="s">
        <v>483</v>
      </c>
      <c r="C208" s="615"/>
      <c r="D208" s="616"/>
      <c r="E208" s="616"/>
      <c r="F208" s="616"/>
      <c r="G208" s="616"/>
      <c r="H208" s="616"/>
      <c r="I208" s="617"/>
      <c r="J208" s="371"/>
      <c r="K208" s="422">
        <f>K191+K194+K195+K198+K201+K202+K205+K206+K207</f>
        <v>208818500</v>
      </c>
      <c r="L208" s="618"/>
      <c r="M208" s="422">
        <f>M191+M194+M195+M198+M201+M202+M205+M206+M207</f>
        <v>12850785.880000001</v>
      </c>
      <c r="N208" s="365"/>
      <c r="O208" s="619"/>
    </row>
    <row r="209" spans="1:22" s="366" customFormat="1" ht="36" hidden="1" x14ac:dyDescent="0.35">
      <c r="A209" s="499">
        <v>13</v>
      </c>
      <c r="B209" s="620" t="s">
        <v>1164</v>
      </c>
      <c r="C209" s="395" t="s">
        <v>1109</v>
      </c>
      <c r="D209" s="592"/>
      <c r="E209" s="592"/>
      <c r="F209" s="592"/>
      <c r="G209" s="592"/>
      <c r="H209" s="592"/>
      <c r="I209" s="611"/>
      <c r="J209" s="397"/>
      <c r="K209" s="612">
        <f>K210+K211+K212</f>
        <v>0</v>
      </c>
      <c r="L209" s="618"/>
      <c r="M209" s="612"/>
      <c r="N209" s="365"/>
      <c r="O209" s="432" t="s">
        <v>151</v>
      </c>
    </row>
    <row r="210" spans="1:22" s="366" customFormat="1" ht="46.8" hidden="1" x14ac:dyDescent="0.3">
      <c r="A210" s="499">
        <v>14</v>
      </c>
      <c r="B210" s="621" t="s">
        <v>1165</v>
      </c>
      <c r="C210" s="395" t="s">
        <v>1109</v>
      </c>
      <c r="D210" s="592"/>
      <c r="E210" s="592"/>
      <c r="F210" s="592"/>
      <c r="G210" s="592"/>
      <c r="H210" s="592"/>
      <c r="I210" s="611" t="s">
        <v>1166</v>
      </c>
      <c r="J210" s="397" t="s">
        <v>700</v>
      </c>
      <c r="K210" s="612"/>
      <c r="L210" s="618"/>
      <c r="M210" s="622"/>
      <c r="N210" s="365"/>
      <c r="O210" s="619"/>
    </row>
    <row r="211" spans="1:22" s="366" customFormat="1" ht="31.2" hidden="1" x14ac:dyDescent="0.3">
      <c r="A211" s="499">
        <v>15</v>
      </c>
      <c r="B211" s="466" t="s">
        <v>1176</v>
      </c>
      <c r="C211" s="451" t="s">
        <v>1109</v>
      </c>
      <c r="I211" s="531" t="s">
        <v>1177</v>
      </c>
      <c r="J211" s="397" t="s">
        <v>700</v>
      </c>
      <c r="K211" s="612"/>
      <c r="L211" s="618"/>
      <c r="M211" s="622"/>
      <c r="N211" s="365"/>
      <c r="O211" s="619"/>
    </row>
    <row r="212" spans="1:22" s="366" customFormat="1" ht="15.6" hidden="1" x14ac:dyDescent="0.3">
      <c r="A212" s="499">
        <v>16</v>
      </c>
      <c r="B212" s="521" t="s">
        <v>1207</v>
      </c>
      <c r="C212" s="451" t="s">
        <v>1111</v>
      </c>
      <c r="I212" s="531" t="s">
        <v>1208</v>
      </c>
      <c r="J212" s="397" t="s">
        <v>764</v>
      </c>
      <c r="K212" s="612"/>
      <c r="L212" s="618"/>
      <c r="M212" s="612"/>
      <c r="N212" s="365"/>
      <c r="O212" s="619"/>
    </row>
    <row r="213" spans="1:22" s="366" customFormat="1" ht="16.5" hidden="1" customHeight="1" x14ac:dyDescent="0.35">
      <c r="A213" s="499">
        <v>17</v>
      </c>
      <c r="B213" s="623" t="s">
        <v>322</v>
      </c>
      <c r="C213" s="451" t="s">
        <v>1159</v>
      </c>
      <c r="I213" s="531" t="s">
        <v>1178</v>
      </c>
      <c r="J213" s="397" t="s">
        <v>813</v>
      </c>
      <c r="K213" s="612"/>
      <c r="L213" s="618"/>
      <c r="M213" s="612"/>
      <c r="N213" s="365"/>
      <c r="O213" s="448" t="s">
        <v>1179</v>
      </c>
    </row>
    <row r="214" spans="1:22" s="366" customFormat="1" ht="46.5" hidden="1" customHeight="1" x14ac:dyDescent="0.3">
      <c r="A214" s="499">
        <v>18</v>
      </c>
      <c r="B214" s="466" t="s">
        <v>1199</v>
      </c>
      <c r="C214" s="451" t="s">
        <v>1103</v>
      </c>
      <c r="I214" s="531" t="s">
        <v>1200</v>
      </c>
      <c r="J214" s="397" t="s">
        <v>586</v>
      </c>
      <c r="K214" s="612"/>
      <c r="L214" s="618"/>
      <c r="M214" s="612"/>
      <c r="N214" s="365"/>
      <c r="O214" s="432" t="s">
        <v>151</v>
      </c>
    </row>
    <row r="215" spans="1:22" s="474" customFormat="1" ht="46.5" customHeight="1" x14ac:dyDescent="0.3">
      <c r="A215" s="624">
        <v>19</v>
      </c>
      <c r="B215" s="423" t="s">
        <v>601</v>
      </c>
      <c r="C215" s="550" t="s">
        <v>1227</v>
      </c>
      <c r="I215" s="611" t="s">
        <v>1228</v>
      </c>
      <c r="J215" s="397" t="s">
        <v>586</v>
      </c>
      <c r="K215" s="612">
        <f>24200</f>
        <v>24200</v>
      </c>
      <c r="L215" s="625"/>
      <c r="M215" s="612"/>
      <c r="N215" s="476"/>
      <c r="O215" s="432"/>
    </row>
    <row r="216" spans="1:22" ht="21" x14ac:dyDescent="0.4">
      <c r="A216" s="410"/>
      <c r="B216" s="402" t="s">
        <v>1151</v>
      </c>
      <c r="C216" s="411"/>
      <c r="D216" s="411"/>
      <c r="E216" s="411"/>
      <c r="F216" s="411"/>
      <c r="G216" s="411"/>
      <c r="H216" s="411"/>
      <c r="I216" s="412"/>
      <c r="J216" s="413"/>
      <c r="K216" s="407">
        <f>K172+K175+K176+K177+K178+K179+K182+K183+K184+K186+K187+K208+K209+K211+K213+K214+K215+K185</f>
        <v>321860500</v>
      </c>
      <c r="L216" s="408"/>
      <c r="M216" s="407">
        <f>M172+M175+M176+M177+M178+M179+M182+M183+M184+M186+M187+M208+M209+M211+M213+M214+M215+M185</f>
        <v>12978596.190000001</v>
      </c>
      <c r="N216" s="354"/>
      <c r="O216" s="354"/>
      <c r="Q216"/>
      <c r="R216"/>
      <c r="S216"/>
      <c r="T216"/>
      <c r="U216"/>
      <c r="V216"/>
    </row>
    <row r="217" spans="1:22" ht="32.4" hidden="1" x14ac:dyDescent="0.4">
      <c r="A217" s="444">
        <v>1</v>
      </c>
      <c r="B217" s="441" t="s">
        <v>1213</v>
      </c>
      <c r="C217" s="411"/>
      <c r="D217" s="439"/>
      <c r="E217" s="439"/>
      <c r="F217" s="439"/>
      <c r="G217" s="439"/>
      <c r="H217" s="439"/>
      <c r="I217" s="412"/>
      <c r="J217" s="413"/>
      <c r="K217" s="442">
        <f>K218</f>
        <v>0</v>
      </c>
      <c r="L217" s="408"/>
      <c r="M217" s="442">
        <f>M218</f>
        <v>0</v>
      </c>
      <c r="N217" s="354"/>
      <c r="O217" s="354"/>
      <c r="Q217"/>
      <c r="R217"/>
      <c r="S217"/>
      <c r="T217"/>
      <c r="U217"/>
      <c r="V217"/>
    </row>
    <row r="218" spans="1:22" ht="18.75" hidden="1" customHeight="1" x14ac:dyDescent="0.4">
      <c r="A218" s="444"/>
      <c r="B218" s="348" t="s">
        <v>1214</v>
      </c>
      <c r="C218" s="351" t="s">
        <v>1111</v>
      </c>
      <c r="I218" s="357" t="s">
        <v>1209</v>
      </c>
      <c r="J218" s="415" t="s">
        <v>764</v>
      </c>
      <c r="K218" s="443"/>
      <c r="L218" s="408"/>
      <c r="M218" s="443"/>
      <c r="N218" s="354"/>
      <c r="O218" s="342" t="s">
        <v>151</v>
      </c>
      <c r="Q218"/>
      <c r="R218"/>
      <c r="S218"/>
      <c r="T218"/>
      <c r="U218"/>
      <c r="V218"/>
    </row>
    <row r="219" spans="1:22" ht="63.6" hidden="1" x14ac:dyDescent="0.4">
      <c r="A219" s="444">
        <v>2</v>
      </c>
      <c r="B219" s="115" t="s">
        <v>1210</v>
      </c>
      <c r="C219" s="351" t="s">
        <v>1105</v>
      </c>
      <c r="I219" s="357" t="s">
        <v>1211</v>
      </c>
      <c r="J219" s="415" t="s">
        <v>613</v>
      </c>
      <c r="K219" s="440"/>
      <c r="L219" s="408"/>
      <c r="M219" s="440"/>
      <c r="N219" s="354"/>
      <c r="O219" s="342" t="s">
        <v>1152</v>
      </c>
      <c r="Q219"/>
      <c r="R219"/>
      <c r="S219"/>
      <c r="T219"/>
      <c r="U219"/>
      <c r="V219"/>
    </row>
    <row r="220" spans="1:22" ht="32.25" customHeight="1" x14ac:dyDescent="0.4">
      <c r="A220" s="410"/>
      <c r="B220" s="402" t="s">
        <v>1212</v>
      </c>
      <c r="C220" s="411"/>
      <c r="D220" s="411"/>
      <c r="E220" s="411"/>
      <c r="F220" s="411"/>
      <c r="G220" s="411"/>
      <c r="H220" s="411"/>
      <c r="I220" s="413"/>
      <c r="J220" s="413"/>
      <c r="K220" s="409">
        <f>K217+K219</f>
        <v>0</v>
      </c>
      <c r="L220" s="408"/>
      <c r="M220" s="409">
        <f>M217+M219</f>
        <v>0</v>
      </c>
      <c r="N220" s="354"/>
      <c r="O220" s="354"/>
      <c r="Q220"/>
      <c r="R220"/>
      <c r="S220"/>
      <c r="T220"/>
      <c r="U220"/>
      <c r="V220"/>
    </row>
    <row r="223" spans="1:22" ht="18" x14ac:dyDescent="0.35">
      <c r="A223" s="331" t="s">
        <v>1154</v>
      </c>
      <c r="B223" s="331"/>
      <c r="C223" s="331"/>
      <c r="D223" s="331"/>
      <c r="E223" s="331"/>
      <c r="F223" s="331"/>
      <c r="G223" s="331"/>
      <c r="H223" s="331"/>
      <c r="I223" s="355"/>
      <c r="J223" s="355"/>
      <c r="K223" s="355"/>
      <c r="L223" s="355"/>
      <c r="M223" s="331"/>
      <c r="N223" s="331"/>
      <c r="O223" s="331"/>
      <c r="Q223"/>
      <c r="R223"/>
      <c r="S223"/>
      <c r="T223"/>
      <c r="U223"/>
      <c r="V223"/>
    </row>
    <row r="224" spans="1:22" ht="18" x14ac:dyDescent="0.35">
      <c r="A224" s="331" t="s">
        <v>1155</v>
      </c>
      <c r="B224" s="331"/>
      <c r="C224" s="331"/>
      <c r="D224" s="331"/>
      <c r="E224" s="331"/>
      <c r="F224" s="331"/>
      <c r="G224" s="331"/>
      <c r="H224" s="331"/>
      <c r="I224" s="355"/>
      <c r="J224" s="355"/>
      <c r="K224" s="355"/>
      <c r="L224" s="355"/>
      <c r="M224" s="331"/>
      <c r="N224" s="1391" t="s">
        <v>958</v>
      </c>
      <c r="O224" s="1391"/>
      <c r="Q224"/>
      <c r="R224"/>
      <c r="S224"/>
      <c r="T224"/>
      <c r="U224"/>
      <c r="V224"/>
    </row>
    <row r="225" spans="1:22" ht="18" x14ac:dyDescent="0.35">
      <c r="A225" s="331"/>
      <c r="B225" s="331"/>
      <c r="C225" s="331"/>
      <c r="D225" s="331"/>
      <c r="E225" s="331"/>
      <c r="F225" s="331"/>
      <c r="G225" s="331"/>
      <c r="H225" s="331"/>
      <c r="I225" s="355"/>
      <c r="J225" s="355"/>
      <c r="K225" s="355"/>
      <c r="L225" s="355"/>
      <c r="M225" s="331"/>
      <c r="N225" s="331"/>
      <c r="O225" s="331"/>
      <c r="Q225"/>
      <c r="R225"/>
      <c r="S225"/>
      <c r="T225"/>
      <c r="U225"/>
      <c r="V225"/>
    </row>
    <row r="226" spans="1:22" ht="18" x14ac:dyDescent="0.35">
      <c r="A226" s="331" t="s">
        <v>1156</v>
      </c>
      <c r="B226" s="331" t="s">
        <v>1157</v>
      </c>
      <c r="C226" s="331"/>
      <c r="D226" s="331"/>
      <c r="E226" s="331"/>
      <c r="F226" s="331"/>
      <c r="G226" s="331"/>
      <c r="H226" s="331"/>
      <c r="I226" s="355"/>
      <c r="J226" s="355"/>
      <c r="K226" s="355"/>
      <c r="L226" s="355"/>
      <c r="M226" s="331"/>
      <c r="N226" s="331"/>
      <c r="O226" s="331"/>
      <c r="Q226"/>
      <c r="R226"/>
      <c r="S226"/>
      <c r="T226"/>
      <c r="U226"/>
      <c r="V226"/>
    </row>
    <row r="227" spans="1:22" ht="18" x14ac:dyDescent="0.35">
      <c r="A227" s="331"/>
      <c r="B227" s="331" t="s">
        <v>960</v>
      </c>
      <c r="C227" s="331"/>
      <c r="D227" s="331"/>
      <c r="E227" s="331"/>
      <c r="F227" s="331"/>
      <c r="G227" s="331"/>
      <c r="H227" s="331"/>
      <c r="I227" s="355"/>
      <c r="J227" s="355"/>
      <c r="K227" s="355"/>
      <c r="L227" s="355"/>
      <c r="M227" s="331"/>
      <c r="N227" s="331"/>
      <c r="O227" s="331"/>
      <c r="Q227"/>
      <c r="R227"/>
      <c r="S227"/>
      <c r="T227"/>
      <c r="U227"/>
      <c r="V227"/>
    </row>
    <row r="229" spans="1:22" ht="15.6" x14ac:dyDescent="0.3">
      <c r="A229" s="420"/>
      <c r="B229" s="414"/>
      <c r="C229" s="417"/>
      <c r="D229" s="336"/>
      <c r="E229" s="336"/>
      <c r="F229" s="336"/>
      <c r="G229" s="336"/>
      <c r="H229" s="336"/>
      <c r="I229" s="418"/>
      <c r="J229" s="418"/>
      <c r="K229" s="336"/>
      <c r="Q229"/>
      <c r="R229"/>
      <c r="S229"/>
      <c r="T229"/>
      <c r="U229"/>
      <c r="V229"/>
    </row>
    <row r="232" spans="1:22" ht="15.6" x14ac:dyDescent="0.3">
      <c r="B232" s="414"/>
      <c r="C232" s="417"/>
      <c r="D232" s="336"/>
      <c r="E232" s="336"/>
      <c r="F232" s="336"/>
      <c r="G232" s="336"/>
      <c r="H232" s="336"/>
      <c r="I232" s="418"/>
      <c r="J232" s="418"/>
      <c r="K232" s="419"/>
      <c r="L232" s="336"/>
      <c r="M232" s="336"/>
      <c r="Q232"/>
      <c r="R232"/>
      <c r="S232"/>
      <c r="T232"/>
      <c r="U232"/>
      <c r="V232"/>
    </row>
    <row r="233" spans="1:22" x14ac:dyDescent="0.3">
      <c r="B233" s="336"/>
      <c r="C233" s="336"/>
      <c r="D233" s="336"/>
      <c r="E233" s="336"/>
      <c r="F233" s="336"/>
      <c r="G233" s="336"/>
      <c r="H233" s="336"/>
      <c r="I233" s="336"/>
      <c r="J233" s="336"/>
      <c r="K233" s="336"/>
      <c r="L233" s="336"/>
      <c r="M233" s="336"/>
      <c r="Q233"/>
      <c r="R233"/>
      <c r="S233"/>
      <c r="T233"/>
      <c r="U233"/>
      <c r="V233"/>
    </row>
  </sheetData>
  <mergeCells count="105">
    <mergeCell ref="N224:O224"/>
    <mergeCell ref="I192:I193"/>
    <mergeCell ref="O194:O207"/>
    <mergeCell ref="B195:B197"/>
    <mergeCell ref="C196:C197"/>
    <mergeCell ref="I196:I197"/>
    <mergeCell ref="B198:B200"/>
    <mergeCell ref="C199:C200"/>
    <mergeCell ref="I199:I200"/>
    <mergeCell ref="B202:B204"/>
    <mergeCell ref="A190:A208"/>
    <mergeCell ref="B191:B193"/>
    <mergeCell ref="C192:C193"/>
    <mergeCell ref="O166:O167"/>
    <mergeCell ref="A172:A174"/>
    <mergeCell ref="B172:B174"/>
    <mergeCell ref="A179:A181"/>
    <mergeCell ref="B179:B181"/>
    <mergeCell ref="C180:C181"/>
    <mergeCell ref="I180:I181"/>
    <mergeCell ref="C131:C132"/>
    <mergeCell ref="I131:I132"/>
    <mergeCell ref="A135:A138"/>
    <mergeCell ref="B135:B138"/>
    <mergeCell ref="C136:C138"/>
    <mergeCell ref="I136:I138"/>
    <mergeCell ref="A98:A101"/>
    <mergeCell ref="B98:B101"/>
    <mergeCell ref="A187:A189"/>
    <mergeCell ref="B187:B189"/>
    <mergeCell ref="B157:B159"/>
    <mergeCell ref="C157:C159"/>
    <mergeCell ref="I157:I159"/>
    <mergeCell ref="M2:O2"/>
    <mergeCell ref="M3:O3"/>
    <mergeCell ref="B22:B23"/>
    <mergeCell ref="C22:C23"/>
    <mergeCell ref="I22:I23"/>
    <mergeCell ref="O22:O29"/>
    <mergeCell ref="A139:A142"/>
    <mergeCell ref="B139:B142"/>
    <mergeCell ref="C140:C142"/>
    <mergeCell ref="I140:I142"/>
    <mergeCell ref="A83:A86"/>
    <mergeCell ref="B83:B86"/>
    <mergeCell ref="B89:B90"/>
    <mergeCell ref="C89:C90"/>
    <mergeCell ref="I89:I90"/>
    <mergeCell ref="A91:A94"/>
    <mergeCell ref="O77:O80"/>
    <mergeCell ref="O83:O89"/>
    <mergeCell ref="O120:O122"/>
    <mergeCell ref="O124:O143"/>
    <mergeCell ref="A2:B2"/>
    <mergeCell ref="A3:B3"/>
    <mergeCell ref="A4:B4"/>
    <mergeCell ref="A5:B5"/>
    <mergeCell ref="O160:O162"/>
    <mergeCell ref="A7:B7"/>
    <mergeCell ref="A8:B8"/>
    <mergeCell ref="I8:O8"/>
    <mergeCell ref="O17:P17"/>
    <mergeCell ref="O18:O20"/>
    <mergeCell ref="P18:P20"/>
    <mergeCell ref="A17:A20"/>
    <mergeCell ref="J17:J20"/>
    <mergeCell ref="A14:O14"/>
    <mergeCell ref="A9:B9"/>
    <mergeCell ref="I9:O9"/>
    <mergeCell ref="A10:B10"/>
    <mergeCell ref="I10:O10"/>
    <mergeCell ref="A11:B11"/>
    <mergeCell ref="I11:O11"/>
    <mergeCell ref="A12:B12"/>
    <mergeCell ref="O43:O46"/>
    <mergeCell ref="O49:O54"/>
    <mergeCell ref="O61:O63"/>
    <mergeCell ref="O67:O68"/>
    <mergeCell ref="O71:O73"/>
    <mergeCell ref="A29:A30"/>
    <mergeCell ref="B29:B30"/>
    <mergeCell ref="A6:B6"/>
    <mergeCell ref="B17:B20"/>
    <mergeCell ref="K17:K20"/>
    <mergeCell ref="L17:L19"/>
    <mergeCell ref="M17:M20"/>
    <mergeCell ref="N17:N19"/>
    <mergeCell ref="C17:C20"/>
    <mergeCell ref="I17:I20"/>
    <mergeCell ref="O145:O158"/>
    <mergeCell ref="I29:I30"/>
    <mergeCell ref="O31:O32"/>
    <mergeCell ref="O37:O40"/>
    <mergeCell ref="O98:O107"/>
    <mergeCell ref="O110:O113"/>
    <mergeCell ref="O114:O115"/>
    <mergeCell ref="B115:B116"/>
    <mergeCell ref="I115:I116"/>
    <mergeCell ref="B91:B94"/>
    <mergeCell ref="O91:O95"/>
    <mergeCell ref="B95:B97"/>
    <mergeCell ref="C96:C97"/>
    <mergeCell ref="I96:I97"/>
    <mergeCell ref="A131:A132"/>
    <mergeCell ref="B131:B132"/>
  </mergeCells>
  <hyperlinks>
    <hyperlink ref="A8" r:id="rId1" display="mailto:rfo-skv@mail.ru"/>
  </hyperlinks>
  <pageMargins left="0.70866141732283472" right="0.70866141732283472" top="0.74803149606299213" bottom="0.74803149606299213" header="0.31496062992125984" footer="0.31496062992125984"/>
  <pageSetup paperSize="9" scale="58" fitToHeight="0" orientation="landscape"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4"/>
  <sheetViews>
    <sheetView topLeftCell="B2" zoomScaleNormal="100" zoomScaleSheetLayoutView="83" workbookViewId="0">
      <selection activeCell="I172" sqref="I172"/>
    </sheetView>
  </sheetViews>
  <sheetFormatPr defaultRowHeight="14.4" x14ac:dyDescent="0.3"/>
  <cols>
    <col min="1" max="1" width="8.6640625" customWidth="1"/>
    <col min="2" max="2" width="75.6640625" customWidth="1"/>
    <col min="3" max="3" width="21" customWidth="1"/>
    <col min="4" max="7" width="9.109375" hidden="1" customWidth="1"/>
    <col min="8" max="8" width="5.44140625" hidden="1" customWidth="1"/>
    <col min="9" max="9" width="19.109375" customWidth="1"/>
    <col min="10" max="10" width="12" customWidth="1"/>
    <col min="11" max="11" width="23.5546875" style="366" customWidth="1"/>
    <col min="12" max="12" width="0.33203125" hidden="1" customWidth="1"/>
    <col min="13" max="13" width="26.88671875" customWidth="1"/>
    <col min="14" max="14" width="3" hidden="1" customWidth="1"/>
    <col min="15" max="15" width="37.109375" customWidth="1"/>
    <col min="16" max="16" width="25" hidden="1" customWidth="1"/>
  </cols>
  <sheetData>
    <row r="1" spans="1:15" ht="18" hidden="1" x14ac:dyDescent="0.35">
      <c r="A1" s="331"/>
      <c r="B1" s="626"/>
      <c r="C1" s="330"/>
      <c r="D1" s="330"/>
      <c r="E1" s="633"/>
      <c r="F1" s="331"/>
      <c r="G1" s="331"/>
      <c r="H1" s="331"/>
      <c r="I1" s="352"/>
      <c r="J1" s="352"/>
      <c r="K1" s="666"/>
      <c r="L1" s="352"/>
      <c r="M1" s="352"/>
      <c r="N1" s="352"/>
      <c r="O1" s="353"/>
    </row>
    <row r="2" spans="1:15" ht="18" x14ac:dyDescent="0.35">
      <c r="A2" s="1268" t="s">
        <v>1117</v>
      </c>
      <c r="B2" s="1268"/>
      <c r="C2" s="330"/>
      <c r="D2" s="330"/>
      <c r="E2" s="633"/>
      <c r="F2" s="331"/>
      <c r="G2" s="331"/>
      <c r="H2" s="331"/>
      <c r="I2" s="352"/>
      <c r="J2" s="352"/>
      <c r="K2" s="666"/>
      <c r="L2" s="352" t="s">
        <v>1118</v>
      </c>
      <c r="M2" s="1330" t="s">
        <v>151</v>
      </c>
      <c r="N2" s="1330"/>
      <c r="O2" s="1330"/>
    </row>
    <row r="3" spans="1:15" ht="18" x14ac:dyDescent="0.35">
      <c r="A3" s="1268" t="s">
        <v>1119</v>
      </c>
      <c r="B3" s="1268"/>
      <c r="C3" s="330"/>
      <c r="D3" s="330"/>
      <c r="E3" s="633"/>
      <c r="F3" s="331"/>
      <c r="G3" s="331"/>
      <c r="H3" s="331"/>
      <c r="I3" s="352"/>
      <c r="J3" s="352"/>
      <c r="K3" s="666"/>
      <c r="L3" s="352" t="s">
        <v>1120</v>
      </c>
      <c r="M3" s="1330" t="s">
        <v>1202</v>
      </c>
      <c r="N3" s="1330"/>
      <c r="O3" s="1330"/>
    </row>
    <row r="4" spans="1:15" ht="18" x14ac:dyDescent="0.35">
      <c r="A4" s="1353" t="s">
        <v>1121</v>
      </c>
      <c r="B4" s="1353"/>
      <c r="C4" s="330"/>
      <c r="D4" s="330"/>
      <c r="E4" s="633"/>
      <c r="F4" s="331"/>
      <c r="G4" s="331"/>
      <c r="H4" s="331"/>
      <c r="I4" s="352"/>
      <c r="J4" s="352"/>
      <c r="K4" s="666"/>
      <c r="L4" s="352"/>
      <c r="M4" s="352"/>
      <c r="N4" s="352"/>
      <c r="O4" s="353"/>
    </row>
    <row r="5" spans="1:15" ht="18" x14ac:dyDescent="0.35">
      <c r="A5" s="1353" t="s">
        <v>1122</v>
      </c>
      <c r="B5" s="1353"/>
      <c r="C5" s="330"/>
      <c r="D5" s="330"/>
      <c r="E5" s="633"/>
      <c r="F5" s="331"/>
      <c r="G5" s="331"/>
      <c r="H5" s="331"/>
      <c r="I5" s="352"/>
      <c r="J5" s="352"/>
      <c r="K5" s="666"/>
      <c r="L5" s="352"/>
      <c r="M5" s="352"/>
      <c r="N5" s="352"/>
      <c r="O5" s="353"/>
    </row>
    <row r="6" spans="1:15" ht="21.75" customHeight="1" x14ac:dyDescent="0.35">
      <c r="A6" s="1268" t="s">
        <v>1123</v>
      </c>
      <c r="B6" s="1268"/>
      <c r="C6" s="330"/>
      <c r="D6" s="330"/>
      <c r="E6" s="633"/>
      <c r="F6" s="331"/>
      <c r="G6" s="331"/>
      <c r="H6" s="331"/>
      <c r="I6" s="352"/>
      <c r="J6" s="352"/>
      <c r="K6" s="666"/>
      <c r="L6" s="352"/>
      <c r="M6" s="352"/>
      <c r="N6" s="352"/>
      <c r="O6" s="353"/>
    </row>
    <row r="7" spans="1:15" ht="23.25" customHeight="1" x14ac:dyDescent="0.35">
      <c r="A7" s="1268" t="s">
        <v>1124</v>
      </c>
      <c r="B7" s="1268"/>
      <c r="C7" s="330"/>
      <c r="D7" s="330"/>
      <c r="E7" s="633"/>
      <c r="F7" s="331"/>
      <c r="G7" s="331"/>
      <c r="H7" s="331"/>
      <c r="I7" s="352"/>
      <c r="J7" s="352"/>
      <c r="K7" s="666"/>
      <c r="L7" s="352"/>
      <c r="M7" s="352"/>
      <c r="N7" s="352"/>
      <c r="O7" s="353"/>
    </row>
    <row r="8" spans="1:15" ht="18" x14ac:dyDescent="0.35">
      <c r="A8" s="1309" t="s">
        <v>1125</v>
      </c>
      <c r="B8" s="1309"/>
      <c r="C8" s="330"/>
      <c r="D8" s="330"/>
      <c r="E8" s="633"/>
      <c r="F8" s="331"/>
      <c r="G8" s="331"/>
      <c r="H8" s="331"/>
      <c r="I8" s="1310"/>
      <c r="J8" s="1310"/>
      <c r="K8" s="1310"/>
      <c r="L8" s="1310"/>
      <c r="M8" s="1310"/>
      <c r="N8" s="1310"/>
      <c r="O8" s="1310"/>
    </row>
    <row r="9" spans="1:15" ht="18" x14ac:dyDescent="0.35">
      <c r="A9" s="1268" t="s">
        <v>1126</v>
      </c>
      <c r="B9" s="1268"/>
      <c r="C9" s="330"/>
      <c r="D9" s="330"/>
      <c r="E9" s="633"/>
      <c r="F9" s="331"/>
      <c r="G9" s="331"/>
      <c r="H9" s="331"/>
      <c r="I9" s="1310"/>
      <c r="J9" s="1310"/>
      <c r="K9" s="1310"/>
      <c r="L9" s="1310"/>
      <c r="M9" s="1310"/>
      <c r="N9" s="1310"/>
      <c r="O9" s="1310"/>
    </row>
    <row r="10" spans="1:15" ht="18" x14ac:dyDescent="0.35">
      <c r="A10" s="1268" t="s">
        <v>1127</v>
      </c>
      <c r="B10" s="1268"/>
      <c r="C10" s="330"/>
      <c r="D10" s="330"/>
      <c r="E10" s="633"/>
      <c r="F10" s="331"/>
      <c r="G10" s="331"/>
      <c r="H10" s="331"/>
      <c r="I10" s="1310"/>
      <c r="J10" s="1310"/>
      <c r="K10" s="1310"/>
      <c r="L10" s="1310"/>
      <c r="M10" s="1310"/>
      <c r="N10" s="1310"/>
      <c r="O10" s="1310"/>
    </row>
    <row r="11" spans="1:15" ht="18" x14ac:dyDescent="0.35">
      <c r="A11" s="1268" t="s">
        <v>1372</v>
      </c>
      <c r="B11" s="1268"/>
      <c r="C11" s="330"/>
      <c r="D11" s="330"/>
      <c r="E11" s="633"/>
      <c r="F11" s="331"/>
      <c r="G11" s="331"/>
      <c r="H11" s="331"/>
      <c r="I11" s="1310"/>
      <c r="J11" s="1310"/>
      <c r="K11" s="1310"/>
      <c r="L11" s="1310"/>
      <c r="M11" s="1310"/>
      <c r="N11" s="1310"/>
      <c r="O11" s="1310"/>
    </row>
    <row r="12" spans="1:15" ht="18" x14ac:dyDescent="0.35">
      <c r="A12" s="1268" t="s">
        <v>1128</v>
      </c>
      <c r="B12" s="1268"/>
      <c r="C12" s="330"/>
      <c r="D12" s="330"/>
      <c r="E12" s="633"/>
      <c r="F12" s="331"/>
      <c r="G12" s="331"/>
      <c r="H12" s="331"/>
      <c r="I12" s="631"/>
      <c r="J12" s="631"/>
      <c r="K12" s="667"/>
      <c r="L12" s="631"/>
      <c r="M12" s="631"/>
      <c r="N12" s="631"/>
      <c r="O12" s="631"/>
    </row>
    <row r="13" spans="1:15" ht="12.75" customHeight="1" x14ac:dyDescent="0.35">
      <c r="A13" s="331"/>
      <c r="B13" s="330"/>
      <c r="C13" s="330"/>
      <c r="D13" s="330"/>
      <c r="E13" s="633"/>
      <c r="F13" s="331"/>
      <c r="G13" s="331"/>
      <c r="H13" s="331"/>
      <c r="I13" s="352"/>
      <c r="J13" s="352"/>
      <c r="K13" s="666"/>
      <c r="L13" s="352"/>
      <c r="M13" s="352"/>
      <c r="N13" s="352"/>
      <c r="O13" s="353"/>
    </row>
    <row r="14" spans="1:15" ht="18" x14ac:dyDescent="0.35">
      <c r="A14" s="1315" t="s">
        <v>1335</v>
      </c>
      <c r="B14" s="1315"/>
      <c r="C14" s="1315"/>
      <c r="D14" s="1315"/>
      <c r="E14" s="1315"/>
      <c r="F14" s="1315"/>
      <c r="G14" s="1315"/>
      <c r="H14" s="1315"/>
      <c r="I14" s="1315"/>
      <c r="J14" s="1315"/>
      <c r="K14" s="1315"/>
      <c r="L14" s="1315"/>
      <c r="M14" s="1315"/>
      <c r="N14" s="1315"/>
      <c r="O14" s="1315"/>
    </row>
    <row r="15" spans="1:15" ht="18" x14ac:dyDescent="0.35">
      <c r="A15" s="331"/>
      <c r="B15" s="330"/>
      <c r="C15" s="330"/>
      <c r="D15" s="330"/>
      <c r="E15" s="633"/>
      <c r="F15" s="331"/>
      <c r="G15" s="331"/>
      <c r="H15" s="331"/>
      <c r="I15" s="352"/>
      <c r="J15" s="352"/>
      <c r="K15" s="666"/>
      <c r="L15" s="352"/>
      <c r="M15" s="352"/>
      <c r="N15" s="352"/>
      <c r="O15" s="648" t="s">
        <v>478</v>
      </c>
    </row>
    <row r="16" spans="1:15" hidden="1" x14ac:dyDescent="0.3"/>
    <row r="17" spans="1:16" ht="18.75" customHeight="1" x14ac:dyDescent="0.35">
      <c r="A17" s="1313" t="s">
        <v>407</v>
      </c>
      <c r="B17" s="1269" t="s">
        <v>479</v>
      </c>
      <c r="C17" s="1274" t="s">
        <v>281</v>
      </c>
      <c r="D17" s="333"/>
      <c r="E17" s="632"/>
      <c r="F17" s="334"/>
      <c r="G17" s="335"/>
      <c r="H17" s="335"/>
      <c r="I17" s="1277" t="s">
        <v>1085</v>
      </c>
      <c r="J17" s="1277" t="s">
        <v>510</v>
      </c>
      <c r="K17" s="1401" t="s">
        <v>1350</v>
      </c>
      <c r="L17" s="1271" t="s">
        <v>1079</v>
      </c>
      <c r="M17" s="1270" t="s">
        <v>1367</v>
      </c>
      <c r="N17" s="1270" t="s">
        <v>1080</v>
      </c>
      <c r="O17" s="1311" t="s">
        <v>480</v>
      </c>
      <c r="P17" s="1311"/>
    </row>
    <row r="18" spans="1:16" ht="18" x14ac:dyDescent="0.35">
      <c r="A18" s="1313"/>
      <c r="B18" s="1269"/>
      <c r="C18" s="1275"/>
      <c r="D18" s="333"/>
      <c r="E18" s="632"/>
      <c r="F18" s="334"/>
      <c r="G18" s="335"/>
      <c r="H18" s="335"/>
      <c r="I18" s="1278"/>
      <c r="J18" s="1278"/>
      <c r="K18" s="1401"/>
      <c r="L18" s="1272"/>
      <c r="M18" s="1270"/>
      <c r="N18" s="1270"/>
      <c r="O18" s="1270" t="s">
        <v>481</v>
      </c>
      <c r="P18" s="1312"/>
    </row>
    <row r="19" spans="1:16" ht="18" x14ac:dyDescent="0.35">
      <c r="A19" s="1313"/>
      <c r="B19" s="1269"/>
      <c r="C19" s="1275"/>
      <c r="D19" s="333"/>
      <c r="E19" s="632"/>
      <c r="F19" s="335"/>
      <c r="G19" s="335"/>
      <c r="H19" s="335"/>
      <c r="I19" s="1278"/>
      <c r="J19" s="1278"/>
      <c r="K19" s="1401"/>
      <c r="L19" s="1273"/>
      <c r="M19" s="1270"/>
      <c r="N19" s="1270"/>
      <c r="O19" s="1270"/>
      <c r="P19" s="1312"/>
    </row>
    <row r="20" spans="1:16" ht="18" x14ac:dyDescent="0.35">
      <c r="A20" s="1314"/>
      <c r="B20" s="1398"/>
      <c r="C20" s="1399"/>
      <c r="D20" s="332"/>
      <c r="E20" s="628"/>
      <c r="F20" s="344"/>
      <c r="G20" s="344"/>
      <c r="H20" s="344"/>
      <c r="I20" s="1400"/>
      <c r="J20" s="1400"/>
      <c r="K20" s="1402"/>
      <c r="L20" s="627"/>
      <c r="M20" s="1271"/>
      <c r="N20" s="627"/>
      <c r="O20" s="1271"/>
      <c r="P20" s="1312"/>
    </row>
    <row r="21" spans="1:16" s="336" customFormat="1" ht="42" customHeight="1" x14ac:dyDescent="0.35">
      <c r="A21" s="347">
        <v>1</v>
      </c>
      <c r="B21" s="343" t="s">
        <v>1081</v>
      </c>
      <c r="C21" s="346"/>
      <c r="D21" s="664"/>
      <c r="E21" s="338"/>
      <c r="F21" s="339"/>
      <c r="G21" s="339"/>
      <c r="H21" s="339"/>
      <c r="I21" s="345" t="s">
        <v>1337</v>
      </c>
      <c r="J21" s="498"/>
      <c r="K21" s="668">
        <f>K22+K24+K25+K26+K27+K28+K30+K31+K32+K29+K33+K23</f>
        <v>5245140</v>
      </c>
      <c r="L21" s="340"/>
      <c r="M21" s="665">
        <f>M22+M24+M25+M26+M27+M28+M30+M31+M32+M29+M33+M23</f>
        <v>0</v>
      </c>
      <c r="N21" s="341"/>
      <c r="O21" s="342" t="s">
        <v>151</v>
      </c>
      <c r="P21" s="663"/>
    </row>
    <row r="22" spans="1:16" s="366" customFormat="1" ht="31.5" customHeight="1" x14ac:dyDescent="0.3">
      <c r="A22" s="639"/>
      <c r="B22" s="1396" t="s">
        <v>627</v>
      </c>
      <c r="C22" s="1397" t="s">
        <v>1086</v>
      </c>
      <c r="D22" s="524"/>
      <c r="E22" s="524"/>
      <c r="F22" s="524"/>
      <c r="G22" s="524"/>
      <c r="H22" s="524"/>
      <c r="I22" s="1374" t="s">
        <v>1239</v>
      </c>
      <c r="J22" s="662" t="s">
        <v>586</v>
      </c>
      <c r="K22" s="525">
        <v>73140</v>
      </c>
      <c r="M22" s="526"/>
      <c r="N22" s="489"/>
      <c r="O22" s="1335" t="s">
        <v>151</v>
      </c>
      <c r="P22" s="662"/>
    </row>
    <row r="23" spans="1:16" s="366" customFormat="1" ht="15.6" hidden="1" x14ac:dyDescent="0.3">
      <c r="A23" s="639"/>
      <c r="B23" s="1294"/>
      <c r="C23" s="1333"/>
      <c r="D23" s="524"/>
      <c r="E23" s="524"/>
      <c r="F23" s="524"/>
      <c r="G23" s="524"/>
      <c r="H23" s="524"/>
      <c r="I23" s="1285"/>
      <c r="J23" s="363" t="s">
        <v>528</v>
      </c>
      <c r="K23" s="525"/>
      <c r="M23" s="526"/>
      <c r="N23" s="489"/>
      <c r="O23" s="1335"/>
      <c r="P23" s="363"/>
    </row>
    <row r="24" spans="1:16" s="366" customFormat="1" ht="36" customHeight="1" x14ac:dyDescent="0.3">
      <c r="A24" s="388"/>
      <c r="B24" s="527" t="s">
        <v>630</v>
      </c>
      <c r="C24" s="451" t="s">
        <v>1086</v>
      </c>
      <c r="I24" s="528" t="s">
        <v>1240</v>
      </c>
      <c r="J24" s="363" t="s">
        <v>586</v>
      </c>
      <c r="K24" s="364">
        <v>106000</v>
      </c>
      <c r="M24" s="361"/>
      <c r="N24" s="365"/>
      <c r="O24" s="1335"/>
      <c r="P24" s="363"/>
    </row>
    <row r="25" spans="1:16" s="366" customFormat="1" ht="46.5" customHeight="1" x14ac:dyDescent="0.3">
      <c r="A25" s="388"/>
      <c r="B25" s="527" t="s">
        <v>633</v>
      </c>
      <c r="C25" s="451" t="s">
        <v>1086</v>
      </c>
      <c r="I25" s="528" t="s">
        <v>1241</v>
      </c>
      <c r="J25" s="363" t="s">
        <v>586</v>
      </c>
      <c r="K25" s="364">
        <v>181000</v>
      </c>
      <c r="M25" s="361"/>
      <c r="N25" s="365"/>
      <c r="O25" s="1335"/>
      <c r="P25" s="363"/>
    </row>
    <row r="26" spans="1:16" s="366" customFormat="1" ht="33.75" customHeight="1" x14ac:dyDescent="0.3">
      <c r="A26" s="388"/>
      <c r="B26" s="527" t="s">
        <v>636</v>
      </c>
      <c r="C26" s="451" t="s">
        <v>1087</v>
      </c>
      <c r="I26" s="528" t="s">
        <v>1242</v>
      </c>
      <c r="J26" s="363" t="s">
        <v>586</v>
      </c>
      <c r="K26" s="364">
        <v>25000</v>
      </c>
      <c r="M26" s="361"/>
      <c r="N26" s="365"/>
      <c r="O26" s="1335"/>
      <c r="P26" s="363"/>
    </row>
    <row r="27" spans="1:16" s="366" customFormat="1" ht="35.25" customHeight="1" x14ac:dyDescent="0.3">
      <c r="A27" s="388"/>
      <c r="B27" s="527" t="s">
        <v>639</v>
      </c>
      <c r="C27" s="451" t="s">
        <v>1086</v>
      </c>
      <c r="I27" s="528" t="s">
        <v>1243</v>
      </c>
      <c r="J27" s="363" t="s">
        <v>586</v>
      </c>
      <c r="K27" s="364">
        <v>30000</v>
      </c>
      <c r="M27" s="361"/>
      <c r="N27" s="365"/>
      <c r="O27" s="1335"/>
      <c r="P27" s="363"/>
    </row>
    <row r="28" spans="1:16" s="366" customFormat="1" ht="30.75" customHeight="1" x14ac:dyDescent="0.3">
      <c r="A28" s="388"/>
      <c r="B28" s="527" t="s">
        <v>642</v>
      </c>
      <c r="C28" s="451" t="s">
        <v>1087</v>
      </c>
      <c r="I28" s="528" t="s">
        <v>1244</v>
      </c>
      <c r="J28" s="363" t="s">
        <v>586</v>
      </c>
      <c r="K28" s="364">
        <v>30000</v>
      </c>
      <c r="M28" s="361"/>
      <c r="N28" s="365"/>
      <c r="O28" s="1335"/>
      <c r="P28" s="363"/>
    </row>
    <row r="29" spans="1:16" s="366" customFormat="1" ht="30.75" customHeight="1" x14ac:dyDescent="0.3">
      <c r="A29" s="1328"/>
      <c r="B29" s="1293" t="s">
        <v>607</v>
      </c>
      <c r="C29" s="451" t="s">
        <v>1088</v>
      </c>
      <c r="I29" s="1284" t="s">
        <v>1232</v>
      </c>
      <c r="J29" s="363" t="s">
        <v>586</v>
      </c>
      <c r="K29" s="372">
        <v>800000</v>
      </c>
      <c r="M29" s="361"/>
      <c r="N29" s="365"/>
      <c r="O29" s="1287"/>
      <c r="P29" s="363"/>
    </row>
    <row r="30" spans="1:16" s="366" customFormat="1" ht="50.25" hidden="1" customHeight="1" x14ac:dyDescent="0.3">
      <c r="A30" s="1329"/>
      <c r="B30" s="1294"/>
      <c r="C30" s="451" t="s">
        <v>1159</v>
      </c>
      <c r="I30" s="1285"/>
      <c r="J30" s="363" t="s">
        <v>813</v>
      </c>
      <c r="K30" s="369"/>
      <c r="M30" s="361"/>
      <c r="N30" s="365"/>
      <c r="O30" s="529" t="s">
        <v>1179</v>
      </c>
      <c r="P30" s="363"/>
    </row>
    <row r="31" spans="1:16" s="366" customFormat="1" ht="50.25" customHeight="1" x14ac:dyDescent="0.3">
      <c r="A31" s="530"/>
      <c r="B31" s="527" t="s">
        <v>1264</v>
      </c>
      <c r="C31" s="451" t="s">
        <v>1103</v>
      </c>
      <c r="I31" s="531" t="s">
        <v>1263</v>
      </c>
      <c r="J31" s="389" t="s">
        <v>586</v>
      </c>
      <c r="K31" s="669">
        <f>500000+3500000</f>
        <v>4000000</v>
      </c>
      <c r="L31" s="532"/>
      <c r="M31" s="533"/>
      <c r="N31" s="365"/>
      <c r="O31" s="1286" t="s">
        <v>151</v>
      </c>
      <c r="P31" s="389"/>
    </row>
    <row r="32" spans="1:16" s="366" customFormat="1" ht="30.75" hidden="1" customHeight="1" x14ac:dyDescent="0.3">
      <c r="A32" s="530"/>
      <c r="B32" s="534" t="s">
        <v>1168</v>
      </c>
      <c r="C32" s="451" t="s">
        <v>1130</v>
      </c>
      <c r="I32" s="531" t="s">
        <v>1169</v>
      </c>
      <c r="J32" s="389" t="s">
        <v>586</v>
      </c>
      <c r="K32" s="535"/>
      <c r="M32" s="486"/>
      <c r="N32" s="365"/>
      <c r="O32" s="1287"/>
      <c r="P32" s="389"/>
    </row>
    <row r="33" spans="1:16" s="366" customFormat="1" ht="49.5" hidden="1" customHeight="1" x14ac:dyDescent="0.3">
      <c r="A33" s="530"/>
      <c r="B33" s="521" t="s">
        <v>1201</v>
      </c>
      <c r="C33" s="451"/>
      <c r="I33" s="531"/>
      <c r="J33" s="389"/>
      <c r="K33" s="536">
        <v>0</v>
      </c>
      <c r="M33" s="486"/>
      <c r="N33" s="365"/>
      <c r="O33" s="634"/>
      <c r="P33" s="389"/>
    </row>
    <row r="34" spans="1:16" s="366" customFormat="1" ht="44.25" customHeight="1" x14ac:dyDescent="0.35">
      <c r="A34" s="446">
        <v>2</v>
      </c>
      <c r="B34" s="538" t="s">
        <v>1082</v>
      </c>
      <c r="C34" s="539"/>
      <c r="D34" s="540"/>
      <c r="E34" s="540"/>
      <c r="F34" s="540"/>
      <c r="G34" s="540"/>
      <c r="H34" s="540"/>
      <c r="I34" s="541" t="s">
        <v>1336</v>
      </c>
      <c r="J34" s="542"/>
      <c r="K34" s="543">
        <f>K35</f>
        <v>53000</v>
      </c>
      <c r="L34" s="540"/>
      <c r="M34" s="543">
        <f>M35</f>
        <v>0</v>
      </c>
      <c r="N34" s="448"/>
      <c r="O34" s="432" t="s">
        <v>151</v>
      </c>
      <c r="P34" s="544"/>
    </row>
    <row r="35" spans="1:16" s="366" customFormat="1" ht="42.75" customHeight="1" x14ac:dyDescent="0.3">
      <c r="A35" s="388"/>
      <c r="B35" s="459" t="s">
        <v>765</v>
      </c>
      <c r="C35" s="545" t="s">
        <v>1089</v>
      </c>
      <c r="I35" s="452" t="s">
        <v>1288</v>
      </c>
      <c r="J35" s="363" t="s">
        <v>586</v>
      </c>
      <c r="K35" s="364">
        <v>53000</v>
      </c>
      <c r="M35" s="361"/>
      <c r="N35" s="365"/>
      <c r="O35" s="450"/>
      <c r="P35" s="546"/>
    </row>
    <row r="36" spans="1:16" s="366" customFormat="1" ht="52.8" x14ac:dyDescent="0.35">
      <c r="A36" s="446">
        <v>3</v>
      </c>
      <c r="B36" s="447" t="s">
        <v>1092</v>
      </c>
      <c r="C36" s="448"/>
      <c r="D36" s="448"/>
      <c r="E36" s="448"/>
      <c r="F36" s="448"/>
      <c r="G36" s="448"/>
      <c r="H36" s="547"/>
      <c r="I36" s="429" t="s">
        <v>1338</v>
      </c>
      <c r="J36" s="430"/>
      <c r="K36" s="548">
        <f>K37+K38+K39+K40+K43+K44+K45+K41+K46+K42</f>
        <v>13438936.620000001</v>
      </c>
      <c r="L36" s="448"/>
      <c r="M36" s="548">
        <f>M37+M38+M39+M40+M43+M44+M45+M41+M46+M42</f>
        <v>1920374.32</v>
      </c>
      <c r="N36" s="448"/>
      <c r="O36" s="432" t="s">
        <v>1096</v>
      </c>
      <c r="P36" s="365"/>
    </row>
    <row r="37" spans="1:16" s="474" customFormat="1" ht="31.2" x14ac:dyDescent="0.35">
      <c r="A37" s="467"/>
      <c r="B37" s="549" t="s">
        <v>1231</v>
      </c>
      <c r="C37" s="550" t="s">
        <v>1093</v>
      </c>
      <c r="D37" s="476"/>
      <c r="E37" s="476"/>
      <c r="F37" s="476"/>
      <c r="G37" s="476"/>
      <c r="H37" s="551"/>
      <c r="I37" s="552" t="s">
        <v>1225</v>
      </c>
      <c r="J37" s="371" t="s">
        <v>586</v>
      </c>
      <c r="K37" s="553">
        <v>106000</v>
      </c>
      <c r="L37" s="470"/>
      <c r="M37" s="554"/>
      <c r="N37" s="470"/>
      <c r="O37" s="1280" t="s">
        <v>151</v>
      </c>
      <c r="P37" s="476"/>
    </row>
    <row r="38" spans="1:16" s="366" customFormat="1" ht="31.2" x14ac:dyDescent="0.35">
      <c r="A38" s="446"/>
      <c r="B38" s="459" t="s">
        <v>1281</v>
      </c>
      <c r="C38" s="451" t="s">
        <v>1094</v>
      </c>
      <c r="D38" s="365"/>
      <c r="E38" s="365"/>
      <c r="F38" s="365"/>
      <c r="G38" s="365"/>
      <c r="H38" s="365"/>
      <c r="I38" s="452" t="s">
        <v>1280</v>
      </c>
      <c r="J38" s="363" t="s">
        <v>586</v>
      </c>
      <c r="K38" s="364">
        <v>53000</v>
      </c>
      <c r="L38" s="448"/>
      <c r="M38" s="533"/>
      <c r="N38" s="448"/>
      <c r="O38" s="1282"/>
      <c r="P38" s="365"/>
    </row>
    <row r="39" spans="1:16" s="366" customFormat="1" ht="31.2" x14ac:dyDescent="0.35">
      <c r="A39" s="446"/>
      <c r="B39" s="459" t="s">
        <v>1283</v>
      </c>
      <c r="C39" s="451" t="s">
        <v>1094</v>
      </c>
      <c r="D39" s="365"/>
      <c r="E39" s="365"/>
      <c r="F39" s="365"/>
      <c r="G39" s="365"/>
      <c r="H39" s="365"/>
      <c r="I39" s="452" t="s">
        <v>1282</v>
      </c>
      <c r="J39" s="363" t="s">
        <v>586</v>
      </c>
      <c r="K39" s="364">
        <v>106000</v>
      </c>
      <c r="L39" s="448"/>
      <c r="M39" s="533"/>
      <c r="N39" s="448"/>
      <c r="O39" s="1282"/>
      <c r="P39" s="365"/>
    </row>
    <row r="40" spans="1:16" s="366" customFormat="1" ht="18" x14ac:dyDescent="0.35">
      <c r="A40" s="446"/>
      <c r="B40" s="459" t="s">
        <v>751</v>
      </c>
      <c r="C40" s="451" t="s">
        <v>1094</v>
      </c>
      <c r="D40" s="365"/>
      <c r="E40" s="365"/>
      <c r="F40" s="365"/>
      <c r="G40" s="365"/>
      <c r="H40" s="365"/>
      <c r="I40" s="452" t="s">
        <v>1286</v>
      </c>
      <c r="J40" s="363" t="s">
        <v>586</v>
      </c>
      <c r="K40" s="364">
        <v>212000</v>
      </c>
      <c r="L40" s="448"/>
      <c r="M40" s="533"/>
      <c r="N40" s="448"/>
      <c r="O40" s="1283"/>
      <c r="P40" s="365"/>
    </row>
    <row r="41" spans="1:16" s="366" customFormat="1" ht="62.4" hidden="1" x14ac:dyDescent="0.35">
      <c r="A41" s="446"/>
      <c r="B41" s="478" t="s">
        <v>1181</v>
      </c>
      <c r="C41" s="451" t="s">
        <v>1180</v>
      </c>
      <c r="D41" s="365"/>
      <c r="E41" s="365"/>
      <c r="F41" s="365"/>
      <c r="G41" s="365"/>
      <c r="H41" s="555"/>
      <c r="I41" s="452" t="s">
        <v>752</v>
      </c>
      <c r="J41" s="363" t="s">
        <v>813</v>
      </c>
      <c r="K41" s="364"/>
      <c r="L41" s="448"/>
      <c r="M41" s="533"/>
      <c r="N41" s="448"/>
      <c r="O41" s="529" t="s">
        <v>1179</v>
      </c>
      <c r="P41" s="365"/>
    </row>
    <row r="42" spans="1:16" s="366" customFormat="1" ht="31.2" x14ac:dyDescent="0.35">
      <c r="A42" s="446"/>
      <c r="B42" s="478" t="s">
        <v>748</v>
      </c>
      <c r="C42" s="451" t="s">
        <v>1284</v>
      </c>
      <c r="D42" s="365"/>
      <c r="E42" s="365"/>
      <c r="F42" s="365"/>
      <c r="G42" s="365"/>
      <c r="H42" s="555"/>
      <c r="I42" s="452" t="s">
        <v>1285</v>
      </c>
      <c r="J42" s="363" t="s">
        <v>586</v>
      </c>
      <c r="K42" s="364">
        <v>100000</v>
      </c>
      <c r="L42" s="448"/>
      <c r="M42" s="533"/>
      <c r="N42" s="448"/>
      <c r="O42" s="556" t="s">
        <v>151</v>
      </c>
      <c r="P42" s="365"/>
    </row>
    <row r="43" spans="1:16" s="366" customFormat="1" ht="31.2" x14ac:dyDescent="0.35">
      <c r="A43" s="446"/>
      <c r="B43" s="459" t="s">
        <v>918</v>
      </c>
      <c r="C43" s="451" t="s">
        <v>1095</v>
      </c>
      <c r="D43" s="448"/>
      <c r="E43" s="448"/>
      <c r="F43" s="448"/>
      <c r="G43" s="448"/>
      <c r="H43" s="547"/>
      <c r="I43" s="452" t="s">
        <v>1332</v>
      </c>
      <c r="J43" s="363" t="s">
        <v>613</v>
      </c>
      <c r="K43" s="364">
        <v>4819591.7</v>
      </c>
      <c r="L43" s="448"/>
      <c r="M43" s="487">
        <f>315426.44+431192.12</f>
        <v>746618.56</v>
      </c>
      <c r="N43" s="448"/>
      <c r="O43" s="1316" t="s">
        <v>1097</v>
      </c>
      <c r="P43" s="365"/>
    </row>
    <row r="44" spans="1:16" s="366" customFormat="1" ht="18" x14ac:dyDescent="0.35">
      <c r="A44" s="446"/>
      <c r="B44" s="459" t="s">
        <v>921</v>
      </c>
      <c r="C44" s="451" t="s">
        <v>1095</v>
      </c>
      <c r="D44" s="448"/>
      <c r="E44" s="448"/>
      <c r="F44" s="448"/>
      <c r="G44" s="448"/>
      <c r="H44" s="547"/>
      <c r="I44" s="452" t="s">
        <v>1333</v>
      </c>
      <c r="J44" s="363" t="s">
        <v>613</v>
      </c>
      <c r="K44" s="364">
        <f>2775762.7+47577.97</f>
        <v>2823340.6700000004</v>
      </c>
      <c r="L44" s="448"/>
      <c r="M44" s="487">
        <f>141775.76+314481.03</f>
        <v>456256.79000000004</v>
      </c>
      <c r="N44" s="448"/>
      <c r="O44" s="1317"/>
      <c r="P44" s="365"/>
    </row>
    <row r="45" spans="1:16" s="366" customFormat="1" ht="18" x14ac:dyDescent="0.35">
      <c r="A45" s="446"/>
      <c r="B45" s="459" t="s">
        <v>924</v>
      </c>
      <c r="C45" s="451" t="s">
        <v>1095</v>
      </c>
      <c r="D45" s="365"/>
      <c r="E45" s="365"/>
      <c r="F45" s="365"/>
      <c r="G45" s="365"/>
      <c r="H45" s="365"/>
      <c r="I45" s="452" t="s">
        <v>1334</v>
      </c>
      <c r="J45" s="363" t="s">
        <v>613</v>
      </c>
      <c r="K45" s="650">
        <f>4419004.25+800000</f>
        <v>5219004.25</v>
      </c>
      <c r="L45" s="448"/>
      <c r="M45" s="487">
        <f>240001.74+477497.23</f>
        <v>717498.97</v>
      </c>
      <c r="N45" s="448"/>
      <c r="O45" s="1317"/>
      <c r="P45" s="365"/>
    </row>
    <row r="46" spans="1:16" s="366" customFormat="1" ht="53.25" hidden="1" customHeight="1" x14ac:dyDescent="0.35">
      <c r="A46" s="446"/>
      <c r="B46" s="521" t="s">
        <v>926</v>
      </c>
      <c r="C46" s="451" t="s">
        <v>1095</v>
      </c>
      <c r="D46" s="365"/>
      <c r="E46" s="365"/>
      <c r="F46" s="365"/>
      <c r="G46" s="365"/>
      <c r="H46" s="365"/>
      <c r="I46" s="484" t="s">
        <v>1194</v>
      </c>
      <c r="J46" s="389" t="s">
        <v>613</v>
      </c>
      <c r="K46" s="485"/>
      <c r="L46" s="448"/>
      <c r="M46" s="533"/>
      <c r="N46" s="448"/>
      <c r="O46" s="1290"/>
      <c r="P46" s="365"/>
    </row>
    <row r="47" spans="1:16" s="366" customFormat="1" ht="52.8" x14ac:dyDescent="0.35">
      <c r="A47" s="446">
        <v>4</v>
      </c>
      <c r="B47" s="447" t="s">
        <v>1098</v>
      </c>
      <c r="C47" s="557"/>
      <c r="D47" s="448"/>
      <c r="E47" s="448"/>
      <c r="F47" s="448"/>
      <c r="G47" s="448"/>
      <c r="H47" s="448"/>
      <c r="I47" s="429" t="s">
        <v>1339</v>
      </c>
      <c r="J47" s="430"/>
      <c r="K47" s="449">
        <f>K49+K50+K51+K54+K52+K55+K53+K56+K48</f>
        <v>2059831.3199999998</v>
      </c>
      <c r="L47" s="448"/>
      <c r="M47" s="449">
        <f>M49+M50+M51+M54+M52+M55+M53+M56+M48</f>
        <v>78000</v>
      </c>
      <c r="N47" s="448"/>
      <c r="O47" s="432" t="s">
        <v>1160</v>
      </c>
      <c r="P47" s="365"/>
    </row>
    <row r="48" spans="1:16" s="366" customFormat="1" ht="31.8" x14ac:dyDescent="0.35">
      <c r="A48" s="446"/>
      <c r="B48" s="558" t="s">
        <v>1249</v>
      </c>
      <c r="C48" s="451" t="s">
        <v>1099</v>
      </c>
      <c r="D48" s="365"/>
      <c r="E48" s="365"/>
      <c r="F48" s="365"/>
      <c r="G48" s="365"/>
      <c r="H48" s="365"/>
      <c r="I48" s="452" t="s">
        <v>1250</v>
      </c>
      <c r="J48" s="389" t="s">
        <v>586</v>
      </c>
      <c r="K48" s="670">
        <f>100000-78000</f>
        <v>22000</v>
      </c>
      <c r="L48" s="365"/>
      <c r="M48" s="361"/>
      <c r="N48" s="448"/>
      <c r="O48" s="520"/>
      <c r="P48" s="365"/>
    </row>
    <row r="49" spans="1:16" s="366" customFormat="1" ht="15.6" x14ac:dyDescent="0.3">
      <c r="A49" s="388"/>
      <c r="B49" s="459" t="s">
        <v>651</v>
      </c>
      <c r="C49" s="451" t="s">
        <v>1099</v>
      </c>
      <c r="D49" s="365"/>
      <c r="E49" s="365"/>
      <c r="F49" s="365"/>
      <c r="G49" s="365"/>
      <c r="H49" s="365"/>
      <c r="I49" s="452" t="s">
        <v>1248</v>
      </c>
      <c r="J49" s="389" t="s">
        <v>586</v>
      </c>
      <c r="K49" s="486">
        <v>564980</v>
      </c>
      <c r="L49" s="365"/>
      <c r="M49" s="361"/>
      <c r="N49" s="365"/>
      <c r="O49" s="1318"/>
      <c r="P49" s="365"/>
    </row>
    <row r="50" spans="1:16" s="366" customFormat="1" ht="31.2" hidden="1" x14ac:dyDescent="0.3">
      <c r="A50" s="388"/>
      <c r="B50" s="423" t="s">
        <v>1027</v>
      </c>
      <c r="C50" s="451" t="s">
        <v>1101</v>
      </c>
      <c r="D50" s="365"/>
      <c r="E50" s="365"/>
      <c r="F50" s="365"/>
      <c r="G50" s="365"/>
      <c r="H50" s="365"/>
      <c r="I50" s="452" t="s">
        <v>1100</v>
      </c>
      <c r="J50" s="363" t="s">
        <v>586</v>
      </c>
      <c r="K50" s="364">
        <f>100000-50000-50000</f>
        <v>0</v>
      </c>
      <c r="L50" s="365"/>
      <c r="M50" s="361"/>
      <c r="N50" s="365"/>
      <c r="O50" s="1319"/>
      <c r="P50" s="365"/>
    </row>
    <row r="51" spans="1:16" s="366" customFormat="1" ht="31.2" x14ac:dyDescent="0.3">
      <c r="A51" s="388"/>
      <c r="B51" s="459" t="s">
        <v>703</v>
      </c>
      <c r="C51" s="451" t="s">
        <v>1101</v>
      </c>
      <c r="D51" s="365"/>
      <c r="E51" s="365"/>
      <c r="F51" s="365"/>
      <c r="G51" s="365"/>
      <c r="H51" s="365"/>
      <c r="I51" s="452" t="s">
        <v>1266</v>
      </c>
      <c r="J51" s="363" t="s">
        <v>586</v>
      </c>
      <c r="K51" s="457">
        <v>800000</v>
      </c>
      <c r="L51" s="365"/>
      <c r="M51" s="361"/>
      <c r="N51" s="365"/>
      <c r="O51" s="1319"/>
      <c r="P51" s="365"/>
    </row>
    <row r="52" spans="1:16" s="366" customFormat="1" ht="15.6" x14ac:dyDescent="0.3">
      <c r="A52" s="388"/>
      <c r="B52" s="459" t="s">
        <v>706</v>
      </c>
      <c r="C52" s="451" t="s">
        <v>1101</v>
      </c>
      <c r="D52" s="365"/>
      <c r="E52" s="365"/>
      <c r="F52" s="365"/>
      <c r="G52" s="365"/>
      <c r="H52" s="365"/>
      <c r="I52" s="452" t="s">
        <v>1267</v>
      </c>
      <c r="J52" s="363" t="s">
        <v>586</v>
      </c>
      <c r="K52" s="364">
        <v>380449.21</v>
      </c>
      <c r="L52" s="365"/>
      <c r="M52" s="361"/>
      <c r="N52" s="365"/>
      <c r="O52" s="1319"/>
      <c r="P52" s="367"/>
    </row>
    <row r="53" spans="1:16" s="366" customFormat="1" ht="15.6" x14ac:dyDescent="0.3">
      <c r="A53" s="388"/>
      <c r="B53" s="423" t="s">
        <v>1362</v>
      </c>
      <c r="C53" s="451" t="s">
        <v>1101</v>
      </c>
      <c r="D53" s="365"/>
      <c r="E53" s="365"/>
      <c r="F53" s="365"/>
      <c r="G53" s="365"/>
      <c r="H53" s="365"/>
      <c r="I53" s="452" t="s">
        <v>1363</v>
      </c>
      <c r="J53" s="363" t="s">
        <v>586</v>
      </c>
      <c r="K53" s="464">
        <v>78000</v>
      </c>
      <c r="L53" s="365"/>
      <c r="M53" s="361">
        <v>78000</v>
      </c>
      <c r="N53" s="365"/>
      <c r="O53" s="1320"/>
      <c r="P53" s="367"/>
    </row>
    <row r="54" spans="1:16" s="366" customFormat="1" ht="31.2" x14ac:dyDescent="0.3">
      <c r="A54" s="388"/>
      <c r="B54" s="459" t="s">
        <v>1158</v>
      </c>
      <c r="C54" s="451" t="s">
        <v>1159</v>
      </c>
      <c r="D54" s="365"/>
      <c r="E54" s="365"/>
      <c r="F54" s="365"/>
      <c r="G54" s="365"/>
      <c r="H54" s="365"/>
      <c r="I54" s="480" t="s">
        <v>707</v>
      </c>
      <c r="J54" s="363" t="s">
        <v>813</v>
      </c>
      <c r="K54" s="372"/>
      <c r="L54" s="365"/>
      <c r="M54" s="361"/>
      <c r="N54" s="365"/>
      <c r="O54" s="1321"/>
    </row>
    <row r="55" spans="1:16" s="366" customFormat="1" ht="31.2" x14ac:dyDescent="0.3">
      <c r="A55" s="388"/>
      <c r="B55" s="459" t="s">
        <v>1237</v>
      </c>
      <c r="C55" s="451" t="s">
        <v>1170</v>
      </c>
      <c r="D55" s="365"/>
      <c r="E55" s="365"/>
      <c r="F55" s="365"/>
      <c r="G55" s="365"/>
      <c r="H55" s="365"/>
      <c r="I55" s="389" t="s">
        <v>1238</v>
      </c>
      <c r="J55" s="389" t="s">
        <v>586</v>
      </c>
      <c r="K55" s="559">
        <v>214402.11</v>
      </c>
      <c r="L55" s="365"/>
      <c r="M55" s="361"/>
      <c r="N55" s="365"/>
      <c r="O55" s="638"/>
    </row>
    <row r="56" spans="1:16" s="366" customFormat="1" ht="46.8" hidden="1" x14ac:dyDescent="0.3">
      <c r="A56" s="388"/>
      <c r="B56" s="521" t="s">
        <v>1195</v>
      </c>
      <c r="C56" s="451" t="s">
        <v>1101</v>
      </c>
      <c r="D56" s="365"/>
      <c r="E56" s="365"/>
      <c r="F56" s="365"/>
      <c r="G56" s="365"/>
      <c r="H56" s="365"/>
      <c r="I56" s="484" t="s">
        <v>1196</v>
      </c>
      <c r="J56" s="389" t="s">
        <v>586</v>
      </c>
      <c r="K56" s="559"/>
      <c r="L56" s="365"/>
      <c r="M56" s="486"/>
      <c r="N56" s="365"/>
      <c r="O56" s="638"/>
    </row>
    <row r="57" spans="1:16" s="366" customFormat="1" ht="54" x14ac:dyDescent="0.35">
      <c r="A57" s="446">
        <v>5</v>
      </c>
      <c r="B57" s="447" t="s">
        <v>1102</v>
      </c>
      <c r="C57" s="448"/>
      <c r="D57" s="448"/>
      <c r="E57" s="448"/>
      <c r="F57" s="448"/>
      <c r="G57" s="448"/>
      <c r="H57" s="448"/>
      <c r="I57" s="429" t="s">
        <v>1340</v>
      </c>
      <c r="J57" s="430"/>
      <c r="K57" s="449">
        <f>K61+K62+K63+K59+K58+K60</f>
        <v>8885000</v>
      </c>
      <c r="L57" s="448"/>
      <c r="M57" s="449">
        <f>M61+M62+M63+M59+M58+M60</f>
        <v>0</v>
      </c>
      <c r="N57" s="448"/>
      <c r="O57" s="432" t="s">
        <v>1183</v>
      </c>
    </row>
    <row r="58" spans="1:16" s="366" customFormat="1" ht="26.25" customHeight="1" x14ac:dyDescent="0.35">
      <c r="A58" s="446"/>
      <c r="B58" s="660" t="s">
        <v>1197</v>
      </c>
      <c r="C58" s="451" t="s">
        <v>1103</v>
      </c>
      <c r="D58" s="448"/>
      <c r="E58" s="448"/>
      <c r="F58" s="448"/>
      <c r="G58" s="448"/>
      <c r="H58" s="448"/>
      <c r="I58" s="452" t="s">
        <v>1364</v>
      </c>
      <c r="J58" s="389" t="s">
        <v>586</v>
      </c>
      <c r="K58" s="464">
        <v>5385000</v>
      </c>
      <c r="L58" s="495"/>
      <c r="M58" s="496"/>
      <c r="N58" s="448"/>
      <c r="O58" s="454" t="s">
        <v>151</v>
      </c>
    </row>
    <row r="59" spans="1:16" s="366" customFormat="1" ht="62.4" hidden="1" x14ac:dyDescent="0.35">
      <c r="A59" s="446"/>
      <c r="B59" s="455" t="s">
        <v>1184</v>
      </c>
      <c r="C59" s="451" t="s">
        <v>1159</v>
      </c>
      <c r="D59" s="448"/>
      <c r="E59" s="448"/>
      <c r="F59" s="448"/>
      <c r="G59" s="448"/>
      <c r="H59" s="448"/>
      <c r="I59" s="452" t="s">
        <v>1182</v>
      </c>
      <c r="J59" s="430">
        <v>500</v>
      </c>
      <c r="K59" s="364"/>
      <c r="L59" s="448"/>
      <c r="M59" s="364"/>
      <c r="N59" s="448"/>
      <c r="O59" s="456" t="s">
        <v>1179</v>
      </c>
    </row>
    <row r="60" spans="1:16" s="366" customFormat="1" ht="46.8" hidden="1" x14ac:dyDescent="0.35">
      <c r="A60" s="446"/>
      <c r="B60" s="455" t="s">
        <v>1203</v>
      </c>
      <c r="C60" s="451" t="s">
        <v>1159</v>
      </c>
      <c r="D60" s="448"/>
      <c r="E60" s="448"/>
      <c r="F60" s="448"/>
      <c r="G60" s="448"/>
      <c r="H60" s="448"/>
      <c r="I60" s="452" t="s">
        <v>1204</v>
      </c>
      <c r="J60" s="430">
        <v>500</v>
      </c>
      <c r="K60" s="457"/>
      <c r="L60" s="448"/>
      <c r="M60" s="458"/>
      <c r="N60" s="448"/>
      <c r="O60" s="629"/>
    </row>
    <row r="61" spans="1:16" s="366" customFormat="1" ht="31.2" hidden="1" x14ac:dyDescent="0.3">
      <c r="A61" s="388"/>
      <c r="B61" s="459" t="s">
        <v>822</v>
      </c>
      <c r="C61" s="451" t="s">
        <v>1105</v>
      </c>
      <c r="D61" s="365"/>
      <c r="E61" s="365"/>
      <c r="F61" s="365"/>
      <c r="G61" s="365"/>
      <c r="H61" s="365"/>
      <c r="I61" s="452" t="s">
        <v>823</v>
      </c>
      <c r="J61" s="363" t="s">
        <v>613</v>
      </c>
      <c r="K61" s="364"/>
      <c r="L61" s="365"/>
      <c r="M61" s="361"/>
      <c r="N61" s="365"/>
      <c r="O61" s="1322" t="s">
        <v>968</v>
      </c>
    </row>
    <row r="62" spans="1:16" s="366" customFormat="1" ht="15.6" hidden="1" x14ac:dyDescent="0.3">
      <c r="A62" s="460"/>
      <c r="B62" s="459" t="s">
        <v>825</v>
      </c>
      <c r="C62" s="451" t="s">
        <v>1105</v>
      </c>
      <c r="D62" s="461"/>
      <c r="E62" s="461"/>
      <c r="F62" s="461"/>
      <c r="G62" s="461"/>
      <c r="H62" s="461"/>
      <c r="I62" s="452" t="s">
        <v>826</v>
      </c>
      <c r="J62" s="363" t="s">
        <v>613</v>
      </c>
      <c r="K62" s="457"/>
      <c r="L62" s="461"/>
      <c r="M62" s="445"/>
      <c r="N62" s="461"/>
      <c r="O62" s="1323"/>
      <c r="P62" s="462"/>
    </row>
    <row r="63" spans="1:16" s="366" customFormat="1" ht="15.6" x14ac:dyDescent="0.3">
      <c r="A63" s="388"/>
      <c r="B63" s="459" t="s">
        <v>828</v>
      </c>
      <c r="C63" s="451" t="s">
        <v>1105</v>
      </c>
      <c r="D63" s="365"/>
      <c r="E63" s="365"/>
      <c r="F63" s="365"/>
      <c r="G63" s="365"/>
      <c r="H63" s="365"/>
      <c r="I63" s="452" t="s">
        <v>1306</v>
      </c>
      <c r="J63" s="363" t="s">
        <v>613</v>
      </c>
      <c r="K63" s="364">
        <v>3500000</v>
      </c>
      <c r="L63" s="365"/>
      <c r="M63" s="361"/>
      <c r="N63" s="365"/>
      <c r="O63" s="1324"/>
    </row>
    <row r="64" spans="1:16" s="366" customFormat="1" ht="54" x14ac:dyDescent="0.35">
      <c r="A64" s="446">
        <v>6</v>
      </c>
      <c r="B64" s="447" t="s">
        <v>1106</v>
      </c>
      <c r="C64" s="557"/>
      <c r="D64" s="448"/>
      <c r="E64" s="448"/>
      <c r="F64" s="448"/>
      <c r="G64" s="448"/>
      <c r="H64" s="448"/>
      <c r="I64" s="429" t="s">
        <v>1341</v>
      </c>
      <c r="J64" s="430"/>
      <c r="K64" s="548">
        <f>K65</f>
        <v>50000</v>
      </c>
      <c r="L64" s="448"/>
      <c r="M64" s="548">
        <f>M65</f>
        <v>0</v>
      </c>
      <c r="N64" s="448"/>
      <c r="O64" s="432" t="s">
        <v>151</v>
      </c>
    </row>
    <row r="65" spans="1:15" s="366" customFormat="1" ht="31.2" x14ac:dyDescent="0.3">
      <c r="A65" s="561"/>
      <c r="B65" s="459" t="s">
        <v>728</v>
      </c>
      <c r="C65" s="387" t="s">
        <v>1107</v>
      </c>
      <c r="D65" s="562"/>
      <c r="E65" s="562"/>
      <c r="F65" s="562"/>
      <c r="G65" s="562"/>
      <c r="H65" s="562"/>
      <c r="I65" s="452" t="s">
        <v>1273</v>
      </c>
      <c r="J65" s="363" t="s">
        <v>586</v>
      </c>
      <c r="K65" s="364">
        <v>50000</v>
      </c>
      <c r="L65" s="365"/>
      <c r="M65" s="361"/>
      <c r="N65" s="365"/>
      <c r="O65" s="563"/>
    </row>
    <row r="66" spans="1:15" s="474" customFormat="1" ht="36" x14ac:dyDescent="0.35">
      <c r="A66" s="467">
        <v>7</v>
      </c>
      <c r="B66" s="468" t="s">
        <v>1108</v>
      </c>
      <c r="C66" s="469"/>
      <c r="D66" s="470"/>
      <c r="E66" s="470"/>
      <c r="F66" s="470"/>
      <c r="G66" s="470"/>
      <c r="H66" s="470"/>
      <c r="I66" s="471" t="s">
        <v>1342</v>
      </c>
      <c r="J66" s="472"/>
      <c r="K66" s="473">
        <f>K67+K68+K69</f>
        <v>21804436.829999998</v>
      </c>
      <c r="L66" s="470"/>
      <c r="M66" s="473">
        <f>M67+M68+M69</f>
        <v>1065343.3</v>
      </c>
      <c r="N66" s="470"/>
      <c r="O66" s="432" t="s">
        <v>151</v>
      </c>
    </row>
    <row r="67" spans="1:15" s="474" customFormat="1" ht="46.8" x14ac:dyDescent="0.3">
      <c r="A67" s="475"/>
      <c r="B67" s="423" t="s">
        <v>697</v>
      </c>
      <c r="C67" s="395" t="s">
        <v>1109</v>
      </c>
      <c r="D67" s="476"/>
      <c r="E67" s="476"/>
      <c r="F67" s="476"/>
      <c r="G67" s="476"/>
      <c r="H67" s="476"/>
      <c r="I67" s="477" t="s">
        <v>1262</v>
      </c>
      <c r="J67" s="371" t="s">
        <v>700</v>
      </c>
      <c r="K67" s="457">
        <v>2500000</v>
      </c>
      <c r="L67" s="463"/>
      <c r="M67" s="445">
        <v>1065343.3</v>
      </c>
      <c r="N67" s="476"/>
      <c r="O67" s="1325"/>
    </row>
    <row r="68" spans="1:15" s="366" customFormat="1" ht="31.2" x14ac:dyDescent="0.3">
      <c r="A68" s="388"/>
      <c r="B68" s="459" t="s">
        <v>768</v>
      </c>
      <c r="C68" s="387" t="s">
        <v>1111</v>
      </c>
      <c r="D68" s="365"/>
      <c r="E68" s="365"/>
      <c r="F68" s="365"/>
      <c r="G68" s="365"/>
      <c r="H68" s="365"/>
      <c r="I68" s="452" t="s">
        <v>1289</v>
      </c>
      <c r="J68" s="363" t="s">
        <v>764</v>
      </c>
      <c r="K68" s="364">
        <v>1000000</v>
      </c>
      <c r="L68" s="365"/>
      <c r="M68" s="361"/>
      <c r="N68" s="365"/>
      <c r="O68" s="1326"/>
    </row>
    <row r="69" spans="1:15" s="366" customFormat="1" ht="46.8" x14ac:dyDescent="0.3">
      <c r="A69" s="388"/>
      <c r="B69" s="423" t="s">
        <v>1360</v>
      </c>
      <c r="C69" s="387" t="s">
        <v>1109</v>
      </c>
      <c r="D69" s="365"/>
      <c r="E69" s="365"/>
      <c r="F69" s="365"/>
      <c r="G69" s="365"/>
      <c r="H69" s="365"/>
      <c r="I69" s="452" t="s">
        <v>1359</v>
      </c>
      <c r="J69" s="363" t="s">
        <v>700</v>
      </c>
      <c r="K69" s="464">
        <v>18304436.829999998</v>
      </c>
      <c r="L69" s="365"/>
      <c r="M69" s="465"/>
      <c r="N69" s="365"/>
      <c r="O69" s="635"/>
    </row>
    <row r="70" spans="1:15" s="366" customFormat="1" ht="35.4" x14ac:dyDescent="0.35">
      <c r="A70" s="425">
        <v>8</v>
      </c>
      <c r="B70" s="437" t="s">
        <v>561</v>
      </c>
      <c r="C70" s="427"/>
      <c r="D70" s="428"/>
      <c r="E70" s="428"/>
      <c r="F70" s="428"/>
      <c r="G70" s="428"/>
      <c r="H70" s="428"/>
      <c r="I70" s="429" t="s">
        <v>1343</v>
      </c>
      <c r="J70" s="430"/>
      <c r="K70" s="438">
        <f>K71+K72+K73+K74+K75</f>
        <v>233880</v>
      </c>
      <c r="L70" s="428"/>
      <c r="M70" s="438">
        <f>M71+M72+M73+M74+M75</f>
        <v>0</v>
      </c>
      <c r="N70" s="428"/>
      <c r="O70" s="432" t="s">
        <v>151</v>
      </c>
    </row>
    <row r="71" spans="1:15" s="366" customFormat="1" ht="31.2" x14ac:dyDescent="0.3">
      <c r="A71" s="388"/>
      <c r="B71" s="459" t="s">
        <v>684</v>
      </c>
      <c r="C71" s="387" t="s">
        <v>1114</v>
      </c>
      <c r="D71" s="365"/>
      <c r="E71" s="365"/>
      <c r="F71" s="365"/>
      <c r="G71" s="365"/>
      <c r="H71" s="365"/>
      <c r="I71" s="452" t="s">
        <v>1259</v>
      </c>
      <c r="J71" s="363" t="s">
        <v>528</v>
      </c>
      <c r="K71" s="364">
        <v>106000</v>
      </c>
      <c r="L71" s="365"/>
      <c r="M71" s="361"/>
      <c r="N71" s="365"/>
      <c r="O71" s="1325"/>
    </row>
    <row r="72" spans="1:15" s="366" customFormat="1" ht="62.4" x14ac:dyDescent="0.3">
      <c r="A72" s="388"/>
      <c r="B72" s="459" t="s">
        <v>687</v>
      </c>
      <c r="C72" s="387" t="s">
        <v>1114</v>
      </c>
      <c r="D72" s="365"/>
      <c r="E72" s="365"/>
      <c r="F72" s="365"/>
      <c r="G72" s="365"/>
      <c r="H72" s="365"/>
      <c r="I72" s="452" t="s">
        <v>1260</v>
      </c>
      <c r="J72" s="363" t="s">
        <v>528</v>
      </c>
      <c r="K72" s="364">
        <v>53000</v>
      </c>
      <c r="L72" s="365"/>
      <c r="M72" s="361"/>
      <c r="N72" s="365"/>
      <c r="O72" s="1327"/>
    </row>
    <row r="73" spans="1:15" s="366" customFormat="1" ht="31.2" x14ac:dyDescent="0.3">
      <c r="A73" s="388"/>
      <c r="B73" s="459" t="s">
        <v>690</v>
      </c>
      <c r="C73" s="641" t="s">
        <v>1114</v>
      </c>
      <c r="D73" s="482"/>
      <c r="E73" s="482"/>
      <c r="F73" s="482"/>
      <c r="G73" s="482"/>
      <c r="H73" s="482"/>
      <c r="I73" s="480" t="s">
        <v>1261</v>
      </c>
      <c r="J73" s="564" t="s">
        <v>586</v>
      </c>
      <c r="K73" s="369">
        <v>24000</v>
      </c>
      <c r="L73" s="365"/>
      <c r="M73" s="361"/>
      <c r="N73" s="365"/>
      <c r="O73" s="1326"/>
    </row>
    <row r="74" spans="1:15" s="366" customFormat="1" ht="31.2" x14ac:dyDescent="0.3">
      <c r="A74" s="388"/>
      <c r="B74" s="565" t="s">
        <v>1171</v>
      </c>
      <c r="C74" s="387" t="s">
        <v>1172</v>
      </c>
      <c r="D74" s="365"/>
      <c r="E74" s="365"/>
      <c r="F74" s="365"/>
      <c r="G74" s="365"/>
      <c r="H74" s="365"/>
      <c r="I74" s="389" t="s">
        <v>1246</v>
      </c>
      <c r="J74" s="389" t="s">
        <v>528</v>
      </c>
      <c r="K74" s="485">
        <v>31800</v>
      </c>
      <c r="L74" s="365"/>
      <c r="M74" s="361"/>
      <c r="N74" s="365"/>
      <c r="O74" s="635"/>
    </row>
    <row r="75" spans="1:15" s="366" customFormat="1" ht="62.4" x14ac:dyDescent="0.3">
      <c r="A75" s="388"/>
      <c r="B75" s="565" t="s">
        <v>1173</v>
      </c>
      <c r="C75" s="387" t="s">
        <v>1172</v>
      </c>
      <c r="D75" s="365"/>
      <c r="E75" s="365"/>
      <c r="F75" s="365"/>
      <c r="G75" s="365"/>
      <c r="H75" s="365"/>
      <c r="I75" s="389" t="s">
        <v>1247</v>
      </c>
      <c r="J75" s="389" t="s">
        <v>528</v>
      </c>
      <c r="K75" s="485">
        <v>19080</v>
      </c>
      <c r="L75" s="365"/>
      <c r="M75" s="361"/>
      <c r="N75" s="365"/>
      <c r="O75" s="635"/>
    </row>
    <row r="76" spans="1:15" s="366" customFormat="1" ht="36" x14ac:dyDescent="0.35">
      <c r="A76" s="446">
        <v>9</v>
      </c>
      <c r="B76" s="566" t="s">
        <v>560</v>
      </c>
      <c r="C76" s="365"/>
      <c r="D76" s="365"/>
      <c r="E76" s="365"/>
      <c r="F76" s="365"/>
      <c r="G76" s="365"/>
      <c r="H76" s="365"/>
      <c r="I76" s="429" t="s">
        <v>1344</v>
      </c>
      <c r="J76" s="430"/>
      <c r="K76" s="436">
        <f>K77+K78+K79+K80+K81</f>
        <v>8435698</v>
      </c>
      <c r="L76" s="365"/>
      <c r="M76" s="436">
        <f>M77+M78+M79+M80+M81</f>
        <v>199296.64000000001</v>
      </c>
      <c r="N76" s="365"/>
      <c r="O76" s="432" t="s">
        <v>151</v>
      </c>
    </row>
    <row r="77" spans="1:15" s="366" customFormat="1" ht="18" x14ac:dyDescent="0.35">
      <c r="A77" s="446"/>
      <c r="B77" s="459" t="s">
        <v>787</v>
      </c>
      <c r="C77" s="387" t="s">
        <v>1116</v>
      </c>
      <c r="D77" s="365"/>
      <c r="E77" s="365"/>
      <c r="F77" s="365"/>
      <c r="G77" s="365"/>
      <c r="H77" s="365"/>
      <c r="I77" s="452" t="s">
        <v>1295</v>
      </c>
      <c r="J77" s="363" t="s">
        <v>586</v>
      </c>
      <c r="K77" s="457">
        <v>476999</v>
      </c>
      <c r="L77" s="365"/>
      <c r="M77" s="361">
        <v>10146.64</v>
      </c>
      <c r="N77" s="365"/>
      <c r="O77" s="1325"/>
    </row>
    <row r="78" spans="1:15" s="366" customFormat="1" ht="15.6" x14ac:dyDescent="0.3">
      <c r="A78" s="388"/>
      <c r="B78" s="534" t="s">
        <v>781</v>
      </c>
      <c r="C78" s="387" t="s">
        <v>1115</v>
      </c>
      <c r="D78" s="365"/>
      <c r="E78" s="365"/>
      <c r="F78" s="365"/>
      <c r="G78" s="365"/>
      <c r="H78" s="365"/>
      <c r="I78" s="452" t="s">
        <v>1293</v>
      </c>
      <c r="J78" s="363" t="s">
        <v>586</v>
      </c>
      <c r="K78" s="364">
        <f>450000+928700</f>
        <v>1378700</v>
      </c>
      <c r="L78" s="365"/>
      <c r="M78" s="361"/>
      <c r="N78" s="365"/>
      <c r="O78" s="1327"/>
    </row>
    <row r="79" spans="1:15" s="366" customFormat="1" ht="15.6" x14ac:dyDescent="0.3">
      <c r="A79" s="388"/>
      <c r="B79" s="459" t="s">
        <v>790</v>
      </c>
      <c r="C79" s="387" t="s">
        <v>1116</v>
      </c>
      <c r="D79" s="365"/>
      <c r="E79" s="365"/>
      <c r="F79" s="365"/>
      <c r="G79" s="365"/>
      <c r="H79" s="365"/>
      <c r="I79" s="452" t="s">
        <v>1296</v>
      </c>
      <c r="J79" s="363" t="s">
        <v>586</v>
      </c>
      <c r="K79" s="364">
        <v>529999</v>
      </c>
      <c r="L79" s="365"/>
      <c r="M79" s="361">
        <v>189150</v>
      </c>
      <c r="N79" s="365"/>
      <c r="O79" s="1327"/>
    </row>
    <row r="80" spans="1:15" s="366" customFormat="1" ht="31.2" x14ac:dyDescent="0.3">
      <c r="A80" s="388"/>
      <c r="B80" s="459" t="s">
        <v>784</v>
      </c>
      <c r="C80" s="387" t="s">
        <v>1115</v>
      </c>
      <c r="D80" s="365"/>
      <c r="E80" s="365"/>
      <c r="F80" s="365"/>
      <c r="G80" s="365"/>
      <c r="H80" s="365"/>
      <c r="I80" s="452" t="s">
        <v>1294</v>
      </c>
      <c r="J80" s="363" t="s">
        <v>586</v>
      </c>
      <c r="K80" s="364">
        <f>100000-50000</f>
        <v>50000</v>
      </c>
      <c r="L80" s="365"/>
      <c r="M80" s="361"/>
      <c r="N80" s="365"/>
      <c r="O80" s="1326"/>
    </row>
    <row r="81" spans="1:15" s="366" customFormat="1" ht="31.2" x14ac:dyDescent="0.3">
      <c r="A81" s="388"/>
      <c r="B81" s="521" t="s">
        <v>1297</v>
      </c>
      <c r="C81" s="387" t="s">
        <v>1116</v>
      </c>
      <c r="D81" s="365"/>
      <c r="E81" s="365"/>
      <c r="F81" s="365"/>
      <c r="G81" s="365"/>
      <c r="H81" s="365"/>
      <c r="I81" s="452" t="s">
        <v>1298</v>
      </c>
      <c r="J81" s="363" t="s">
        <v>700</v>
      </c>
      <c r="K81" s="364">
        <v>6000000</v>
      </c>
      <c r="L81" s="365"/>
      <c r="M81" s="361"/>
      <c r="N81" s="365"/>
      <c r="O81" s="635"/>
    </row>
    <row r="82" spans="1:15" s="366" customFormat="1" ht="70.2" x14ac:dyDescent="0.35">
      <c r="A82" s="446">
        <v>10</v>
      </c>
      <c r="B82" s="447" t="s">
        <v>562</v>
      </c>
      <c r="C82" s="365"/>
      <c r="D82" s="365"/>
      <c r="E82" s="365"/>
      <c r="F82" s="365"/>
      <c r="G82" s="365"/>
      <c r="H82" s="365"/>
      <c r="I82" s="429" t="s">
        <v>1345</v>
      </c>
      <c r="J82" s="430"/>
      <c r="K82" s="436">
        <f>K83+K87+K88+K89+K91+K95+K98+K103+K105+K107+K106+K104+K108+K90+K102</f>
        <v>77198451.469999999</v>
      </c>
      <c r="L82" s="365"/>
      <c r="M82" s="436">
        <f>M83+M87+M88+M89+M91+M95+M98+M103+M105+M107+M106+M104+M108+M90+M102</f>
        <v>10168581.48</v>
      </c>
      <c r="N82" s="365"/>
      <c r="O82" s="432" t="s">
        <v>1135</v>
      </c>
    </row>
    <row r="83" spans="1:15" s="366" customFormat="1" ht="15.6" x14ac:dyDescent="0.3">
      <c r="A83" s="1343"/>
      <c r="B83" s="1346" t="s">
        <v>796</v>
      </c>
      <c r="C83" s="387" t="s">
        <v>1131</v>
      </c>
      <c r="D83" s="388"/>
      <c r="E83" s="388"/>
      <c r="F83" s="388"/>
      <c r="G83" s="388"/>
      <c r="H83" s="388"/>
      <c r="I83" s="389" t="s">
        <v>1299</v>
      </c>
      <c r="J83" s="363"/>
      <c r="K83" s="364">
        <f>K84+K85+K86</f>
        <v>10546860.609999999</v>
      </c>
      <c r="L83" s="368"/>
      <c r="M83" s="364">
        <f>M84+M85+M86</f>
        <v>1434942.45</v>
      </c>
      <c r="N83" s="365"/>
      <c r="O83" s="1350" t="s">
        <v>1136</v>
      </c>
    </row>
    <row r="84" spans="1:15" s="366" customFormat="1" ht="15.6" x14ac:dyDescent="0.3">
      <c r="A84" s="1344"/>
      <c r="B84" s="1298"/>
      <c r="C84" s="382"/>
      <c r="D84" s="386"/>
      <c r="E84" s="386"/>
      <c r="F84" s="386"/>
      <c r="G84" s="386"/>
      <c r="H84" s="386"/>
      <c r="I84" s="383"/>
      <c r="J84" s="363" t="s">
        <v>162</v>
      </c>
      <c r="K84" s="364">
        <v>9687260.6099999994</v>
      </c>
      <c r="L84" s="365"/>
      <c r="M84" s="445">
        <f>524429.57+75+158298.21+536955.67+75+192902.57</f>
        <v>1412736.02</v>
      </c>
      <c r="N84" s="365"/>
      <c r="O84" s="1351"/>
    </row>
    <row r="85" spans="1:15" s="366" customFormat="1" ht="15.6" x14ac:dyDescent="0.3">
      <c r="A85" s="1344"/>
      <c r="B85" s="1298"/>
      <c r="C85" s="382"/>
      <c r="D85" s="362"/>
      <c r="E85" s="362"/>
      <c r="F85" s="362"/>
      <c r="G85" s="362"/>
      <c r="H85" s="362"/>
      <c r="I85" s="383"/>
      <c r="J85" s="363" t="s">
        <v>586</v>
      </c>
      <c r="K85" s="364">
        <v>847600</v>
      </c>
      <c r="L85" s="365"/>
      <c r="M85" s="361">
        <f>815.14+20591.29</f>
        <v>21406.43</v>
      </c>
      <c r="N85" s="365"/>
      <c r="O85" s="1351"/>
    </row>
    <row r="86" spans="1:15" s="366" customFormat="1" ht="15.6" x14ac:dyDescent="0.3">
      <c r="A86" s="1345"/>
      <c r="B86" s="1299"/>
      <c r="C86" s="384"/>
      <c r="D86" s="362"/>
      <c r="E86" s="362"/>
      <c r="F86" s="362"/>
      <c r="G86" s="362"/>
      <c r="H86" s="362"/>
      <c r="I86" s="385"/>
      <c r="J86" s="363" t="s">
        <v>528</v>
      </c>
      <c r="K86" s="364">
        <v>12000</v>
      </c>
      <c r="L86" s="365"/>
      <c r="M86" s="361">
        <f>800</f>
        <v>800</v>
      </c>
      <c r="N86" s="365"/>
      <c r="O86" s="1351"/>
    </row>
    <row r="87" spans="1:15" s="366" customFormat="1" ht="78" x14ac:dyDescent="0.35">
      <c r="A87" s="446"/>
      <c r="B87" s="478" t="s">
        <v>810</v>
      </c>
      <c r="C87" s="387" t="s">
        <v>1133</v>
      </c>
      <c r="D87" s="365"/>
      <c r="E87" s="365"/>
      <c r="F87" s="365"/>
      <c r="G87" s="365"/>
      <c r="H87" s="365"/>
      <c r="I87" s="452" t="s">
        <v>1302</v>
      </c>
      <c r="J87" s="363" t="s">
        <v>813</v>
      </c>
      <c r="K87" s="364">
        <v>18000000</v>
      </c>
      <c r="L87" s="365"/>
      <c r="M87" s="361">
        <f>2126908</f>
        <v>2126908</v>
      </c>
      <c r="N87" s="365"/>
      <c r="O87" s="1351"/>
    </row>
    <row r="88" spans="1:15" s="366" customFormat="1" ht="31.2" x14ac:dyDescent="0.35">
      <c r="A88" s="446"/>
      <c r="B88" s="459" t="s">
        <v>805</v>
      </c>
      <c r="C88" s="387" t="s">
        <v>1132</v>
      </c>
      <c r="D88" s="365"/>
      <c r="E88" s="365"/>
      <c r="F88" s="365"/>
      <c r="G88" s="365"/>
      <c r="H88" s="365"/>
      <c r="I88" s="452" t="s">
        <v>1301</v>
      </c>
      <c r="J88" s="363" t="s">
        <v>808</v>
      </c>
      <c r="K88" s="364">
        <f>51963.84-51963.84</f>
        <v>0</v>
      </c>
      <c r="L88" s="365"/>
      <c r="M88" s="361"/>
      <c r="N88" s="365"/>
      <c r="O88" s="1351"/>
    </row>
    <row r="89" spans="1:15" s="366" customFormat="1" ht="49.5" customHeight="1" x14ac:dyDescent="0.35">
      <c r="A89" s="493"/>
      <c r="B89" s="1297" t="s">
        <v>801</v>
      </c>
      <c r="C89" s="1347" t="s">
        <v>1131</v>
      </c>
      <c r="D89" s="522"/>
      <c r="E89" s="522"/>
      <c r="F89" s="522"/>
      <c r="G89" s="522"/>
      <c r="H89" s="522"/>
      <c r="I89" s="1295" t="s">
        <v>1300</v>
      </c>
      <c r="J89" s="363" t="s">
        <v>162</v>
      </c>
      <c r="K89" s="464">
        <f>600000+10000</f>
        <v>610000</v>
      </c>
      <c r="L89" s="365"/>
      <c r="M89" s="361">
        <f>30041.46+9072.51+32340.46+8828.94</f>
        <v>80283.37</v>
      </c>
      <c r="N89" s="365"/>
      <c r="O89" s="1352"/>
    </row>
    <row r="90" spans="1:15" s="366" customFormat="1" ht="27.75" hidden="1" customHeight="1" x14ac:dyDescent="0.35">
      <c r="A90" s="494"/>
      <c r="B90" s="1299"/>
      <c r="C90" s="1348"/>
      <c r="D90" s="522"/>
      <c r="E90" s="522"/>
      <c r="F90" s="522"/>
      <c r="G90" s="522"/>
      <c r="H90" s="522"/>
      <c r="I90" s="1285"/>
      <c r="J90" s="363" t="s">
        <v>586</v>
      </c>
      <c r="K90" s="364"/>
      <c r="L90" s="365"/>
      <c r="M90" s="491"/>
      <c r="N90" s="365"/>
      <c r="O90" s="649"/>
    </row>
    <row r="91" spans="1:15" s="366" customFormat="1" ht="15.6" x14ac:dyDescent="0.3">
      <c r="A91" s="1349"/>
      <c r="B91" s="1297" t="s">
        <v>904</v>
      </c>
      <c r="C91" s="387" t="s">
        <v>1134</v>
      </c>
      <c r="D91" s="388"/>
      <c r="E91" s="388"/>
      <c r="F91" s="388"/>
      <c r="G91" s="388"/>
      <c r="H91" s="388"/>
      <c r="I91" s="389" t="s">
        <v>1328</v>
      </c>
      <c r="J91" s="363"/>
      <c r="K91" s="364">
        <f>K92+K93+K94</f>
        <v>5332603.96</v>
      </c>
      <c r="L91" s="368"/>
      <c r="M91" s="364">
        <f>M92+M93+M94</f>
        <v>785997.97</v>
      </c>
      <c r="N91" s="365"/>
      <c r="O91" s="1288" t="s">
        <v>1097</v>
      </c>
    </row>
    <row r="92" spans="1:15" s="366" customFormat="1" ht="15.6" x14ac:dyDescent="0.3">
      <c r="A92" s="1344"/>
      <c r="B92" s="1298"/>
      <c r="C92" s="382"/>
      <c r="D92" s="386"/>
      <c r="E92" s="386"/>
      <c r="F92" s="386"/>
      <c r="G92" s="386"/>
      <c r="H92" s="386"/>
      <c r="I92" s="383"/>
      <c r="J92" s="363" t="s">
        <v>162</v>
      </c>
      <c r="K92" s="364">
        <v>5094348.96</v>
      </c>
      <c r="L92" s="365"/>
      <c r="M92" s="361">
        <f>267156.78+80681.33+323666.55+97747.31</f>
        <v>769251.97</v>
      </c>
      <c r="N92" s="365"/>
      <c r="O92" s="1289"/>
    </row>
    <row r="93" spans="1:15" s="366" customFormat="1" ht="15.6" x14ac:dyDescent="0.3">
      <c r="A93" s="1344"/>
      <c r="B93" s="1298"/>
      <c r="C93" s="382"/>
      <c r="D93" s="362"/>
      <c r="E93" s="362"/>
      <c r="F93" s="362"/>
      <c r="G93" s="362"/>
      <c r="H93" s="362"/>
      <c r="I93" s="383"/>
      <c r="J93" s="363" t="s">
        <v>586</v>
      </c>
      <c r="K93" s="364">
        <v>237874</v>
      </c>
      <c r="L93" s="365"/>
      <c r="M93" s="361">
        <f>2490+14256</f>
        <v>16746</v>
      </c>
      <c r="N93" s="365"/>
      <c r="O93" s="1289"/>
    </row>
    <row r="94" spans="1:15" s="366" customFormat="1" ht="15.6" x14ac:dyDescent="0.3">
      <c r="A94" s="1345"/>
      <c r="B94" s="1299"/>
      <c r="C94" s="384"/>
      <c r="D94" s="362"/>
      <c r="E94" s="362"/>
      <c r="F94" s="362"/>
      <c r="G94" s="362"/>
      <c r="H94" s="362"/>
      <c r="I94" s="383"/>
      <c r="J94" s="363" t="s">
        <v>528</v>
      </c>
      <c r="K94" s="364">
        <v>381</v>
      </c>
      <c r="L94" s="365"/>
      <c r="M94" s="361"/>
      <c r="N94" s="365"/>
      <c r="O94" s="1289"/>
    </row>
    <row r="95" spans="1:15" s="366" customFormat="1" ht="18" x14ac:dyDescent="0.35">
      <c r="A95" s="446"/>
      <c r="B95" s="1300" t="s">
        <v>909</v>
      </c>
      <c r="C95" s="643" t="s">
        <v>1134</v>
      </c>
      <c r="D95" s="479"/>
      <c r="E95" s="479"/>
      <c r="F95" s="479"/>
      <c r="G95" s="479"/>
      <c r="H95" s="479"/>
      <c r="I95" s="389" t="s">
        <v>1329</v>
      </c>
      <c r="J95" s="363"/>
      <c r="K95" s="364">
        <f>K96+K97</f>
        <v>1600220.1800000002</v>
      </c>
      <c r="L95" s="365"/>
      <c r="M95" s="364">
        <f>M96+M97</f>
        <v>286247.06</v>
      </c>
      <c r="N95" s="365"/>
      <c r="O95" s="1290"/>
    </row>
    <row r="96" spans="1:15" s="366" customFormat="1" ht="18" x14ac:dyDescent="0.35">
      <c r="A96" s="481"/>
      <c r="B96" s="1301"/>
      <c r="C96" s="1303"/>
      <c r="D96" s="482"/>
      <c r="E96" s="482"/>
      <c r="F96" s="482"/>
      <c r="G96" s="482"/>
      <c r="H96" s="482"/>
      <c r="I96" s="1305"/>
      <c r="J96" s="363" t="s">
        <v>586</v>
      </c>
      <c r="K96" s="650">
        <f>810750.26+771343.92</f>
        <v>1582094.1800000002</v>
      </c>
      <c r="L96" s="365"/>
      <c r="M96" s="361">
        <f>26103.04+260144.02</f>
        <v>286247.06</v>
      </c>
      <c r="N96" s="365"/>
      <c r="O96" s="636"/>
    </row>
    <row r="97" spans="1:15" s="366" customFormat="1" ht="18" x14ac:dyDescent="0.35">
      <c r="A97" s="481"/>
      <c r="B97" s="1302"/>
      <c r="C97" s="1304"/>
      <c r="D97" s="482"/>
      <c r="E97" s="482"/>
      <c r="F97" s="482"/>
      <c r="G97" s="482"/>
      <c r="H97" s="482"/>
      <c r="I97" s="1306"/>
      <c r="J97" s="363" t="s">
        <v>528</v>
      </c>
      <c r="K97" s="369">
        <v>18126</v>
      </c>
      <c r="L97" s="365"/>
      <c r="M97" s="361"/>
      <c r="N97" s="365"/>
      <c r="O97" s="636"/>
    </row>
    <row r="98" spans="1:15" s="474" customFormat="1" ht="15.6" x14ac:dyDescent="0.3">
      <c r="A98" s="1357"/>
      <c r="B98" s="1360" t="s">
        <v>1230</v>
      </c>
      <c r="C98" s="395" t="s">
        <v>1093</v>
      </c>
      <c r="D98" s="475"/>
      <c r="E98" s="475"/>
      <c r="F98" s="475"/>
      <c r="G98" s="475"/>
      <c r="H98" s="475"/>
      <c r="I98" s="397" t="s">
        <v>1226</v>
      </c>
      <c r="J98" s="371"/>
      <c r="K98" s="372">
        <f>K99+K100+K101</f>
        <v>28501970.560000002</v>
      </c>
      <c r="L98" s="476"/>
      <c r="M98" s="372">
        <f>M99+M100+M101</f>
        <v>3784434.89</v>
      </c>
      <c r="N98" s="476"/>
      <c r="O98" s="1280" t="s">
        <v>151</v>
      </c>
    </row>
    <row r="99" spans="1:15" s="474" customFormat="1" ht="15.6" x14ac:dyDescent="0.3">
      <c r="A99" s="1358"/>
      <c r="B99" s="1361"/>
      <c r="C99" s="390"/>
      <c r="D99" s="517"/>
      <c r="E99" s="517"/>
      <c r="F99" s="517"/>
      <c r="G99" s="517"/>
      <c r="H99" s="517"/>
      <c r="I99" s="391"/>
      <c r="J99" s="371" t="s">
        <v>162</v>
      </c>
      <c r="K99" s="650">
        <f>24557419.37-365566</f>
        <v>24191853.370000001</v>
      </c>
      <c r="L99" s="476"/>
      <c r="M99" s="445">
        <f>1217872.51+88843.54+627345.62+1042801.37+36724.5+434017.63</f>
        <v>3447605.17</v>
      </c>
      <c r="N99" s="476"/>
      <c r="O99" s="1282"/>
    </row>
    <row r="100" spans="1:15" s="474" customFormat="1" ht="15.6" x14ac:dyDescent="0.3">
      <c r="A100" s="1358"/>
      <c r="B100" s="1361"/>
      <c r="C100" s="390"/>
      <c r="D100" s="518"/>
      <c r="E100" s="518"/>
      <c r="F100" s="518"/>
      <c r="G100" s="518"/>
      <c r="H100" s="518"/>
      <c r="I100" s="391"/>
      <c r="J100" s="371" t="s">
        <v>586</v>
      </c>
      <c r="K100" s="650">
        <f>3678500+365566</f>
        <v>4044066</v>
      </c>
      <c r="L100" s="476"/>
      <c r="M100" s="445">
        <f>101785.52+235044.2</f>
        <v>336829.72000000003</v>
      </c>
      <c r="N100" s="476"/>
      <c r="O100" s="1282"/>
    </row>
    <row r="101" spans="1:15" s="474" customFormat="1" ht="15.6" x14ac:dyDescent="0.3">
      <c r="A101" s="1359"/>
      <c r="B101" s="1362"/>
      <c r="C101" s="392"/>
      <c r="D101" s="518"/>
      <c r="E101" s="518"/>
      <c r="F101" s="518"/>
      <c r="G101" s="518"/>
      <c r="H101" s="518"/>
      <c r="I101" s="393"/>
      <c r="J101" s="371" t="s">
        <v>528</v>
      </c>
      <c r="K101" s="372">
        <v>266051.19</v>
      </c>
      <c r="L101" s="476"/>
      <c r="M101" s="445"/>
      <c r="N101" s="476"/>
      <c r="O101" s="1282"/>
    </row>
    <row r="102" spans="1:15" s="515" customFormat="1" ht="31.2" x14ac:dyDescent="0.3">
      <c r="A102" s="651"/>
      <c r="B102" s="652" t="s">
        <v>1353</v>
      </c>
      <c r="C102" s="653" t="s">
        <v>1093</v>
      </c>
      <c r="D102" s="654"/>
      <c r="E102" s="654"/>
      <c r="F102" s="654"/>
      <c r="G102" s="654"/>
      <c r="H102" s="654"/>
      <c r="I102" s="655" t="s">
        <v>1354</v>
      </c>
      <c r="J102" s="656" t="s">
        <v>528</v>
      </c>
      <c r="K102" s="650">
        <v>400000</v>
      </c>
      <c r="L102" s="463"/>
      <c r="M102" s="424"/>
      <c r="N102" s="463"/>
      <c r="O102" s="1281"/>
    </row>
    <row r="103" spans="1:15" s="366" customFormat="1" ht="46.8" x14ac:dyDescent="0.3">
      <c r="A103" s="388"/>
      <c r="B103" s="459" t="s">
        <v>610</v>
      </c>
      <c r="C103" s="387" t="s">
        <v>1130</v>
      </c>
      <c r="D103" s="365"/>
      <c r="E103" s="365"/>
      <c r="F103" s="365"/>
      <c r="G103" s="365"/>
      <c r="H103" s="365"/>
      <c r="I103" s="452" t="s">
        <v>1233</v>
      </c>
      <c r="J103" s="363" t="s">
        <v>613</v>
      </c>
      <c r="K103" s="364">
        <v>11822578.16</v>
      </c>
      <c r="L103" s="365"/>
      <c r="M103" s="361">
        <f>582207.78+1087559.96</f>
        <v>1669767.74</v>
      </c>
      <c r="N103" s="365"/>
      <c r="O103" s="1282"/>
    </row>
    <row r="104" spans="1:15" s="366" customFormat="1" ht="15.6" hidden="1" x14ac:dyDescent="0.3">
      <c r="A104" s="388"/>
      <c r="B104" s="459" t="s">
        <v>1174</v>
      </c>
      <c r="C104" s="387" t="s">
        <v>1130</v>
      </c>
      <c r="D104" s="365"/>
      <c r="E104" s="365"/>
      <c r="F104" s="365"/>
      <c r="G104" s="365"/>
      <c r="H104" s="365"/>
      <c r="I104" s="452" t="s">
        <v>1175</v>
      </c>
      <c r="J104" s="363" t="s">
        <v>528</v>
      </c>
      <c r="K104" s="364"/>
      <c r="L104" s="365"/>
      <c r="M104" s="361"/>
      <c r="N104" s="365"/>
      <c r="O104" s="1282"/>
    </row>
    <row r="105" spans="1:15" s="474" customFormat="1" ht="15.6" x14ac:dyDescent="0.3">
      <c r="A105" s="475"/>
      <c r="B105" s="423" t="s">
        <v>604</v>
      </c>
      <c r="C105" s="395" t="s">
        <v>1129</v>
      </c>
      <c r="D105" s="476"/>
      <c r="E105" s="476"/>
      <c r="F105" s="476"/>
      <c r="G105" s="476"/>
      <c r="H105" s="476"/>
      <c r="I105" s="477" t="s">
        <v>1229</v>
      </c>
      <c r="J105" s="371" t="s">
        <v>528</v>
      </c>
      <c r="K105" s="457">
        <v>334218</v>
      </c>
      <c r="L105" s="476"/>
      <c r="M105" s="445"/>
      <c r="N105" s="476"/>
      <c r="O105" s="1282"/>
    </row>
    <row r="106" spans="1:15" s="366" customFormat="1" ht="31.2" x14ac:dyDescent="0.3">
      <c r="A106" s="388"/>
      <c r="B106" s="459" t="s">
        <v>771</v>
      </c>
      <c r="C106" s="387" t="s">
        <v>1111</v>
      </c>
      <c r="D106" s="365"/>
      <c r="E106" s="365"/>
      <c r="F106" s="365"/>
      <c r="G106" s="365"/>
      <c r="H106" s="365"/>
      <c r="I106" s="452" t="s">
        <v>1290</v>
      </c>
      <c r="J106" s="363" t="s">
        <v>586</v>
      </c>
      <c r="K106" s="364">
        <v>50000</v>
      </c>
      <c r="L106" s="365"/>
      <c r="M106" s="361"/>
      <c r="N106" s="365"/>
      <c r="O106" s="1282"/>
    </row>
    <row r="107" spans="1:15" s="366" customFormat="1" ht="62.4" hidden="1" x14ac:dyDescent="0.3">
      <c r="A107" s="388"/>
      <c r="B107" s="483" t="s">
        <v>1187</v>
      </c>
      <c r="C107" s="387" t="s">
        <v>1161</v>
      </c>
      <c r="D107" s="365"/>
      <c r="E107" s="365"/>
      <c r="F107" s="365"/>
      <c r="G107" s="365"/>
      <c r="H107" s="365"/>
      <c r="I107" s="452" t="s">
        <v>1162</v>
      </c>
      <c r="J107" s="363" t="s">
        <v>528</v>
      </c>
      <c r="K107" s="369"/>
      <c r="L107" s="365"/>
      <c r="M107" s="361"/>
      <c r="N107" s="365"/>
      <c r="O107" s="1283"/>
    </row>
    <row r="108" spans="1:15" s="366" customFormat="1" ht="62.4" hidden="1" x14ac:dyDescent="0.3">
      <c r="A108" s="388"/>
      <c r="B108" s="423" t="s">
        <v>1188</v>
      </c>
      <c r="C108" s="387" t="s">
        <v>1185</v>
      </c>
      <c r="D108" s="365"/>
      <c r="E108" s="365"/>
      <c r="F108" s="365"/>
      <c r="G108" s="365"/>
      <c r="H108" s="365"/>
      <c r="I108" s="484" t="s">
        <v>1186</v>
      </c>
      <c r="J108" s="389" t="s">
        <v>528</v>
      </c>
      <c r="K108" s="485"/>
      <c r="L108" s="365"/>
      <c r="M108" s="486"/>
      <c r="N108" s="365"/>
      <c r="O108" s="630" t="s">
        <v>968</v>
      </c>
    </row>
    <row r="109" spans="1:15" s="366" customFormat="1" ht="72" x14ac:dyDescent="0.35">
      <c r="A109" s="425">
        <v>11</v>
      </c>
      <c r="B109" s="435" t="s">
        <v>563</v>
      </c>
      <c r="C109" s="428"/>
      <c r="D109" s="428"/>
      <c r="E109" s="428"/>
      <c r="F109" s="428"/>
      <c r="G109" s="428"/>
      <c r="H109" s="428"/>
      <c r="I109" s="429" t="s">
        <v>1346</v>
      </c>
      <c r="J109" s="430"/>
      <c r="K109" s="436">
        <f>K110+K111+K112+K113+K114+K115+K117+K118+K116</f>
        <v>5308249.99</v>
      </c>
      <c r="L109" s="428"/>
      <c r="M109" s="436">
        <f>M110+M111+M112+M113+M114+M115+M117+M118+M116</f>
        <v>352024.62999999995</v>
      </c>
      <c r="N109" s="428"/>
      <c r="O109" s="432" t="s">
        <v>1147</v>
      </c>
    </row>
    <row r="110" spans="1:15" s="366" customFormat="1" ht="46.8" x14ac:dyDescent="0.35">
      <c r="A110" s="425"/>
      <c r="B110" s="459" t="s">
        <v>618</v>
      </c>
      <c r="C110" s="387" t="s">
        <v>1137</v>
      </c>
      <c r="D110" s="428"/>
      <c r="E110" s="428"/>
      <c r="F110" s="428"/>
      <c r="G110" s="428"/>
      <c r="H110" s="428"/>
      <c r="I110" s="452" t="s">
        <v>1235</v>
      </c>
      <c r="J110" s="363" t="s">
        <v>586</v>
      </c>
      <c r="K110" s="364">
        <v>515000</v>
      </c>
      <c r="L110" s="428"/>
      <c r="M110" s="487">
        <v>30000</v>
      </c>
      <c r="N110" s="428"/>
      <c r="O110" s="1288" t="s">
        <v>151</v>
      </c>
    </row>
    <row r="111" spans="1:15" s="366" customFormat="1" ht="18" x14ac:dyDescent="0.35">
      <c r="A111" s="425"/>
      <c r="B111" s="459" t="s">
        <v>621</v>
      </c>
      <c r="C111" s="387" t="s">
        <v>1137</v>
      </c>
      <c r="D111" s="428"/>
      <c r="E111" s="428"/>
      <c r="F111" s="428"/>
      <c r="G111" s="428"/>
      <c r="H111" s="428"/>
      <c r="I111" s="452" t="s">
        <v>1236</v>
      </c>
      <c r="J111" s="363" t="s">
        <v>586</v>
      </c>
      <c r="K111" s="364">
        <v>212500</v>
      </c>
      <c r="L111" s="428"/>
      <c r="M111" s="487">
        <v>20531.04</v>
      </c>
      <c r="N111" s="428"/>
      <c r="O111" s="1289"/>
    </row>
    <row r="112" spans="1:15" s="366" customFormat="1" ht="31.2" x14ac:dyDescent="0.35">
      <c r="A112" s="425"/>
      <c r="B112" s="459" t="s">
        <v>731</v>
      </c>
      <c r="C112" s="387" t="s">
        <v>1107</v>
      </c>
      <c r="D112" s="428"/>
      <c r="E112" s="428"/>
      <c r="F112" s="428"/>
      <c r="G112" s="428"/>
      <c r="H112" s="428"/>
      <c r="I112" s="452" t="s">
        <v>1274</v>
      </c>
      <c r="J112" s="363" t="s">
        <v>586</v>
      </c>
      <c r="K112" s="364">
        <v>50000</v>
      </c>
      <c r="L112" s="428"/>
      <c r="M112" s="487"/>
      <c r="N112" s="428"/>
      <c r="O112" s="1289"/>
    </row>
    <row r="113" spans="1:15" s="515" customFormat="1" ht="31.2" x14ac:dyDescent="0.35">
      <c r="A113" s="567"/>
      <c r="B113" s="423" t="s">
        <v>736</v>
      </c>
      <c r="C113" s="395" t="s">
        <v>1107</v>
      </c>
      <c r="D113" s="568"/>
      <c r="E113" s="568"/>
      <c r="F113" s="568"/>
      <c r="G113" s="568"/>
      <c r="H113" s="568"/>
      <c r="I113" s="477" t="s">
        <v>1275</v>
      </c>
      <c r="J113" s="371" t="s">
        <v>586</v>
      </c>
      <c r="K113" s="457">
        <v>53000</v>
      </c>
      <c r="L113" s="568"/>
      <c r="M113" s="569"/>
      <c r="N113" s="570"/>
      <c r="O113" s="1290"/>
    </row>
    <row r="114" spans="1:15" s="366" customFormat="1" ht="31.2" x14ac:dyDescent="0.35">
      <c r="A114" s="425"/>
      <c r="B114" s="459" t="s">
        <v>834</v>
      </c>
      <c r="C114" s="387" t="s">
        <v>1105</v>
      </c>
      <c r="D114" s="428"/>
      <c r="E114" s="428"/>
      <c r="F114" s="428"/>
      <c r="G114" s="428"/>
      <c r="H114" s="428"/>
      <c r="I114" s="452" t="s">
        <v>1308</v>
      </c>
      <c r="J114" s="363" t="s">
        <v>613</v>
      </c>
      <c r="K114" s="364">
        <v>1650000</v>
      </c>
      <c r="L114" s="428"/>
      <c r="M114" s="487"/>
      <c r="N114" s="428"/>
      <c r="O114" s="1291" t="s">
        <v>968</v>
      </c>
    </row>
    <row r="115" spans="1:15" s="366" customFormat="1" ht="31.5" customHeight="1" x14ac:dyDescent="0.35">
      <c r="A115" s="425"/>
      <c r="B115" s="1293" t="s">
        <v>831</v>
      </c>
      <c r="C115" s="387" t="s">
        <v>1105</v>
      </c>
      <c r="D115" s="428"/>
      <c r="E115" s="428"/>
      <c r="F115" s="428"/>
      <c r="G115" s="428"/>
      <c r="H115" s="428"/>
      <c r="I115" s="1295" t="s">
        <v>1307</v>
      </c>
      <c r="J115" s="363" t="s">
        <v>613</v>
      </c>
      <c r="K115" s="364">
        <v>300000</v>
      </c>
      <c r="L115" s="428"/>
      <c r="M115" s="487"/>
      <c r="N115" s="428"/>
      <c r="O115" s="1292"/>
    </row>
    <row r="116" spans="1:15" s="366" customFormat="1" ht="18" hidden="1" x14ac:dyDescent="0.35">
      <c r="A116" s="425"/>
      <c r="B116" s="1294"/>
      <c r="C116" s="387" t="s">
        <v>1142</v>
      </c>
      <c r="D116" s="428"/>
      <c r="E116" s="428"/>
      <c r="F116" s="428"/>
      <c r="G116" s="428"/>
      <c r="H116" s="428"/>
      <c r="I116" s="1296"/>
      <c r="J116" s="363" t="s">
        <v>613</v>
      </c>
      <c r="K116" s="369"/>
      <c r="L116" s="428"/>
      <c r="M116" s="487"/>
      <c r="N116" s="428"/>
      <c r="O116" s="640"/>
    </row>
    <row r="117" spans="1:15" s="366" customFormat="1" ht="31.2" x14ac:dyDescent="0.35">
      <c r="A117" s="425"/>
      <c r="B117" s="459" t="s">
        <v>912</v>
      </c>
      <c r="C117" s="387" t="s">
        <v>1138</v>
      </c>
      <c r="D117" s="428"/>
      <c r="E117" s="428"/>
      <c r="F117" s="428"/>
      <c r="G117" s="428"/>
      <c r="H117" s="428"/>
      <c r="I117" s="452" t="s">
        <v>1330</v>
      </c>
      <c r="J117" s="363" t="s">
        <v>613</v>
      </c>
      <c r="K117" s="369">
        <v>2497749.9900000002</v>
      </c>
      <c r="L117" s="428"/>
      <c r="M117" s="487">
        <f>156868.34+144625.25</f>
        <v>301493.58999999997</v>
      </c>
      <c r="N117" s="428"/>
      <c r="O117" s="495" t="s">
        <v>1097</v>
      </c>
    </row>
    <row r="118" spans="1:15" s="366" customFormat="1" ht="51" customHeight="1" x14ac:dyDescent="0.35">
      <c r="A118" s="425"/>
      <c r="B118" s="521" t="s">
        <v>1198</v>
      </c>
      <c r="C118" s="387" t="s">
        <v>1107</v>
      </c>
      <c r="D118" s="428"/>
      <c r="E118" s="428"/>
      <c r="F118" s="428"/>
      <c r="G118" s="428"/>
      <c r="H118" s="428"/>
      <c r="I118" s="484" t="s">
        <v>1276</v>
      </c>
      <c r="J118" s="389" t="s">
        <v>586</v>
      </c>
      <c r="K118" s="485">
        <v>30000</v>
      </c>
      <c r="L118" s="428"/>
      <c r="M118" s="533"/>
      <c r="N118" s="428"/>
      <c r="O118" s="495"/>
    </row>
    <row r="119" spans="1:15" s="366" customFormat="1" ht="52.8" x14ac:dyDescent="0.35">
      <c r="A119" s="425">
        <v>12</v>
      </c>
      <c r="B119" s="435" t="s">
        <v>558</v>
      </c>
      <c r="C119" s="428"/>
      <c r="D119" s="428"/>
      <c r="E119" s="428"/>
      <c r="F119" s="428"/>
      <c r="G119" s="428"/>
      <c r="H119" s="428"/>
      <c r="I119" s="429" t="s">
        <v>1347</v>
      </c>
      <c r="J119" s="430"/>
      <c r="K119" s="436">
        <f>K120+K121+K122+K123+K124+K125+K126+K127+K128+K129+K130+K132+K133+K134+K135+K139+K143+K131</f>
        <v>243702075.58000004</v>
      </c>
      <c r="L119" s="428"/>
      <c r="M119" s="436">
        <f>M120+M121+M122+M123+M124+M125+M126+M127+M128+M129+M130+M132+M133+M134+M135+M139+M143+M131</f>
        <v>27774466.66</v>
      </c>
      <c r="N119" s="428"/>
      <c r="O119" s="432" t="s">
        <v>1147</v>
      </c>
    </row>
    <row r="120" spans="1:15" s="366" customFormat="1" ht="18" hidden="1" x14ac:dyDescent="0.35">
      <c r="A120" s="425"/>
      <c r="B120" s="423" t="s">
        <v>1153</v>
      </c>
      <c r="C120" s="387" t="s">
        <v>1139</v>
      </c>
      <c r="D120" s="428"/>
      <c r="E120" s="428"/>
      <c r="F120" s="428"/>
      <c r="G120" s="428"/>
      <c r="H120" s="428"/>
      <c r="I120" s="452" t="s">
        <v>818</v>
      </c>
      <c r="J120" s="363" t="s">
        <v>586</v>
      </c>
      <c r="K120" s="364">
        <v>0</v>
      </c>
      <c r="L120" s="428"/>
      <c r="M120" s="487"/>
      <c r="N120" s="428"/>
      <c r="O120" s="1288" t="s">
        <v>151</v>
      </c>
    </row>
    <row r="121" spans="1:15" s="366" customFormat="1" ht="18" x14ac:dyDescent="0.35">
      <c r="A121" s="425"/>
      <c r="B121" s="459" t="s">
        <v>725</v>
      </c>
      <c r="C121" s="387" t="s">
        <v>1140</v>
      </c>
      <c r="D121" s="428"/>
      <c r="E121" s="428"/>
      <c r="F121" s="428"/>
      <c r="G121" s="428"/>
      <c r="H121" s="428"/>
      <c r="I121" s="452" t="s">
        <v>1272</v>
      </c>
      <c r="J121" s="363" t="s">
        <v>586</v>
      </c>
      <c r="K121" s="457">
        <v>8000000</v>
      </c>
      <c r="L121" s="428"/>
      <c r="M121" s="487"/>
      <c r="N121" s="428"/>
      <c r="O121" s="1289"/>
    </row>
    <row r="122" spans="1:15" s="366" customFormat="1" ht="31.2" x14ac:dyDescent="0.35">
      <c r="A122" s="425"/>
      <c r="B122" s="459" t="s">
        <v>1278</v>
      </c>
      <c r="C122" s="387" t="s">
        <v>1107</v>
      </c>
      <c r="D122" s="428"/>
      <c r="E122" s="428"/>
      <c r="F122" s="428"/>
      <c r="G122" s="428"/>
      <c r="H122" s="428"/>
      <c r="I122" s="452" t="s">
        <v>1277</v>
      </c>
      <c r="J122" s="363" t="s">
        <v>586</v>
      </c>
      <c r="K122" s="457">
        <v>114734.39999999999</v>
      </c>
      <c r="L122" s="428"/>
      <c r="M122" s="487">
        <v>1100</v>
      </c>
      <c r="N122" s="428"/>
      <c r="O122" s="1290"/>
    </row>
    <row r="123" spans="1:15" s="366" customFormat="1" ht="31.2" x14ac:dyDescent="0.35">
      <c r="A123" s="425"/>
      <c r="B123" s="459" t="s">
        <v>915</v>
      </c>
      <c r="C123" s="387" t="s">
        <v>1146</v>
      </c>
      <c r="D123" s="428"/>
      <c r="E123" s="428"/>
      <c r="F123" s="428"/>
      <c r="G123" s="428"/>
      <c r="H123" s="428"/>
      <c r="I123" s="452" t="s">
        <v>1331</v>
      </c>
      <c r="J123" s="363" t="s">
        <v>613</v>
      </c>
      <c r="K123" s="457">
        <v>7636834.5599999996</v>
      </c>
      <c r="L123" s="428"/>
      <c r="M123" s="487">
        <f>363230.85+492151.88</f>
        <v>855382.73</v>
      </c>
      <c r="N123" s="428"/>
      <c r="O123" s="637" t="s">
        <v>1097</v>
      </c>
    </row>
    <row r="124" spans="1:15" s="366" customFormat="1" ht="18" x14ac:dyDescent="0.35">
      <c r="A124" s="425"/>
      <c r="B124" s="459" t="s">
        <v>817</v>
      </c>
      <c r="C124" s="387" t="s">
        <v>1142</v>
      </c>
      <c r="D124" s="428"/>
      <c r="E124" s="428"/>
      <c r="F124" s="428"/>
      <c r="G124" s="428"/>
      <c r="H124" s="428"/>
      <c r="I124" s="452" t="s">
        <v>1304</v>
      </c>
      <c r="J124" s="363" t="s">
        <v>613</v>
      </c>
      <c r="K124" s="464">
        <f>1200000+36882185.35</f>
        <v>38082185.350000001</v>
      </c>
      <c r="L124" s="428"/>
      <c r="M124" s="487">
        <f>585817.49+80129.95</f>
        <v>665947.43999999994</v>
      </c>
      <c r="N124" s="428"/>
      <c r="O124" s="1288" t="s">
        <v>968</v>
      </c>
    </row>
    <row r="125" spans="1:15" s="366" customFormat="1" ht="31.2" x14ac:dyDescent="0.35">
      <c r="A125" s="425"/>
      <c r="B125" s="459" t="s">
        <v>814</v>
      </c>
      <c r="C125" s="387" t="s">
        <v>1142</v>
      </c>
      <c r="D125" s="428"/>
      <c r="E125" s="428"/>
      <c r="F125" s="428"/>
      <c r="G125" s="428"/>
      <c r="H125" s="428"/>
      <c r="I125" s="452" t="s">
        <v>1303</v>
      </c>
      <c r="J125" s="363" t="s">
        <v>613</v>
      </c>
      <c r="K125" s="464">
        <f>34085991.49+3149000</f>
        <v>37234991.490000002</v>
      </c>
      <c r="L125" s="428"/>
      <c r="M125" s="487">
        <f>2356160.12+452255.67+3660357.99+873532.27+21680+65980</f>
        <v>7429966.0500000007</v>
      </c>
      <c r="N125" s="428"/>
      <c r="O125" s="1289"/>
    </row>
    <row r="126" spans="1:15" s="366" customFormat="1" ht="31.2" x14ac:dyDescent="0.35">
      <c r="A126" s="425"/>
      <c r="B126" s="459" t="s">
        <v>837</v>
      </c>
      <c r="C126" s="387" t="s">
        <v>1105</v>
      </c>
      <c r="D126" s="428"/>
      <c r="E126" s="428"/>
      <c r="F126" s="428"/>
      <c r="G126" s="428"/>
      <c r="H126" s="428"/>
      <c r="I126" s="452" t="s">
        <v>1309</v>
      </c>
      <c r="J126" s="363" t="s">
        <v>613</v>
      </c>
      <c r="K126" s="464">
        <f>95155748.66+5078000</f>
        <v>100233748.66</v>
      </c>
      <c r="L126" s="428"/>
      <c r="M126" s="487">
        <f>4290134.18+215001.81+6724002.5+346703.2+245656.77+23755</f>
        <v>11845253.459999997</v>
      </c>
      <c r="N126" s="428"/>
      <c r="O126" s="1289"/>
    </row>
    <row r="127" spans="1:15" s="366" customFormat="1" ht="31.2" x14ac:dyDescent="0.35">
      <c r="A127" s="425"/>
      <c r="B127" s="459" t="s">
        <v>840</v>
      </c>
      <c r="C127" s="387" t="s">
        <v>1105</v>
      </c>
      <c r="D127" s="428"/>
      <c r="E127" s="428"/>
      <c r="F127" s="428"/>
      <c r="G127" s="428"/>
      <c r="H127" s="428"/>
      <c r="I127" s="452" t="s">
        <v>1310</v>
      </c>
      <c r="J127" s="363" t="s">
        <v>613</v>
      </c>
      <c r="K127" s="464">
        <f>6355514.52+25000</f>
        <v>6380514.5199999996</v>
      </c>
      <c r="L127" s="428"/>
      <c r="M127" s="487">
        <f>588256.75+563774.2</f>
        <v>1152030.95</v>
      </c>
      <c r="N127" s="428"/>
      <c r="O127" s="1289"/>
    </row>
    <row r="128" spans="1:15" s="366" customFormat="1" ht="18" x14ac:dyDescent="0.35">
      <c r="A128" s="425"/>
      <c r="B128" s="459" t="s">
        <v>725</v>
      </c>
      <c r="C128" s="387" t="s">
        <v>1105</v>
      </c>
      <c r="D128" s="428"/>
      <c r="E128" s="428"/>
      <c r="F128" s="428"/>
      <c r="G128" s="428"/>
      <c r="H128" s="428"/>
      <c r="I128" s="452" t="s">
        <v>1272</v>
      </c>
      <c r="J128" s="363" t="s">
        <v>613</v>
      </c>
      <c r="K128" s="464">
        <f>17174500+1467814.65</f>
        <v>18642314.649999999</v>
      </c>
      <c r="L128" s="428"/>
      <c r="M128" s="487">
        <f>2307366.72+54716.15</f>
        <v>2362082.87</v>
      </c>
      <c r="N128" s="428"/>
      <c r="O128" s="1289"/>
    </row>
    <row r="129" spans="1:15" s="366" customFormat="1" ht="15.6" x14ac:dyDescent="0.3">
      <c r="A129" s="388"/>
      <c r="B129" s="459" t="s">
        <v>844</v>
      </c>
      <c r="C129" s="387" t="s">
        <v>1105</v>
      </c>
      <c r="D129" s="365"/>
      <c r="E129" s="365"/>
      <c r="F129" s="365"/>
      <c r="G129" s="365"/>
      <c r="H129" s="365"/>
      <c r="I129" s="452" t="s">
        <v>1311</v>
      </c>
      <c r="J129" s="363" t="s">
        <v>613</v>
      </c>
      <c r="K129" s="364">
        <v>483000</v>
      </c>
      <c r="L129" s="365"/>
      <c r="M129" s="487">
        <v>36608.699999999997</v>
      </c>
      <c r="N129" s="365"/>
      <c r="O129" s="1289"/>
    </row>
    <row r="130" spans="1:15" s="366" customFormat="1" ht="46.8" x14ac:dyDescent="0.3">
      <c r="A130" s="388"/>
      <c r="B130" s="459" t="s">
        <v>847</v>
      </c>
      <c r="C130" s="387" t="s">
        <v>1105</v>
      </c>
      <c r="D130" s="365"/>
      <c r="E130" s="365"/>
      <c r="F130" s="365"/>
      <c r="G130" s="365"/>
      <c r="H130" s="365"/>
      <c r="I130" s="452" t="s">
        <v>1312</v>
      </c>
      <c r="J130" s="363" t="s">
        <v>613</v>
      </c>
      <c r="K130" s="364">
        <v>50000</v>
      </c>
      <c r="L130" s="365"/>
      <c r="M130" s="487"/>
      <c r="N130" s="365"/>
      <c r="O130" s="1289"/>
    </row>
    <row r="131" spans="1:15" s="366" customFormat="1" ht="15.6" x14ac:dyDescent="0.3">
      <c r="A131" s="1307"/>
      <c r="B131" s="1297" t="s">
        <v>864</v>
      </c>
      <c r="C131" s="1354" t="s">
        <v>1143</v>
      </c>
      <c r="D131" s="365"/>
      <c r="E131" s="365"/>
      <c r="F131" s="365"/>
      <c r="G131" s="365"/>
      <c r="H131" s="365"/>
      <c r="I131" s="1355" t="s">
        <v>1317</v>
      </c>
      <c r="J131" s="363" t="s">
        <v>764</v>
      </c>
      <c r="K131" s="364"/>
      <c r="L131" s="365"/>
      <c r="M131" s="487"/>
      <c r="N131" s="365"/>
      <c r="O131" s="1317"/>
    </row>
    <row r="132" spans="1:15" s="366" customFormat="1" ht="15.6" x14ac:dyDescent="0.3">
      <c r="A132" s="1308"/>
      <c r="B132" s="1299"/>
      <c r="C132" s="1304"/>
      <c r="D132" s="365"/>
      <c r="E132" s="365"/>
      <c r="F132" s="365"/>
      <c r="G132" s="365"/>
      <c r="H132" s="365"/>
      <c r="I132" s="1356"/>
      <c r="J132" s="363" t="s">
        <v>613</v>
      </c>
      <c r="K132" s="364">
        <v>1900000</v>
      </c>
      <c r="L132" s="365"/>
      <c r="M132" s="487"/>
      <c r="N132" s="365"/>
      <c r="O132" s="1289"/>
    </row>
    <row r="133" spans="1:15" s="366" customFormat="1" ht="31.2" x14ac:dyDescent="0.3">
      <c r="A133" s="388"/>
      <c r="B133" s="459" t="s">
        <v>867</v>
      </c>
      <c r="C133" s="387" t="s">
        <v>1143</v>
      </c>
      <c r="D133" s="365"/>
      <c r="E133" s="365"/>
      <c r="F133" s="365"/>
      <c r="G133" s="365"/>
      <c r="H133" s="365"/>
      <c r="I133" s="452" t="s">
        <v>1318</v>
      </c>
      <c r="J133" s="363" t="s">
        <v>613</v>
      </c>
      <c r="K133" s="364">
        <v>100000</v>
      </c>
      <c r="L133" s="365"/>
      <c r="M133" s="487"/>
      <c r="N133" s="365"/>
      <c r="O133" s="1289"/>
    </row>
    <row r="134" spans="1:15" s="366" customFormat="1" ht="15.6" hidden="1" x14ac:dyDescent="0.3">
      <c r="A134" s="388"/>
      <c r="B134" s="459" t="s">
        <v>870</v>
      </c>
      <c r="C134" s="643" t="s">
        <v>1143</v>
      </c>
      <c r="D134" s="479"/>
      <c r="E134" s="479"/>
      <c r="F134" s="479"/>
      <c r="G134" s="479"/>
      <c r="H134" s="479"/>
      <c r="I134" s="480" t="s">
        <v>871</v>
      </c>
      <c r="J134" s="363" t="s">
        <v>613</v>
      </c>
      <c r="K134" s="364">
        <v>0</v>
      </c>
      <c r="L134" s="365"/>
      <c r="M134" s="487"/>
      <c r="N134" s="365"/>
      <c r="O134" s="1289"/>
    </row>
    <row r="135" spans="1:15" s="366" customFormat="1" ht="15.6" x14ac:dyDescent="0.3">
      <c r="A135" s="1307"/>
      <c r="B135" s="1297" t="s">
        <v>877</v>
      </c>
      <c r="C135" s="387" t="s">
        <v>1144</v>
      </c>
      <c r="D135" s="388"/>
      <c r="E135" s="388"/>
      <c r="F135" s="388"/>
      <c r="G135" s="388"/>
      <c r="H135" s="388"/>
      <c r="I135" s="389" t="s">
        <v>1320</v>
      </c>
      <c r="J135" s="363"/>
      <c r="K135" s="364">
        <f>K136+K137+K138</f>
        <v>5523184.1100000003</v>
      </c>
      <c r="L135" s="365"/>
      <c r="M135" s="364">
        <f>M136+M137+M138</f>
        <v>834842.51000000013</v>
      </c>
      <c r="N135" s="365"/>
      <c r="O135" s="1289"/>
    </row>
    <row r="136" spans="1:15" s="366" customFormat="1" ht="15.6" x14ac:dyDescent="0.3">
      <c r="A136" s="1336"/>
      <c r="B136" s="1298"/>
      <c r="C136" s="1337"/>
      <c r="D136" s="386"/>
      <c r="E136" s="386"/>
      <c r="F136" s="386"/>
      <c r="G136" s="386"/>
      <c r="H136" s="386"/>
      <c r="I136" s="1340"/>
      <c r="J136" s="363" t="s">
        <v>162</v>
      </c>
      <c r="K136" s="364">
        <v>5429984.1100000003</v>
      </c>
      <c r="L136" s="365"/>
      <c r="M136" s="487">
        <f>267903.28+3600+367432.83+1840+187591.01</f>
        <v>828367.12000000011</v>
      </c>
      <c r="N136" s="365"/>
      <c r="O136" s="1289"/>
    </row>
    <row r="137" spans="1:15" s="366" customFormat="1" ht="15.6" x14ac:dyDescent="0.3">
      <c r="A137" s="1336"/>
      <c r="B137" s="1298"/>
      <c r="C137" s="1338"/>
      <c r="D137" s="362"/>
      <c r="E137" s="362"/>
      <c r="F137" s="362"/>
      <c r="G137" s="362"/>
      <c r="H137" s="362"/>
      <c r="I137" s="1341"/>
      <c r="J137" s="363" t="s">
        <v>586</v>
      </c>
      <c r="K137" s="364">
        <v>93200</v>
      </c>
      <c r="L137" s="365"/>
      <c r="M137" s="487">
        <f>6475.39</f>
        <v>6475.39</v>
      </c>
      <c r="N137" s="365"/>
      <c r="O137" s="1289"/>
    </row>
    <row r="138" spans="1:15" s="366" customFormat="1" ht="15.6" x14ac:dyDescent="0.3">
      <c r="A138" s="1308"/>
      <c r="B138" s="1299"/>
      <c r="C138" s="1338"/>
      <c r="D138" s="488"/>
      <c r="E138" s="488"/>
      <c r="F138" s="488"/>
      <c r="G138" s="488"/>
      <c r="H138" s="488"/>
      <c r="I138" s="1341"/>
      <c r="J138" s="363" t="s">
        <v>528</v>
      </c>
      <c r="K138" s="364">
        <f>6000-6000</f>
        <v>0</v>
      </c>
      <c r="L138" s="365"/>
      <c r="M138" s="487"/>
      <c r="N138" s="365"/>
      <c r="O138" s="1289"/>
    </row>
    <row r="139" spans="1:15" s="366" customFormat="1" ht="15.6" x14ac:dyDescent="0.3">
      <c r="A139" s="1307"/>
      <c r="B139" s="1297" t="s">
        <v>882</v>
      </c>
      <c r="C139" s="387" t="s">
        <v>1144</v>
      </c>
      <c r="D139" s="388"/>
      <c r="E139" s="388"/>
      <c r="F139" s="388"/>
      <c r="G139" s="388"/>
      <c r="H139" s="388"/>
      <c r="I139" s="389" t="s">
        <v>1321</v>
      </c>
      <c r="J139" s="363"/>
      <c r="K139" s="364">
        <f>K140+K141+K142</f>
        <v>16641770.050000001</v>
      </c>
      <c r="L139" s="368"/>
      <c r="M139" s="364">
        <f>M140+M141+M142</f>
        <v>2217079.02</v>
      </c>
      <c r="N139" s="365"/>
      <c r="O139" s="1289"/>
    </row>
    <row r="140" spans="1:15" s="366" customFormat="1" ht="15.6" x14ac:dyDescent="0.3">
      <c r="A140" s="1336"/>
      <c r="B140" s="1298"/>
      <c r="C140" s="1337"/>
      <c r="D140" s="386"/>
      <c r="E140" s="386"/>
      <c r="F140" s="386"/>
      <c r="G140" s="386"/>
      <c r="H140" s="386"/>
      <c r="I140" s="1340"/>
      <c r="J140" s="363" t="s">
        <v>162</v>
      </c>
      <c r="K140" s="364">
        <v>12358242.65</v>
      </c>
      <c r="L140" s="365"/>
      <c r="M140" s="487">
        <f>641319.57+6605.75+854663.7+4600+442773.64</f>
        <v>1949962.6600000001</v>
      </c>
      <c r="N140" s="365"/>
      <c r="O140" s="1289"/>
    </row>
    <row r="141" spans="1:15" s="366" customFormat="1" ht="15.6" x14ac:dyDescent="0.3">
      <c r="A141" s="1336"/>
      <c r="B141" s="1298"/>
      <c r="C141" s="1338"/>
      <c r="D141" s="362"/>
      <c r="E141" s="362"/>
      <c r="F141" s="362"/>
      <c r="G141" s="362"/>
      <c r="H141" s="362"/>
      <c r="I141" s="1341"/>
      <c r="J141" s="363" t="s">
        <v>586</v>
      </c>
      <c r="K141" s="457">
        <v>4275140.4000000004</v>
      </c>
      <c r="L141" s="365"/>
      <c r="M141" s="487">
        <f>37923.85+226540.51</f>
        <v>264464.36</v>
      </c>
      <c r="N141" s="365"/>
      <c r="O141" s="1289"/>
    </row>
    <row r="142" spans="1:15" s="366" customFormat="1" ht="15.6" x14ac:dyDescent="0.3">
      <c r="A142" s="1308"/>
      <c r="B142" s="1299"/>
      <c r="C142" s="1339"/>
      <c r="D142" s="362"/>
      <c r="E142" s="362"/>
      <c r="F142" s="362"/>
      <c r="G142" s="362"/>
      <c r="H142" s="362"/>
      <c r="I142" s="1342"/>
      <c r="J142" s="363" t="s">
        <v>528</v>
      </c>
      <c r="K142" s="364">
        <v>8387</v>
      </c>
      <c r="L142" s="365"/>
      <c r="M142" s="487">
        <f>2652</f>
        <v>2652</v>
      </c>
      <c r="N142" s="365"/>
      <c r="O142" s="1289"/>
    </row>
    <row r="143" spans="1:15" s="366" customFormat="1" ht="31.2" x14ac:dyDescent="0.3">
      <c r="A143" s="388"/>
      <c r="B143" s="459" t="s">
        <v>887</v>
      </c>
      <c r="C143" s="642" t="s">
        <v>1144</v>
      </c>
      <c r="D143" s="489"/>
      <c r="E143" s="489"/>
      <c r="F143" s="489"/>
      <c r="G143" s="489"/>
      <c r="H143" s="489"/>
      <c r="I143" s="490" t="s">
        <v>1322</v>
      </c>
      <c r="J143" s="363" t="s">
        <v>613</v>
      </c>
      <c r="K143" s="364">
        <v>2678797.79</v>
      </c>
      <c r="L143" s="365"/>
      <c r="M143" s="487">
        <f>170122.74+204050.19</f>
        <v>374172.93</v>
      </c>
      <c r="N143" s="365"/>
      <c r="O143" s="1290"/>
    </row>
    <row r="144" spans="1:15" s="366" customFormat="1" ht="52.8" x14ac:dyDescent="0.35">
      <c r="A144" s="446">
        <v>13</v>
      </c>
      <c r="B144" s="447" t="s">
        <v>564</v>
      </c>
      <c r="C144" s="448"/>
      <c r="D144" s="448"/>
      <c r="E144" s="448"/>
      <c r="F144" s="448"/>
      <c r="G144" s="448"/>
      <c r="H144" s="448"/>
      <c r="I144" s="429" t="s">
        <v>1348</v>
      </c>
      <c r="J144" s="430"/>
      <c r="K144" s="548">
        <f>K145+K147+K149+K150+K151+K152+K153+K154+K155+K156+K160+K161+K162+K146+K148+K157</f>
        <v>15373934.92</v>
      </c>
      <c r="L144" s="448"/>
      <c r="M144" s="548">
        <f>M145+M147+M149+M150+M151+M152+M153+M154+M155+M156+M160+M161+M162+M146+M148+M157</f>
        <v>171000</v>
      </c>
      <c r="N144" s="448"/>
      <c r="O144" s="432" t="s">
        <v>1083</v>
      </c>
    </row>
    <row r="145" spans="1:15" s="366" customFormat="1" ht="15.6" x14ac:dyDescent="0.3">
      <c r="A145" s="388"/>
      <c r="B145" s="459" t="s">
        <v>654</v>
      </c>
      <c r="C145" s="387" t="s">
        <v>1148</v>
      </c>
      <c r="D145" s="365"/>
      <c r="E145" s="365"/>
      <c r="F145" s="365"/>
      <c r="G145" s="365"/>
      <c r="H145" s="365"/>
      <c r="I145" s="452" t="s">
        <v>1251</v>
      </c>
      <c r="J145" s="363" t="s">
        <v>586</v>
      </c>
      <c r="K145" s="364">
        <v>300000</v>
      </c>
      <c r="L145" s="365"/>
      <c r="M145" s="361"/>
      <c r="N145" s="365"/>
      <c r="O145" s="1280" t="s">
        <v>151</v>
      </c>
    </row>
    <row r="146" spans="1:15" s="366" customFormat="1" ht="15.6" x14ac:dyDescent="0.3">
      <c r="A146" s="388"/>
      <c r="B146" s="459" t="s">
        <v>1357</v>
      </c>
      <c r="C146" s="387" t="s">
        <v>1148</v>
      </c>
      <c r="D146" s="365"/>
      <c r="E146" s="365"/>
      <c r="F146" s="365"/>
      <c r="G146" s="365"/>
      <c r="H146" s="365"/>
      <c r="I146" s="452" t="s">
        <v>1356</v>
      </c>
      <c r="J146" s="363" t="s">
        <v>586</v>
      </c>
      <c r="K146" s="464">
        <v>5400000</v>
      </c>
      <c r="L146" s="365"/>
      <c r="M146" s="361"/>
      <c r="N146" s="365"/>
      <c r="O146" s="1281"/>
    </row>
    <row r="147" spans="1:15" s="366" customFormat="1" ht="31.2" x14ac:dyDescent="0.3">
      <c r="A147" s="388"/>
      <c r="B147" s="459" t="s">
        <v>657</v>
      </c>
      <c r="C147" s="387" t="s">
        <v>1148</v>
      </c>
      <c r="D147" s="365"/>
      <c r="E147" s="365"/>
      <c r="F147" s="365"/>
      <c r="G147" s="365"/>
      <c r="H147" s="365"/>
      <c r="I147" s="452" t="s">
        <v>1252</v>
      </c>
      <c r="J147" s="363" t="s">
        <v>586</v>
      </c>
      <c r="K147" s="364">
        <v>59000</v>
      </c>
      <c r="L147" s="365"/>
      <c r="M147" s="361"/>
      <c r="N147" s="365"/>
      <c r="O147" s="1282"/>
    </row>
    <row r="148" spans="1:15" s="366" customFormat="1" ht="31.2" x14ac:dyDescent="0.3">
      <c r="A148" s="388"/>
      <c r="B148" s="459" t="s">
        <v>666</v>
      </c>
      <c r="C148" s="387" t="s">
        <v>1148</v>
      </c>
      <c r="D148" s="365"/>
      <c r="E148" s="365"/>
      <c r="F148" s="365"/>
      <c r="G148" s="365"/>
      <c r="H148" s="365"/>
      <c r="I148" s="452" t="s">
        <v>1358</v>
      </c>
      <c r="J148" s="363" t="s">
        <v>586</v>
      </c>
      <c r="K148" s="464">
        <v>50000</v>
      </c>
      <c r="L148" s="365"/>
      <c r="M148" s="361"/>
      <c r="N148" s="365"/>
      <c r="O148" s="1281"/>
    </row>
    <row r="149" spans="1:15" s="366" customFormat="1" ht="31.2" hidden="1" x14ac:dyDescent="0.3">
      <c r="A149" s="388"/>
      <c r="B149" s="459" t="s">
        <v>660</v>
      </c>
      <c r="C149" s="387" t="s">
        <v>1148</v>
      </c>
      <c r="D149" s="365"/>
      <c r="E149" s="365"/>
      <c r="F149" s="365"/>
      <c r="G149" s="365"/>
      <c r="H149" s="365"/>
      <c r="I149" s="452" t="s">
        <v>661</v>
      </c>
      <c r="J149" s="363" t="s">
        <v>586</v>
      </c>
      <c r="K149" s="364"/>
      <c r="L149" s="365"/>
      <c r="M149" s="361"/>
      <c r="N149" s="365"/>
      <c r="O149" s="1282"/>
    </row>
    <row r="150" spans="1:15" s="366" customFormat="1" ht="15.6" x14ac:dyDescent="0.3">
      <c r="A150" s="388"/>
      <c r="B150" s="459" t="s">
        <v>663</v>
      </c>
      <c r="C150" s="387" t="s">
        <v>1148</v>
      </c>
      <c r="D150" s="365"/>
      <c r="E150" s="365"/>
      <c r="F150" s="365"/>
      <c r="G150" s="365"/>
      <c r="H150" s="365"/>
      <c r="I150" s="452" t="s">
        <v>1253</v>
      </c>
      <c r="J150" s="363" t="s">
        <v>586</v>
      </c>
      <c r="K150" s="464">
        <f>360000+206000</f>
        <v>566000</v>
      </c>
      <c r="L150" s="365"/>
      <c r="M150" s="361">
        <v>171000</v>
      </c>
      <c r="N150" s="365"/>
      <c r="O150" s="1282"/>
    </row>
    <row r="151" spans="1:15" s="366" customFormat="1" ht="31.2" x14ac:dyDescent="0.3">
      <c r="A151" s="388"/>
      <c r="B151" s="459" t="s">
        <v>666</v>
      </c>
      <c r="C151" s="387" t="s">
        <v>1148</v>
      </c>
      <c r="D151" s="365"/>
      <c r="E151" s="365"/>
      <c r="F151" s="365"/>
      <c r="G151" s="365"/>
      <c r="H151" s="365"/>
      <c r="I151" s="452" t="s">
        <v>1254</v>
      </c>
      <c r="J151" s="363" t="s">
        <v>528</v>
      </c>
      <c r="K151" s="464">
        <f>500000-50000</f>
        <v>450000</v>
      </c>
      <c r="L151" s="365"/>
      <c r="M151" s="361"/>
      <c r="N151" s="365"/>
      <c r="O151" s="1282"/>
    </row>
    <row r="152" spans="1:15" s="366" customFormat="1" ht="15.6" x14ac:dyDescent="0.3">
      <c r="A152" s="388"/>
      <c r="B152" s="459" t="s">
        <v>669</v>
      </c>
      <c r="C152" s="387" t="s">
        <v>1148</v>
      </c>
      <c r="D152" s="365"/>
      <c r="E152" s="365"/>
      <c r="F152" s="365"/>
      <c r="G152" s="365"/>
      <c r="H152" s="365"/>
      <c r="I152" s="452" t="s">
        <v>1255</v>
      </c>
      <c r="J152" s="363" t="s">
        <v>586</v>
      </c>
      <c r="K152" s="364">
        <v>150000</v>
      </c>
      <c r="L152" s="365"/>
      <c r="M152" s="361"/>
      <c r="N152" s="365"/>
      <c r="O152" s="1282"/>
    </row>
    <row r="153" spans="1:15" s="366" customFormat="1" ht="46.8" x14ac:dyDescent="0.3">
      <c r="A153" s="388"/>
      <c r="B153" s="459" t="s">
        <v>672</v>
      </c>
      <c r="C153" s="387" t="s">
        <v>1148</v>
      </c>
      <c r="D153" s="365"/>
      <c r="E153" s="365"/>
      <c r="F153" s="365"/>
      <c r="G153" s="365"/>
      <c r="H153" s="365"/>
      <c r="I153" s="452" t="s">
        <v>1256</v>
      </c>
      <c r="J153" s="363" t="s">
        <v>586</v>
      </c>
      <c r="K153" s="364">
        <v>106000</v>
      </c>
      <c r="L153" s="365"/>
      <c r="M153" s="361"/>
      <c r="N153" s="365"/>
      <c r="O153" s="1282"/>
    </row>
    <row r="154" spans="1:15" s="366" customFormat="1" ht="31.2" hidden="1" x14ac:dyDescent="0.3">
      <c r="A154" s="388"/>
      <c r="B154" s="519" t="s">
        <v>675</v>
      </c>
      <c r="C154" s="641" t="s">
        <v>1148</v>
      </c>
      <c r="D154" s="482"/>
      <c r="E154" s="482"/>
      <c r="F154" s="482"/>
      <c r="G154" s="482"/>
      <c r="H154" s="482"/>
      <c r="I154" s="480" t="s">
        <v>1257</v>
      </c>
      <c r="J154" s="363" t="s">
        <v>586</v>
      </c>
      <c r="K154" s="369"/>
      <c r="L154" s="365"/>
      <c r="M154" s="361">
        <f>183800-183800</f>
        <v>0</v>
      </c>
      <c r="N154" s="365"/>
      <c r="O154" s="1282"/>
    </row>
    <row r="155" spans="1:15" s="532" customFormat="1" ht="31.2" x14ac:dyDescent="0.3">
      <c r="A155" s="572"/>
      <c r="B155" s="573" t="s">
        <v>675</v>
      </c>
      <c r="C155" s="641" t="s">
        <v>1163</v>
      </c>
      <c r="D155" s="574"/>
      <c r="E155" s="574"/>
      <c r="F155" s="574"/>
      <c r="G155" s="574"/>
      <c r="H155" s="574"/>
      <c r="I155" s="575" t="s">
        <v>1257</v>
      </c>
      <c r="J155" s="576" t="s">
        <v>586</v>
      </c>
      <c r="K155" s="577">
        <v>4966877.4000000004</v>
      </c>
      <c r="L155" s="368"/>
      <c r="M155" s="361"/>
      <c r="N155" s="368"/>
      <c r="O155" s="1282"/>
    </row>
    <row r="156" spans="1:15" s="366" customFormat="1" ht="46.8" hidden="1" x14ac:dyDescent="0.3">
      <c r="A156" s="388"/>
      <c r="B156" s="459" t="s">
        <v>681</v>
      </c>
      <c r="C156" s="641" t="s">
        <v>1148</v>
      </c>
      <c r="D156" s="365"/>
      <c r="E156" s="365"/>
      <c r="F156" s="365"/>
      <c r="G156" s="365"/>
      <c r="H156" s="365"/>
      <c r="I156" s="452" t="s">
        <v>682</v>
      </c>
      <c r="J156" s="363" t="s">
        <v>586</v>
      </c>
      <c r="K156" s="364">
        <v>0</v>
      </c>
      <c r="L156" s="365"/>
      <c r="M156" s="361"/>
      <c r="N156" s="365"/>
      <c r="O156" s="1282"/>
    </row>
    <row r="157" spans="1:15" s="366" customFormat="1" ht="24.75" customHeight="1" x14ac:dyDescent="0.3">
      <c r="A157" s="388"/>
      <c r="B157" s="1369" t="s">
        <v>681</v>
      </c>
      <c r="C157" s="1372" t="s">
        <v>1163</v>
      </c>
      <c r="D157" s="365"/>
      <c r="E157" s="365"/>
      <c r="F157" s="365"/>
      <c r="G157" s="365"/>
      <c r="H157" s="365"/>
      <c r="I157" s="1295" t="s">
        <v>1258</v>
      </c>
      <c r="J157" s="363"/>
      <c r="K157" s="464">
        <f>K158+K159</f>
        <v>3176057.52</v>
      </c>
      <c r="L157" s="365"/>
      <c r="M157" s="361"/>
      <c r="N157" s="365"/>
      <c r="O157" s="1281"/>
    </row>
    <row r="158" spans="1:15" s="366" customFormat="1" ht="20.25" customHeight="1" x14ac:dyDescent="0.3">
      <c r="A158" s="388"/>
      <c r="B158" s="1370"/>
      <c r="C158" s="1373"/>
      <c r="D158" s="658"/>
      <c r="E158" s="658"/>
      <c r="F158" s="658"/>
      <c r="G158" s="658"/>
      <c r="H158" s="658"/>
      <c r="I158" s="1374"/>
      <c r="J158" s="363" t="s">
        <v>586</v>
      </c>
      <c r="K158" s="464">
        <f>3176057.52-2000000</f>
        <v>1176057.52</v>
      </c>
      <c r="L158" s="365"/>
      <c r="M158" s="361">
        <v>0</v>
      </c>
      <c r="N158" s="365"/>
      <c r="O158" s="1283"/>
    </row>
    <row r="159" spans="1:15" s="366" customFormat="1" ht="20.25" customHeight="1" x14ac:dyDescent="0.3">
      <c r="A159" s="388"/>
      <c r="B159" s="1371"/>
      <c r="C159" s="1348"/>
      <c r="D159" s="658"/>
      <c r="E159" s="658"/>
      <c r="F159" s="658"/>
      <c r="G159" s="658"/>
      <c r="H159" s="658"/>
      <c r="I159" s="1296"/>
      <c r="J159" s="363" t="s">
        <v>813</v>
      </c>
      <c r="K159" s="464">
        <v>2000000</v>
      </c>
      <c r="L159" s="365"/>
      <c r="M159" s="361"/>
      <c r="N159" s="365"/>
      <c r="O159" s="579"/>
    </row>
    <row r="160" spans="1:15" s="366" customFormat="1" ht="15.6" x14ac:dyDescent="0.3">
      <c r="A160" s="388"/>
      <c r="B160" s="459" t="s">
        <v>852</v>
      </c>
      <c r="C160" s="387" t="s">
        <v>1105</v>
      </c>
      <c r="D160" s="365"/>
      <c r="E160" s="365"/>
      <c r="F160" s="365"/>
      <c r="G160" s="365"/>
      <c r="H160" s="365"/>
      <c r="I160" s="452" t="s">
        <v>1314</v>
      </c>
      <c r="J160" s="363" t="s">
        <v>613</v>
      </c>
      <c r="K160" s="364">
        <v>80000</v>
      </c>
      <c r="L160" s="365"/>
      <c r="M160" s="361"/>
      <c r="N160" s="365"/>
      <c r="O160" s="1280" t="s">
        <v>968</v>
      </c>
    </row>
    <row r="161" spans="1:15" s="366" customFormat="1" ht="15.6" x14ac:dyDescent="0.3">
      <c r="A161" s="388"/>
      <c r="B161" s="459" t="s">
        <v>855</v>
      </c>
      <c r="C161" s="387" t="s">
        <v>1105</v>
      </c>
      <c r="D161" s="365"/>
      <c r="E161" s="365"/>
      <c r="F161" s="365"/>
      <c r="G161" s="365"/>
      <c r="H161" s="365"/>
      <c r="I161" s="452" t="s">
        <v>1315</v>
      </c>
      <c r="J161" s="363" t="s">
        <v>613</v>
      </c>
      <c r="K161" s="364">
        <v>50000</v>
      </c>
      <c r="L161" s="365"/>
      <c r="M161" s="361"/>
      <c r="N161" s="365"/>
      <c r="O161" s="1282"/>
    </row>
    <row r="162" spans="1:15" s="366" customFormat="1" ht="15.6" x14ac:dyDescent="0.3">
      <c r="A162" s="388"/>
      <c r="B162" s="459" t="s">
        <v>858</v>
      </c>
      <c r="C162" s="387" t="s">
        <v>1105</v>
      </c>
      <c r="D162" s="365"/>
      <c r="E162" s="365"/>
      <c r="F162" s="365"/>
      <c r="G162" s="365"/>
      <c r="H162" s="365"/>
      <c r="I162" s="452" t="s">
        <v>1316</v>
      </c>
      <c r="J162" s="363" t="s">
        <v>613</v>
      </c>
      <c r="K162" s="364">
        <v>20000</v>
      </c>
      <c r="L162" s="365"/>
      <c r="M162" s="361"/>
      <c r="N162" s="365"/>
      <c r="O162" s="1283"/>
    </row>
    <row r="163" spans="1:15" s="433" customFormat="1" ht="18" x14ac:dyDescent="0.35">
      <c r="A163" s="425">
        <v>14</v>
      </c>
      <c r="B163" s="426" t="s">
        <v>559</v>
      </c>
      <c r="C163" s="427"/>
      <c r="D163" s="428"/>
      <c r="E163" s="428"/>
      <c r="F163" s="428"/>
      <c r="G163" s="428"/>
      <c r="H163" s="428"/>
      <c r="I163" s="429" t="s">
        <v>1349</v>
      </c>
      <c r="J163" s="430"/>
      <c r="K163" s="431">
        <f>K166+K167+K169+K168+K164+K165</f>
        <v>3940000</v>
      </c>
      <c r="L163" s="428"/>
      <c r="M163" s="431">
        <f>M166+M167+M169+M168+M164+M165</f>
        <v>0</v>
      </c>
      <c r="N163" s="428"/>
      <c r="O163" s="432"/>
    </row>
    <row r="164" spans="1:15" s="433" customFormat="1" ht="18" x14ac:dyDescent="0.35">
      <c r="A164" s="425"/>
      <c r="B164" s="521" t="s">
        <v>709</v>
      </c>
      <c r="C164" s="641" t="s">
        <v>1101</v>
      </c>
      <c r="D164" s="365"/>
      <c r="E164" s="365"/>
      <c r="F164" s="365"/>
      <c r="G164" s="365"/>
      <c r="H164" s="365"/>
      <c r="I164" s="452" t="s">
        <v>1268</v>
      </c>
      <c r="J164" s="363" t="s">
        <v>586</v>
      </c>
      <c r="K164" s="364">
        <v>100000</v>
      </c>
      <c r="L164" s="428"/>
      <c r="M164" s="431"/>
      <c r="N164" s="428"/>
      <c r="O164" s="520"/>
    </row>
    <row r="165" spans="1:15" s="433" customFormat="1" ht="18" x14ac:dyDescent="0.35">
      <c r="A165" s="425"/>
      <c r="B165" s="466" t="s">
        <v>712</v>
      </c>
      <c r="C165" s="641" t="s">
        <v>1101</v>
      </c>
      <c r="D165" s="365"/>
      <c r="E165" s="365"/>
      <c r="F165" s="365"/>
      <c r="G165" s="365"/>
      <c r="H165" s="365"/>
      <c r="I165" s="452" t="s">
        <v>1361</v>
      </c>
      <c r="J165" s="363" t="s">
        <v>586</v>
      </c>
      <c r="K165" s="464">
        <v>3500000</v>
      </c>
      <c r="L165" s="428"/>
      <c r="M165" s="431"/>
      <c r="N165" s="428"/>
      <c r="O165" s="520"/>
    </row>
    <row r="166" spans="1:15" s="366" customFormat="1" ht="15.6" x14ac:dyDescent="0.3">
      <c r="A166" s="388"/>
      <c r="B166" s="534" t="s">
        <v>715</v>
      </c>
      <c r="C166" s="641" t="s">
        <v>1101</v>
      </c>
      <c r="D166" s="365"/>
      <c r="E166" s="365"/>
      <c r="F166" s="365"/>
      <c r="G166" s="365"/>
      <c r="H166" s="365"/>
      <c r="I166" s="452" t="s">
        <v>1269</v>
      </c>
      <c r="J166" s="363" t="s">
        <v>586</v>
      </c>
      <c r="K166" s="364">
        <v>200000</v>
      </c>
      <c r="L166" s="365"/>
      <c r="M166" s="365"/>
      <c r="N166" s="365"/>
      <c r="O166" s="1380" t="s">
        <v>151</v>
      </c>
    </row>
    <row r="167" spans="1:15" s="366" customFormat="1" ht="15.6" x14ac:dyDescent="0.3">
      <c r="A167" s="388"/>
      <c r="B167" s="459" t="s">
        <v>718</v>
      </c>
      <c r="C167" s="641" t="s">
        <v>1101</v>
      </c>
      <c r="D167" s="365"/>
      <c r="E167" s="365"/>
      <c r="F167" s="365"/>
      <c r="G167" s="365"/>
      <c r="H167" s="365"/>
      <c r="I167" s="452" t="s">
        <v>1270</v>
      </c>
      <c r="J167" s="363" t="s">
        <v>586</v>
      </c>
      <c r="K167" s="369">
        <v>40000</v>
      </c>
      <c r="L167" s="365"/>
      <c r="M167" s="365"/>
      <c r="N167" s="365"/>
      <c r="O167" s="1381"/>
    </row>
    <row r="168" spans="1:15" s="366" customFormat="1" ht="15.6" x14ac:dyDescent="0.3">
      <c r="A168" s="388"/>
      <c r="B168" s="521" t="s">
        <v>1205</v>
      </c>
      <c r="C168" s="641" t="s">
        <v>1101</v>
      </c>
      <c r="D168" s="365"/>
      <c r="E168" s="365"/>
      <c r="F168" s="365"/>
      <c r="G168" s="365"/>
      <c r="H168" s="365"/>
      <c r="I168" s="484" t="s">
        <v>1271</v>
      </c>
      <c r="J168" s="389" t="s">
        <v>586</v>
      </c>
      <c r="K168" s="485">
        <v>100000</v>
      </c>
      <c r="L168" s="365"/>
      <c r="M168" s="580"/>
      <c r="N168" s="365"/>
      <c r="O168" s="581"/>
    </row>
    <row r="169" spans="1:15" s="366" customFormat="1" ht="15.6" hidden="1" x14ac:dyDescent="0.3">
      <c r="A169" s="388"/>
      <c r="B169" s="521" t="s">
        <v>1205</v>
      </c>
      <c r="C169" s="641" t="s">
        <v>1159</v>
      </c>
      <c r="D169" s="365"/>
      <c r="E169" s="365"/>
      <c r="F169" s="365"/>
      <c r="G169" s="365"/>
      <c r="H169" s="365"/>
      <c r="I169" s="389" t="s">
        <v>1206</v>
      </c>
      <c r="J169" s="389" t="s">
        <v>813</v>
      </c>
      <c r="K169" s="582"/>
      <c r="L169" s="365"/>
      <c r="M169" s="486"/>
      <c r="N169" s="365"/>
      <c r="O169" s="579" t="s">
        <v>1136</v>
      </c>
    </row>
    <row r="170" spans="1:15" ht="21" x14ac:dyDescent="0.4">
      <c r="A170" s="401"/>
      <c r="B170" s="402" t="s">
        <v>1149</v>
      </c>
      <c r="C170" s="403"/>
      <c r="D170" s="401"/>
      <c r="E170" s="401"/>
      <c r="F170" s="401"/>
      <c r="G170" s="401"/>
      <c r="H170" s="401"/>
      <c r="I170" s="404"/>
      <c r="J170" s="405"/>
      <c r="K170" s="671">
        <f>K21+K34+K36+K47+K57+K64+K66+K70+K76+K82+K109+K119+K144+K163</f>
        <v>405728634.73000008</v>
      </c>
      <c r="L170" s="401"/>
      <c r="M170" s="406">
        <f>M21+M34+M36+M47+M57+M64+M66+M70+M76+M82+M109+M119+M144+M163</f>
        <v>41729087.030000001</v>
      </c>
      <c r="N170" s="400"/>
      <c r="O170" s="400"/>
    </row>
    <row r="171" spans="1:15" ht="15.6" x14ac:dyDescent="0.3">
      <c r="A171" s="146"/>
      <c r="B171" s="146"/>
      <c r="C171" s="146"/>
      <c r="D171" s="146"/>
      <c r="E171" s="146"/>
      <c r="F171" s="146"/>
      <c r="G171" s="146"/>
      <c r="H171" s="146"/>
      <c r="I171" s="358"/>
      <c r="J171" s="360"/>
      <c r="K171" s="672"/>
      <c r="L171" s="146"/>
      <c r="M171" s="146"/>
      <c r="N171" s="146"/>
      <c r="O171" s="146"/>
    </row>
    <row r="172" spans="1:15" s="375" customFormat="1" ht="31.2" x14ac:dyDescent="0.3">
      <c r="A172" s="1382">
        <v>1</v>
      </c>
      <c r="B172" s="1366" t="s">
        <v>1355</v>
      </c>
      <c r="C172" s="395" t="s">
        <v>1110</v>
      </c>
      <c r="D172" s="396"/>
      <c r="E172" s="396"/>
      <c r="F172" s="396"/>
      <c r="G172" s="396"/>
      <c r="H172" s="396"/>
      <c r="I172" s="397" t="s">
        <v>1287</v>
      </c>
      <c r="J172" s="371"/>
      <c r="K172" s="421">
        <f>K173+K174</f>
        <v>573397.05000000005</v>
      </c>
      <c r="L172" s="373"/>
      <c r="M172" s="421">
        <f>M173+M174</f>
        <v>62076.630000000005</v>
      </c>
      <c r="N172" s="373"/>
      <c r="O172" s="374" t="s">
        <v>151</v>
      </c>
    </row>
    <row r="173" spans="1:15" s="375" customFormat="1" ht="15.6" x14ac:dyDescent="0.3">
      <c r="A173" s="1383"/>
      <c r="B173" s="1367"/>
      <c r="C173" s="390"/>
      <c r="D173" s="394"/>
      <c r="E173" s="394"/>
      <c r="F173" s="394"/>
      <c r="G173" s="394"/>
      <c r="H173" s="394"/>
      <c r="I173" s="391"/>
      <c r="J173" s="371" t="s">
        <v>162</v>
      </c>
      <c r="K173" s="650">
        <f>541284-2.95</f>
        <v>541281.05000000005</v>
      </c>
      <c r="L173" s="378"/>
      <c r="M173" s="379">
        <f>18151.56+5481.77+24149.77+5376.57+8916.96</f>
        <v>62076.630000000005</v>
      </c>
      <c r="N173" s="378"/>
      <c r="O173" s="380"/>
    </row>
    <row r="174" spans="1:15" s="375" customFormat="1" ht="76.5" customHeight="1" x14ac:dyDescent="0.3">
      <c r="A174" s="1384"/>
      <c r="B174" s="1368"/>
      <c r="C174" s="392"/>
      <c r="D174" s="377"/>
      <c r="E174" s="377"/>
      <c r="F174" s="377"/>
      <c r="G174" s="377"/>
      <c r="H174" s="377"/>
      <c r="I174" s="393"/>
      <c r="J174" s="371" t="s">
        <v>586</v>
      </c>
      <c r="K174" s="372">
        <v>32116</v>
      </c>
      <c r="L174" s="378"/>
      <c r="M174" s="379"/>
      <c r="N174" s="378"/>
      <c r="O174" s="380"/>
    </row>
    <row r="175" spans="1:15" s="375" customFormat="1" ht="46.8" x14ac:dyDescent="0.3">
      <c r="A175" s="645">
        <v>2</v>
      </c>
      <c r="B175" s="584" t="s">
        <v>1104</v>
      </c>
      <c r="C175" s="647" t="s">
        <v>1103</v>
      </c>
      <c r="D175" s="586"/>
      <c r="E175" s="586"/>
      <c r="F175" s="586"/>
      <c r="G175" s="586"/>
      <c r="H175" s="586"/>
      <c r="I175" s="587" t="s">
        <v>1265</v>
      </c>
      <c r="J175" s="371" t="s">
        <v>528</v>
      </c>
      <c r="K175" s="659">
        <f>87107200-24.78</f>
        <v>87107175.219999999</v>
      </c>
      <c r="L175" s="588"/>
      <c r="M175" s="589"/>
      <c r="N175" s="588"/>
      <c r="O175" s="374" t="s">
        <v>151</v>
      </c>
    </row>
    <row r="176" spans="1:15" s="366" customFormat="1" ht="49.5" customHeight="1" x14ac:dyDescent="0.3">
      <c r="A176" s="645">
        <v>3</v>
      </c>
      <c r="B176" s="590" t="s">
        <v>645</v>
      </c>
      <c r="C176" s="395" t="s">
        <v>1086</v>
      </c>
      <c r="D176" s="591"/>
      <c r="E176" s="592"/>
      <c r="F176" s="592"/>
      <c r="G176" s="592"/>
      <c r="H176" s="593"/>
      <c r="I176" s="594" t="s">
        <v>1245</v>
      </c>
      <c r="J176" s="371" t="s">
        <v>586</v>
      </c>
      <c r="K176" s="659">
        <f>147000+58.82-130391.82</f>
        <v>16667</v>
      </c>
      <c r="L176" s="375"/>
      <c r="M176" s="361"/>
      <c r="N176" s="373"/>
      <c r="O176" s="595" t="s">
        <v>151</v>
      </c>
    </row>
    <row r="177" spans="1:16" s="375" customFormat="1" ht="33" customHeight="1" x14ac:dyDescent="0.3">
      <c r="A177" s="596">
        <v>4</v>
      </c>
      <c r="B177" s="423" t="s">
        <v>893</v>
      </c>
      <c r="C177" s="395" t="s">
        <v>1090</v>
      </c>
      <c r="D177" s="597"/>
      <c r="E177" s="597"/>
      <c r="F177" s="597"/>
      <c r="G177" s="597"/>
      <c r="H177" s="597"/>
      <c r="I177" s="477" t="s">
        <v>1323</v>
      </c>
      <c r="J177" s="371" t="s">
        <v>764</v>
      </c>
      <c r="K177" s="453">
        <f>1241900-44</f>
        <v>1241856</v>
      </c>
      <c r="M177" s="598"/>
      <c r="N177" s="373"/>
      <c r="O177" s="595" t="s">
        <v>1084</v>
      </c>
      <c r="P177" s="599"/>
    </row>
    <row r="178" spans="1:16" s="375" customFormat="1" ht="46.8" x14ac:dyDescent="0.3">
      <c r="A178" s="596">
        <v>5</v>
      </c>
      <c r="B178" s="423" t="s">
        <v>896</v>
      </c>
      <c r="C178" s="395" t="s">
        <v>1091</v>
      </c>
      <c r="D178" s="597"/>
      <c r="E178" s="597"/>
      <c r="F178" s="597"/>
      <c r="G178" s="597"/>
      <c r="H178" s="597"/>
      <c r="I178" s="477" t="s">
        <v>1324</v>
      </c>
      <c r="J178" s="371" t="s">
        <v>764</v>
      </c>
      <c r="K178" s="673">
        <f>55100-2.48</f>
        <v>55097.52</v>
      </c>
      <c r="M178" s="598"/>
      <c r="N178" s="373"/>
      <c r="O178" s="595" t="s">
        <v>1084</v>
      </c>
      <c r="P178" s="599"/>
    </row>
    <row r="179" spans="1:16" s="375" customFormat="1" ht="15.6" x14ac:dyDescent="0.3">
      <c r="A179" s="1375">
        <v>6</v>
      </c>
      <c r="B179" s="1385" t="s">
        <v>873</v>
      </c>
      <c r="C179" s="647" t="s">
        <v>1090</v>
      </c>
      <c r="D179" s="597"/>
      <c r="E179" s="597"/>
      <c r="F179" s="597"/>
      <c r="G179" s="597"/>
      <c r="H179" s="597"/>
      <c r="I179" s="477" t="s">
        <v>1327</v>
      </c>
      <c r="J179" s="371"/>
      <c r="K179" s="453">
        <f>K180+K181</f>
        <v>1750191.15</v>
      </c>
      <c r="M179" s="453">
        <f>M180+M181</f>
        <v>119141.44</v>
      </c>
      <c r="N179" s="588"/>
      <c r="O179" s="595" t="s">
        <v>1084</v>
      </c>
      <c r="P179" s="600"/>
    </row>
    <row r="180" spans="1:16" s="375" customFormat="1" ht="15.6" x14ac:dyDescent="0.3">
      <c r="A180" s="1364"/>
      <c r="B180" s="1386"/>
      <c r="C180" s="1388"/>
      <c r="D180" s="597"/>
      <c r="E180" s="597"/>
      <c r="F180" s="597"/>
      <c r="G180" s="597"/>
      <c r="H180" s="597"/>
      <c r="I180" s="1389"/>
      <c r="J180" s="371" t="s">
        <v>162</v>
      </c>
      <c r="K180" s="464">
        <f>1635414-8.85</f>
        <v>1635405.15</v>
      </c>
      <c r="M180" s="601">
        <f>43749.18+352.62+26090+4450+14249.64</f>
        <v>88891.44</v>
      </c>
      <c r="N180" s="588"/>
      <c r="O180" s="595"/>
      <c r="P180" s="600"/>
    </row>
    <row r="181" spans="1:16" s="375" customFormat="1" ht="15.6" x14ac:dyDescent="0.3">
      <c r="A181" s="1365"/>
      <c r="B181" s="1387"/>
      <c r="C181" s="1379"/>
      <c r="D181" s="597"/>
      <c r="E181" s="597"/>
      <c r="F181" s="597"/>
      <c r="G181" s="597"/>
      <c r="H181" s="597"/>
      <c r="I181" s="1390"/>
      <c r="J181" s="371" t="s">
        <v>586</v>
      </c>
      <c r="K181" s="457">
        <v>114786</v>
      </c>
      <c r="M181" s="601">
        <f>26250+4000</f>
        <v>30250</v>
      </c>
      <c r="N181" s="588"/>
      <c r="O181" s="595"/>
      <c r="P181" s="600"/>
    </row>
    <row r="182" spans="1:16" s="375" customFormat="1" ht="46.8" x14ac:dyDescent="0.3">
      <c r="A182" s="596">
        <v>7</v>
      </c>
      <c r="B182" s="602" t="s">
        <v>899</v>
      </c>
      <c r="C182" s="647" t="s">
        <v>1090</v>
      </c>
      <c r="D182" s="603"/>
      <c r="E182" s="586"/>
      <c r="F182" s="586"/>
      <c r="G182" s="586"/>
      <c r="H182" s="604"/>
      <c r="I182" s="477" t="s">
        <v>1325</v>
      </c>
      <c r="J182" s="371" t="s">
        <v>764</v>
      </c>
      <c r="K182" s="673">
        <f>15024600+54.55</f>
        <v>15024654.550000001</v>
      </c>
      <c r="M182" s="589">
        <f>1902501+372964.26</f>
        <v>2275465.2599999998</v>
      </c>
      <c r="N182" s="588"/>
      <c r="O182" s="595" t="s">
        <v>1084</v>
      </c>
      <c r="P182" s="599"/>
    </row>
    <row r="183" spans="1:16" s="366" customFormat="1" ht="31.2" hidden="1" x14ac:dyDescent="0.3">
      <c r="A183" s="596">
        <v>8</v>
      </c>
      <c r="B183" s="605" t="s">
        <v>1032</v>
      </c>
      <c r="C183" s="395" t="s">
        <v>1111</v>
      </c>
      <c r="D183" s="592"/>
      <c r="E183" s="592"/>
      <c r="F183" s="592"/>
      <c r="G183" s="592"/>
      <c r="H183" s="592"/>
      <c r="I183" s="477" t="s">
        <v>1112</v>
      </c>
      <c r="J183" s="371" t="s">
        <v>586</v>
      </c>
      <c r="K183" s="453"/>
      <c r="M183" s="598"/>
      <c r="O183" s="595" t="s">
        <v>151</v>
      </c>
    </row>
    <row r="184" spans="1:16" s="366" customFormat="1" ht="46.8" x14ac:dyDescent="0.3">
      <c r="A184" s="596">
        <v>8</v>
      </c>
      <c r="B184" s="423" t="s">
        <v>513</v>
      </c>
      <c r="C184" s="395" t="s">
        <v>1113</v>
      </c>
      <c r="D184" s="592"/>
      <c r="E184" s="592"/>
      <c r="F184" s="592"/>
      <c r="G184" s="592"/>
      <c r="H184" s="592"/>
      <c r="I184" s="477" t="s">
        <v>1291</v>
      </c>
      <c r="J184" s="371" t="s">
        <v>700</v>
      </c>
      <c r="K184" s="453">
        <v>4356000</v>
      </c>
      <c r="M184" s="598"/>
      <c r="O184" s="595" t="s">
        <v>151</v>
      </c>
    </row>
    <row r="185" spans="1:16" s="366" customFormat="1" ht="31.2" x14ac:dyDescent="0.3">
      <c r="A185" s="645">
        <v>9</v>
      </c>
      <c r="B185" s="606" t="s">
        <v>1365</v>
      </c>
      <c r="C185" s="647" t="s">
        <v>1103</v>
      </c>
      <c r="D185" s="586"/>
      <c r="E185" s="586"/>
      <c r="F185" s="586"/>
      <c r="G185" s="586"/>
      <c r="H185" s="586"/>
      <c r="I185" s="587" t="s">
        <v>1366</v>
      </c>
      <c r="J185" s="371" t="s">
        <v>586</v>
      </c>
      <c r="K185" s="659">
        <v>2300000</v>
      </c>
      <c r="M185" s="598">
        <f>2300000</f>
        <v>2300000</v>
      </c>
      <c r="O185" s="595"/>
    </row>
    <row r="186" spans="1:16" s="366" customFormat="1" ht="62.4" x14ac:dyDescent="0.3">
      <c r="A186" s="645">
        <v>10</v>
      </c>
      <c r="B186" s="606" t="s">
        <v>514</v>
      </c>
      <c r="C186" s="647" t="s">
        <v>1113</v>
      </c>
      <c r="D186" s="586"/>
      <c r="E186" s="586"/>
      <c r="F186" s="586"/>
      <c r="G186" s="586"/>
      <c r="H186" s="586"/>
      <c r="I186" s="587" t="s">
        <v>1292</v>
      </c>
      <c r="J186" s="371" t="s">
        <v>700</v>
      </c>
      <c r="K186" s="421">
        <v>2178000</v>
      </c>
      <c r="M186" s="598"/>
      <c r="O186" s="595" t="s">
        <v>151</v>
      </c>
    </row>
    <row r="187" spans="1:16" s="366" customFormat="1" ht="31.2" x14ac:dyDescent="0.3">
      <c r="A187" s="1363">
        <v>11</v>
      </c>
      <c r="B187" s="1366" t="s">
        <v>1150</v>
      </c>
      <c r="C187" s="395" t="s">
        <v>1130</v>
      </c>
      <c r="D187" s="396"/>
      <c r="E187" s="396"/>
      <c r="F187" s="396"/>
      <c r="G187" s="396"/>
      <c r="H187" s="396"/>
      <c r="I187" s="397" t="s">
        <v>1234</v>
      </c>
      <c r="J187" s="371"/>
      <c r="K187" s="422">
        <f>K188+K189</f>
        <v>584381.05000000005</v>
      </c>
      <c r="L187" s="365"/>
      <c r="M187" s="422">
        <f>M188+M189</f>
        <v>94093.459999999992</v>
      </c>
      <c r="N187" s="365"/>
      <c r="O187" s="374" t="s">
        <v>151</v>
      </c>
    </row>
    <row r="188" spans="1:16" s="366" customFormat="1" ht="15.6" x14ac:dyDescent="0.3">
      <c r="A188" s="1364"/>
      <c r="B188" s="1367"/>
      <c r="C188" s="390"/>
      <c r="D188" s="399"/>
      <c r="E188" s="399"/>
      <c r="F188" s="399"/>
      <c r="G188" s="399"/>
      <c r="H188" s="399"/>
      <c r="I188" s="391"/>
      <c r="J188" s="371" t="s">
        <v>162</v>
      </c>
      <c r="K188" s="381">
        <f>538299.94-18.95</f>
        <v>538280.99</v>
      </c>
      <c r="L188" s="365"/>
      <c r="M188" s="361">
        <f>25979.4+7845.78+10481.82+35807.18+13979.28</f>
        <v>94093.459999999992</v>
      </c>
      <c r="N188" s="365"/>
      <c r="O188" s="380"/>
    </row>
    <row r="189" spans="1:16" s="366" customFormat="1" ht="15.6" x14ac:dyDescent="0.3">
      <c r="A189" s="1365"/>
      <c r="B189" s="1368"/>
      <c r="C189" s="392"/>
      <c r="D189" s="370"/>
      <c r="E189" s="370"/>
      <c r="F189" s="370"/>
      <c r="G189" s="370"/>
      <c r="H189" s="370"/>
      <c r="I189" s="398"/>
      <c r="J189" s="371" t="s">
        <v>586</v>
      </c>
      <c r="K189" s="381">
        <v>46100.06</v>
      </c>
      <c r="L189" s="365"/>
      <c r="M189" s="361"/>
      <c r="N189" s="365"/>
      <c r="O189" s="380"/>
    </row>
    <row r="190" spans="1:16" s="366" customFormat="1" ht="34.799999999999997" x14ac:dyDescent="0.3">
      <c r="A190" s="1375">
        <v>12</v>
      </c>
      <c r="B190" s="607" t="s">
        <v>1215</v>
      </c>
      <c r="C190" s="392"/>
      <c r="D190" s="370"/>
      <c r="E190" s="370"/>
      <c r="F190" s="370"/>
      <c r="G190" s="370"/>
      <c r="H190" s="370"/>
      <c r="I190" s="497"/>
      <c r="J190" s="371"/>
      <c r="K190" s="381"/>
      <c r="L190" s="365"/>
      <c r="M190" s="486"/>
      <c r="N190" s="365"/>
      <c r="O190" s="374"/>
    </row>
    <row r="191" spans="1:16" s="366" customFormat="1" ht="31.2" x14ac:dyDescent="0.3">
      <c r="A191" s="1376"/>
      <c r="B191" s="1377" t="s">
        <v>1216</v>
      </c>
      <c r="C191" s="395" t="s">
        <v>1141</v>
      </c>
      <c r="D191" s="592"/>
      <c r="E191" s="592"/>
      <c r="F191" s="592"/>
      <c r="G191" s="592"/>
      <c r="H191" s="592"/>
      <c r="I191" s="594" t="s">
        <v>1279</v>
      </c>
      <c r="J191" s="371"/>
      <c r="K191" s="422">
        <f>K192+K193</f>
        <v>573397.1</v>
      </c>
      <c r="L191" s="365"/>
      <c r="M191" s="422">
        <f>M192+M193</f>
        <v>44306.749999999993</v>
      </c>
      <c r="N191" s="365"/>
      <c r="O191" s="374" t="s">
        <v>151</v>
      </c>
    </row>
    <row r="192" spans="1:16" s="366" customFormat="1" ht="15.6" x14ac:dyDescent="0.3">
      <c r="A192" s="1376"/>
      <c r="B192" s="1377"/>
      <c r="C192" s="1378"/>
      <c r="D192" s="592"/>
      <c r="E192" s="592"/>
      <c r="F192" s="592"/>
      <c r="G192" s="592"/>
      <c r="H192" s="592"/>
      <c r="I192" s="1392"/>
      <c r="J192" s="371" t="s">
        <v>162</v>
      </c>
      <c r="K192" s="674">
        <f>539686.9-2.9</f>
        <v>539684</v>
      </c>
      <c r="L192" s="365"/>
      <c r="M192" s="361">
        <f>29652.04+8954.91+3932.34</f>
        <v>42539.289999999994</v>
      </c>
      <c r="N192" s="365"/>
      <c r="O192" s="380"/>
    </row>
    <row r="193" spans="1:15" s="366" customFormat="1" ht="15.6" x14ac:dyDescent="0.3">
      <c r="A193" s="1376"/>
      <c r="B193" s="1377"/>
      <c r="C193" s="1379"/>
      <c r="D193" s="592"/>
      <c r="E193" s="592"/>
      <c r="F193" s="592"/>
      <c r="G193" s="592"/>
      <c r="H193" s="592"/>
      <c r="I193" s="1393"/>
      <c r="J193" s="371" t="s">
        <v>586</v>
      </c>
      <c r="K193" s="381">
        <v>33713.1</v>
      </c>
      <c r="L193" s="365"/>
      <c r="M193" s="361">
        <f>1767.46</f>
        <v>1767.46</v>
      </c>
      <c r="N193" s="365"/>
      <c r="O193" s="380"/>
    </row>
    <row r="194" spans="1:15" s="366" customFormat="1" ht="62.4" x14ac:dyDescent="0.3">
      <c r="A194" s="1376"/>
      <c r="B194" s="608" t="s">
        <v>1217</v>
      </c>
      <c r="C194" s="395" t="s">
        <v>1142</v>
      </c>
      <c r="D194" s="592"/>
      <c r="E194" s="592"/>
      <c r="F194" s="592"/>
      <c r="G194" s="592"/>
      <c r="H194" s="592"/>
      <c r="I194" s="594" t="s">
        <v>1305</v>
      </c>
      <c r="J194" s="371" t="s">
        <v>613</v>
      </c>
      <c r="K194" s="675">
        <f>43977400-56.79</f>
        <v>43977343.210000001</v>
      </c>
      <c r="L194" s="365"/>
      <c r="M194" s="598">
        <f>2619427.54+595333.96+2415772.19+683972.58</f>
        <v>6314506.2699999996</v>
      </c>
      <c r="N194" s="365"/>
      <c r="O194" s="1350" t="s">
        <v>968</v>
      </c>
    </row>
    <row r="195" spans="1:15" s="366" customFormat="1" ht="15.6" x14ac:dyDescent="0.3">
      <c r="A195" s="1376"/>
      <c r="B195" s="1377" t="s">
        <v>1218</v>
      </c>
      <c r="C195" s="395" t="s">
        <v>1105</v>
      </c>
      <c r="D195" s="592"/>
      <c r="E195" s="592"/>
      <c r="F195" s="592"/>
      <c r="G195" s="592"/>
      <c r="H195" s="592"/>
      <c r="I195" s="594" t="s">
        <v>1313</v>
      </c>
      <c r="J195" s="371"/>
      <c r="K195" s="422">
        <f>K196+K197</f>
        <v>155831249.56999999</v>
      </c>
      <c r="L195" s="365"/>
      <c r="M195" s="422">
        <f>M196+M197</f>
        <v>22640762.259999998</v>
      </c>
      <c r="N195" s="365"/>
      <c r="O195" s="1394"/>
    </row>
    <row r="196" spans="1:15" s="366" customFormat="1" ht="15.6" x14ac:dyDescent="0.3">
      <c r="A196" s="1376"/>
      <c r="B196" s="1377"/>
      <c r="C196" s="1388"/>
      <c r="D196" s="592"/>
      <c r="E196" s="592"/>
      <c r="F196" s="592"/>
      <c r="G196" s="592"/>
      <c r="H196" s="592"/>
      <c r="I196" s="1395"/>
      <c r="J196" s="371" t="s">
        <v>586</v>
      </c>
      <c r="K196" s="381"/>
      <c r="L196" s="365"/>
      <c r="M196" s="361"/>
      <c r="N196" s="365"/>
      <c r="O196" s="1394"/>
    </row>
    <row r="197" spans="1:15" s="366" customFormat="1" ht="15.6" x14ac:dyDescent="0.3">
      <c r="A197" s="1376"/>
      <c r="B197" s="1377"/>
      <c r="C197" s="1379"/>
      <c r="D197" s="592"/>
      <c r="E197" s="592"/>
      <c r="F197" s="592"/>
      <c r="G197" s="592"/>
      <c r="H197" s="592"/>
      <c r="I197" s="1393"/>
      <c r="J197" s="371" t="s">
        <v>613</v>
      </c>
      <c r="K197" s="674">
        <f>155831300-50.43</f>
        <v>155831249.56999999</v>
      </c>
      <c r="L197" s="365"/>
      <c r="M197" s="361">
        <f>9004508.92+591141.05+12556560.11+488552.18</f>
        <v>22640762.259999998</v>
      </c>
      <c r="N197" s="365"/>
      <c r="O197" s="1394"/>
    </row>
    <row r="198" spans="1:15" s="366" customFormat="1" ht="15.6" x14ac:dyDescent="0.3">
      <c r="A198" s="1376"/>
      <c r="B198" s="1377" t="s">
        <v>1368</v>
      </c>
      <c r="C198" s="395" t="s">
        <v>1145</v>
      </c>
      <c r="D198" s="592"/>
      <c r="E198" s="592"/>
      <c r="F198" s="592"/>
      <c r="G198" s="592"/>
      <c r="H198" s="592"/>
      <c r="I198" s="594" t="s">
        <v>1326</v>
      </c>
      <c r="J198" s="371"/>
      <c r="K198" s="422">
        <f>K199+K200</f>
        <v>7075422.9199999999</v>
      </c>
      <c r="L198" s="365"/>
      <c r="M198" s="422">
        <f>M199+M200</f>
        <v>0</v>
      </c>
      <c r="N198" s="365"/>
      <c r="O198" s="1394"/>
    </row>
    <row r="199" spans="1:15" s="366" customFormat="1" ht="15.6" x14ac:dyDescent="0.3">
      <c r="A199" s="1376"/>
      <c r="B199" s="1377"/>
      <c r="C199" s="1388"/>
      <c r="D199" s="592"/>
      <c r="E199" s="592"/>
      <c r="F199" s="592"/>
      <c r="G199" s="592"/>
      <c r="H199" s="592"/>
      <c r="I199" s="1395"/>
      <c r="J199" s="371" t="s">
        <v>764</v>
      </c>
      <c r="K199" s="674">
        <f>7075400+22.92-4825000</f>
        <v>2250422.92</v>
      </c>
      <c r="L199" s="365"/>
      <c r="M199" s="361"/>
      <c r="N199" s="365"/>
      <c r="O199" s="1394"/>
    </row>
    <row r="200" spans="1:15" s="366" customFormat="1" ht="15.6" x14ac:dyDescent="0.3">
      <c r="A200" s="1376"/>
      <c r="B200" s="1377"/>
      <c r="C200" s="1379"/>
      <c r="D200" s="592"/>
      <c r="E200" s="592"/>
      <c r="F200" s="592"/>
      <c r="G200" s="592"/>
      <c r="H200" s="592"/>
      <c r="I200" s="1393"/>
      <c r="J200" s="371" t="s">
        <v>613</v>
      </c>
      <c r="K200" s="674">
        <v>4825000</v>
      </c>
      <c r="L200" s="365"/>
      <c r="M200" s="361"/>
      <c r="N200" s="365"/>
      <c r="O200" s="1394"/>
    </row>
    <row r="201" spans="1:15" s="366" customFormat="1" ht="46.8" hidden="1" x14ac:dyDescent="0.3">
      <c r="A201" s="1376"/>
      <c r="B201" s="608" t="s">
        <v>1220</v>
      </c>
      <c r="C201" s="646" t="s">
        <v>1105</v>
      </c>
      <c r="D201" s="592"/>
      <c r="E201" s="592"/>
      <c r="F201" s="592"/>
      <c r="G201" s="592"/>
      <c r="H201" s="592"/>
      <c r="I201" s="610" t="s">
        <v>1189</v>
      </c>
      <c r="J201" s="371" t="s">
        <v>613</v>
      </c>
      <c r="K201" s="422"/>
      <c r="L201" s="365"/>
      <c r="M201" s="598"/>
      <c r="N201" s="365"/>
      <c r="O201" s="1394"/>
    </row>
    <row r="202" spans="1:15" s="366" customFormat="1" ht="15.6" x14ac:dyDescent="0.3">
      <c r="A202" s="1376"/>
      <c r="B202" s="1377" t="s">
        <v>1221</v>
      </c>
      <c r="C202" s="646" t="s">
        <v>1143</v>
      </c>
      <c r="D202" s="592"/>
      <c r="E202" s="592"/>
      <c r="F202" s="592"/>
      <c r="G202" s="592"/>
      <c r="H202" s="592"/>
      <c r="I202" s="610" t="s">
        <v>1319</v>
      </c>
      <c r="J202" s="371"/>
      <c r="K202" s="422">
        <f>K203+K204</f>
        <v>1361130</v>
      </c>
      <c r="L202" s="365"/>
      <c r="M202" s="422">
        <f>M203+M204</f>
        <v>0</v>
      </c>
      <c r="N202" s="365"/>
      <c r="O202" s="1394"/>
    </row>
    <row r="203" spans="1:15" s="366" customFormat="1" ht="15.6" x14ac:dyDescent="0.3">
      <c r="A203" s="1376"/>
      <c r="B203" s="1377"/>
      <c r="C203" s="646"/>
      <c r="D203" s="592"/>
      <c r="E203" s="592"/>
      <c r="F203" s="592"/>
      <c r="G203" s="592"/>
      <c r="H203" s="592"/>
      <c r="I203" s="610"/>
      <c r="J203" s="371" t="s">
        <v>764</v>
      </c>
      <c r="K203" s="381"/>
      <c r="L203" s="365"/>
      <c r="M203" s="361"/>
      <c r="N203" s="365"/>
      <c r="O203" s="1394"/>
    </row>
    <row r="204" spans="1:15" s="366" customFormat="1" ht="15.6" x14ac:dyDescent="0.3">
      <c r="A204" s="1376"/>
      <c r="B204" s="1377"/>
      <c r="C204" s="646"/>
      <c r="D204" s="592"/>
      <c r="E204" s="592"/>
      <c r="F204" s="592"/>
      <c r="G204" s="592"/>
      <c r="H204" s="592"/>
      <c r="I204" s="610"/>
      <c r="J204" s="371" t="s">
        <v>613</v>
      </c>
      <c r="K204" s="674">
        <f>1361000+130</f>
        <v>1361130</v>
      </c>
      <c r="L204" s="365"/>
      <c r="M204" s="361"/>
      <c r="N204" s="365"/>
      <c r="O204" s="1394"/>
    </row>
    <row r="205" spans="1:15" s="366" customFormat="1" ht="15.6" hidden="1" x14ac:dyDescent="0.3">
      <c r="A205" s="1376"/>
      <c r="B205" s="608" t="s">
        <v>1222</v>
      </c>
      <c r="C205" s="550" t="s">
        <v>1190</v>
      </c>
      <c r="D205" s="592"/>
      <c r="E205" s="592"/>
      <c r="F205" s="592"/>
      <c r="G205" s="592"/>
      <c r="H205" s="592"/>
      <c r="I205" s="611" t="s">
        <v>1191</v>
      </c>
      <c r="J205" s="397" t="s">
        <v>613</v>
      </c>
      <c r="K205" s="612"/>
      <c r="L205" s="365"/>
      <c r="M205" s="613"/>
      <c r="N205" s="365"/>
      <c r="O205" s="1394"/>
    </row>
    <row r="206" spans="1:15" s="366" customFormat="1" ht="46.8" x14ac:dyDescent="0.3">
      <c r="A206" s="1376"/>
      <c r="B206" s="608" t="s">
        <v>1223</v>
      </c>
      <c r="C206" s="550" t="s">
        <v>1142</v>
      </c>
      <c r="D206" s="592"/>
      <c r="E206" s="592"/>
      <c r="F206" s="592"/>
      <c r="G206" s="592"/>
      <c r="H206" s="592"/>
      <c r="I206" s="611" t="s">
        <v>1371</v>
      </c>
      <c r="J206" s="397" t="s">
        <v>700</v>
      </c>
      <c r="K206" s="612">
        <v>1929041.48</v>
      </c>
      <c r="L206" s="365"/>
      <c r="M206" s="613">
        <v>1929041.48</v>
      </c>
      <c r="N206" s="365"/>
      <c r="O206" s="1394"/>
    </row>
    <row r="207" spans="1:15" s="366" customFormat="1" ht="46.8" hidden="1" x14ac:dyDescent="0.3">
      <c r="A207" s="1376"/>
      <c r="B207" s="608" t="s">
        <v>1224</v>
      </c>
      <c r="C207" s="550" t="s">
        <v>1105</v>
      </c>
      <c r="D207" s="592"/>
      <c r="E207" s="592"/>
      <c r="F207" s="592"/>
      <c r="G207" s="592"/>
      <c r="H207" s="592"/>
      <c r="I207" s="611" t="s">
        <v>1193</v>
      </c>
      <c r="J207" s="397" t="s">
        <v>613</v>
      </c>
      <c r="K207" s="612"/>
      <c r="L207" s="365"/>
      <c r="M207" s="613"/>
      <c r="N207" s="365"/>
      <c r="O207" s="1352"/>
    </row>
    <row r="208" spans="1:15" s="366" customFormat="1" ht="17.399999999999999" x14ac:dyDescent="0.3">
      <c r="A208" s="1365"/>
      <c r="B208" s="614" t="s">
        <v>483</v>
      </c>
      <c r="C208" s="615"/>
      <c r="D208" s="616"/>
      <c r="E208" s="616"/>
      <c r="F208" s="616"/>
      <c r="G208" s="616"/>
      <c r="H208" s="616"/>
      <c r="I208" s="617"/>
      <c r="J208" s="371"/>
      <c r="K208" s="422">
        <f>K191+K194+K195+K198+K201+K202+K205+K206+K207</f>
        <v>210747584.27999997</v>
      </c>
      <c r="L208" s="618"/>
      <c r="M208" s="422">
        <f>M191+M194+M195+M198+M201+M202+M205+M206+M207</f>
        <v>30928616.759999998</v>
      </c>
      <c r="N208" s="365"/>
      <c r="O208" s="619"/>
    </row>
    <row r="209" spans="1:15" s="366" customFormat="1" ht="36" hidden="1" x14ac:dyDescent="0.35">
      <c r="A209" s="644">
        <v>13</v>
      </c>
      <c r="B209" s="620" t="s">
        <v>1164</v>
      </c>
      <c r="C209" s="395" t="s">
        <v>1109</v>
      </c>
      <c r="D209" s="592"/>
      <c r="E209" s="592"/>
      <c r="F209" s="592"/>
      <c r="G209" s="592"/>
      <c r="H209" s="592"/>
      <c r="I209" s="611"/>
      <c r="J209" s="397"/>
      <c r="K209" s="612">
        <f>K210+K211+K212</f>
        <v>0</v>
      </c>
      <c r="L209" s="618"/>
      <c r="M209" s="612"/>
      <c r="N209" s="365"/>
      <c r="O209" s="432" t="s">
        <v>151</v>
      </c>
    </row>
    <row r="210" spans="1:15" s="366" customFormat="1" ht="46.8" hidden="1" x14ac:dyDescent="0.3">
      <c r="A210" s="644">
        <v>14</v>
      </c>
      <c r="B210" s="621" t="s">
        <v>1165</v>
      </c>
      <c r="C210" s="395" t="s">
        <v>1109</v>
      </c>
      <c r="D210" s="592"/>
      <c r="E210" s="592"/>
      <c r="F210" s="592"/>
      <c r="G210" s="592"/>
      <c r="H210" s="592"/>
      <c r="I210" s="611" t="s">
        <v>1166</v>
      </c>
      <c r="J210" s="397" t="s">
        <v>700</v>
      </c>
      <c r="K210" s="612"/>
      <c r="L210" s="618"/>
      <c r="M210" s="622"/>
      <c r="N210" s="365"/>
      <c r="O210" s="619"/>
    </row>
    <row r="211" spans="1:15" s="366" customFormat="1" ht="31.2" hidden="1" x14ac:dyDescent="0.3">
      <c r="A211" s="644">
        <v>15</v>
      </c>
      <c r="B211" s="466" t="s">
        <v>1176</v>
      </c>
      <c r="C211" s="451" t="s">
        <v>1109</v>
      </c>
      <c r="I211" s="531" t="s">
        <v>1177</v>
      </c>
      <c r="J211" s="397" t="s">
        <v>700</v>
      </c>
      <c r="K211" s="612"/>
      <c r="L211" s="618"/>
      <c r="M211" s="622"/>
      <c r="N211" s="365"/>
      <c r="O211" s="619"/>
    </row>
    <row r="212" spans="1:15" s="366" customFormat="1" ht="15.6" hidden="1" x14ac:dyDescent="0.3">
      <c r="A212" s="644">
        <v>16</v>
      </c>
      <c r="B212" s="521" t="s">
        <v>1207</v>
      </c>
      <c r="C212" s="451" t="s">
        <v>1111</v>
      </c>
      <c r="I212" s="531" t="s">
        <v>1208</v>
      </c>
      <c r="J212" s="397" t="s">
        <v>764</v>
      </c>
      <c r="K212" s="612"/>
      <c r="L212" s="618"/>
      <c r="M212" s="612"/>
      <c r="N212" s="365"/>
      <c r="O212" s="619"/>
    </row>
    <row r="213" spans="1:15" s="366" customFormat="1" ht="16.5" hidden="1" customHeight="1" x14ac:dyDescent="0.35">
      <c r="A213" s="644">
        <v>17</v>
      </c>
      <c r="B213" s="623" t="s">
        <v>322</v>
      </c>
      <c r="C213" s="451" t="s">
        <v>1159</v>
      </c>
      <c r="I213" s="531" t="s">
        <v>1178</v>
      </c>
      <c r="J213" s="397" t="s">
        <v>813</v>
      </c>
      <c r="K213" s="612"/>
      <c r="L213" s="618"/>
      <c r="M213" s="612"/>
      <c r="N213" s="365"/>
      <c r="O213" s="448" t="s">
        <v>1179</v>
      </c>
    </row>
    <row r="214" spans="1:15" s="366" customFormat="1" ht="46.5" hidden="1" customHeight="1" x14ac:dyDescent="0.3">
      <c r="A214" s="644">
        <v>18</v>
      </c>
      <c r="B214" s="466" t="s">
        <v>1199</v>
      </c>
      <c r="C214" s="451" t="s">
        <v>1103</v>
      </c>
      <c r="I214" s="531" t="s">
        <v>1200</v>
      </c>
      <c r="J214" s="397" t="s">
        <v>586</v>
      </c>
      <c r="K214" s="612"/>
      <c r="L214" s="618"/>
      <c r="M214" s="612"/>
      <c r="N214" s="365"/>
      <c r="O214" s="432" t="s">
        <v>151</v>
      </c>
    </row>
    <row r="215" spans="1:15" s="474" customFormat="1" ht="46.5" customHeight="1" x14ac:dyDescent="0.3">
      <c r="A215" s="624">
        <v>13</v>
      </c>
      <c r="B215" s="423" t="s">
        <v>601</v>
      </c>
      <c r="C215" s="550" t="s">
        <v>1227</v>
      </c>
      <c r="I215" s="611" t="s">
        <v>1228</v>
      </c>
      <c r="J215" s="397" t="s">
        <v>586</v>
      </c>
      <c r="K215" s="612">
        <f>24200-13.73</f>
        <v>24186.27</v>
      </c>
      <c r="L215" s="625"/>
      <c r="M215" s="612"/>
      <c r="N215" s="476"/>
      <c r="O215" s="432"/>
    </row>
    <row r="216" spans="1:15" s="474" customFormat="1" ht="46.5" customHeight="1" x14ac:dyDescent="0.3">
      <c r="A216" s="624">
        <v>14</v>
      </c>
      <c r="B216" s="416" t="s">
        <v>1369</v>
      </c>
      <c r="C216" s="550" t="s">
        <v>1109</v>
      </c>
      <c r="I216" s="611" t="s">
        <v>1370</v>
      </c>
      <c r="J216" s="397" t="s">
        <v>700</v>
      </c>
      <c r="K216" s="612">
        <v>7065202.5899999999</v>
      </c>
      <c r="L216" s="625"/>
      <c r="M216" s="612"/>
      <c r="N216" s="476"/>
      <c r="O216" s="432"/>
    </row>
    <row r="217" spans="1:15" ht="21" x14ac:dyDescent="0.4">
      <c r="A217" s="410"/>
      <c r="B217" s="402" t="s">
        <v>1151</v>
      </c>
      <c r="C217" s="411"/>
      <c r="D217" s="411"/>
      <c r="E217" s="411"/>
      <c r="F217" s="411"/>
      <c r="G217" s="411"/>
      <c r="H217" s="411"/>
      <c r="I217" s="412"/>
      <c r="J217" s="413"/>
      <c r="K217" s="676">
        <f>K172+K175+K176+K177+K178+K179+K182+K183+K184+K186+K187+K208+K209+K211+K213+K214+K215+K185+K216</f>
        <v>333024392.67999989</v>
      </c>
      <c r="L217" s="408"/>
      <c r="M217" s="407">
        <f>M172+M175+M176+M177+M178+M179+M182+M183+M184+M186+M187+M208+M209+M211+M213+M214+M215+M185+M216</f>
        <v>35779393.549999997</v>
      </c>
      <c r="N217" s="354"/>
      <c r="O217" s="354"/>
    </row>
    <row r="218" spans="1:15" ht="32.4" hidden="1" x14ac:dyDescent="0.4">
      <c r="A218" s="444">
        <v>1</v>
      </c>
      <c r="B218" s="441" t="s">
        <v>1213</v>
      </c>
      <c r="C218" s="411"/>
      <c r="D218" s="439"/>
      <c r="E218" s="439"/>
      <c r="F218" s="439"/>
      <c r="G218" s="439"/>
      <c r="H218" s="439"/>
      <c r="I218" s="412"/>
      <c r="J218" s="413"/>
      <c r="K218" s="677">
        <f>K219</f>
        <v>0</v>
      </c>
      <c r="L218" s="408"/>
      <c r="M218" s="442">
        <f>M219</f>
        <v>0</v>
      </c>
      <c r="N218" s="354"/>
      <c r="O218" s="354"/>
    </row>
    <row r="219" spans="1:15" ht="18.75" hidden="1" customHeight="1" x14ac:dyDescent="0.4">
      <c r="A219" s="444"/>
      <c r="B219" s="348" t="s">
        <v>1214</v>
      </c>
      <c r="C219" s="351" t="s">
        <v>1111</v>
      </c>
      <c r="I219" s="357" t="s">
        <v>1209</v>
      </c>
      <c r="J219" s="415" t="s">
        <v>764</v>
      </c>
      <c r="K219" s="678"/>
      <c r="L219" s="408"/>
      <c r="M219" s="443"/>
      <c r="N219" s="354"/>
      <c r="O219" s="342" t="s">
        <v>151</v>
      </c>
    </row>
    <row r="220" spans="1:15" ht="63.6" hidden="1" x14ac:dyDescent="0.4">
      <c r="A220" s="444">
        <v>2</v>
      </c>
      <c r="B220" s="115" t="s">
        <v>1210</v>
      </c>
      <c r="C220" s="351" t="s">
        <v>1105</v>
      </c>
      <c r="I220" s="357" t="s">
        <v>1211</v>
      </c>
      <c r="J220" s="415" t="s">
        <v>613</v>
      </c>
      <c r="K220" s="679"/>
      <c r="L220" s="408"/>
      <c r="M220" s="440"/>
      <c r="N220" s="354"/>
      <c r="O220" s="342" t="s">
        <v>1152</v>
      </c>
    </row>
    <row r="221" spans="1:15" ht="32.25" customHeight="1" x14ac:dyDescent="0.4">
      <c r="A221" s="410"/>
      <c r="B221" s="402" t="s">
        <v>1212</v>
      </c>
      <c r="C221" s="411"/>
      <c r="D221" s="411"/>
      <c r="E221" s="411"/>
      <c r="F221" s="411"/>
      <c r="G221" s="411"/>
      <c r="H221" s="411"/>
      <c r="I221" s="413"/>
      <c r="J221" s="413"/>
      <c r="K221" s="680">
        <f>K218+K220</f>
        <v>0</v>
      </c>
      <c r="L221" s="408"/>
      <c r="M221" s="409">
        <f>M218+M220</f>
        <v>0</v>
      </c>
      <c r="N221" s="354"/>
      <c r="O221" s="354"/>
    </row>
    <row r="224" spans="1:15" ht="18" x14ac:dyDescent="0.35">
      <c r="A224" s="331" t="s">
        <v>1373</v>
      </c>
      <c r="B224" s="331"/>
      <c r="C224" s="331"/>
      <c r="D224" s="331"/>
      <c r="E224" s="331"/>
      <c r="F224" s="331"/>
      <c r="G224" s="331"/>
      <c r="H224" s="331"/>
      <c r="I224" s="355"/>
      <c r="J224" s="355"/>
      <c r="K224" s="681"/>
      <c r="L224" s="355"/>
      <c r="M224" s="331"/>
      <c r="N224" s="331"/>
      <c r="O224" s="331"/>
    </row>
    <row r="225" spans="1:15" ht="18" x14ac:dyDescent="0.35">
      <c r="A225" s="331" t="s">
        <v>1155</v>
      </c>
      <c r="B225" s="331"/>
      <c r="C225" s="331"/>
      <c r="D225" s="331"/>
      <c r="E225" s="331"/>
      <c r="F225" s="331"/>
      <c r="G225" s="331"/>
      <c r="H225" s="331"/>
      <c r="I225" s="355"/>
      <c r="J225" s="355"/>
      <c r="K225" s="681"/>
      <c r="L225" s="355"/>
      <c r="M225" s="331"/>
      <c r="N225" s="1391" t="s">
        <v>1374</v>
      </c>
      <c r="O225" s="1391"/>
    </row>
    <row r="226" spans="1:15" ht="18" x14ac:dyDescent="0.35">
      <c r="A226" s="331"/>
      <c r="B226" s="331"/>
      <c r="C226" s="331"/>
      <c r="D226" s="331"/>
      <c r="E226" s="331"/>
      <c r="F226" s="331"/>
      <c r="G226" s="331"/>
      <c r="H226" s="331"/>
      <c r="I226" s="355"/>
      <c r="J226" s="355"/>
      <c r="K226" s="681"/>
      <c r="L226" s="355"/>
      <c r="M226" s="331"/>
      <c r="N226" s="331"/>
      <c r="O226" s="331"/>
    </row>
    <row r="227" spans="1:15" ht="18" x14ac:dyDescent="0.35">
      <c r="A227" s="331" t="s">
        <v>1156</v>
      </c>
      <c r="B227" s="331" t="s">
        <v>1157</v>
      </c>
      <c r="C227" s="331"/>
      <c r="D227" s="331"/>
      <c r="E227" s="331"/>
      <c r="F227" s="331"/>
      <c r="G227" s="331"/>
      <c r="H227" s="331"/>
      <c r="I227" s="355"/>
      <c r="J227" s="355"/>
      <c r="K227" s="681"/>
      <c r="L227" s="355"/>
      <c r="M227" s="331"/>
      <c r="N227" s="331"/>
      <c r="O227" s="331"/>
    </row>
    <row r="228" spans="1:15" ht="18" x14ac:dyDescent="0.35">
      <c r="A228" s="331"/>
      <c r="B228" s="331" t="s">
        <v>960</v>
      </c>
      <c r="C228" s="331"/>
      <c r="D228" s="331"/>
      <c r="E228" s="331"/>
      <c r="F228" s="331"/>
      <c r="G228" s="331"/>
      <c r="H228" s="331"/>
      <c r="I228" s="355"/>
      <c r="J228" s="355"/>
      <c r="K228" s="681"/>
      <c r="L228" s="355"/>
      <c r="M228" s="331"/>
      <c r="N228" s="331"/>
      <c r="O228" s="331"/>
    </row>
    <row r="230" spans="1:15" ht="15.6" x14ac:dyDescent="0.3">
      <c r="A230" s="420"/>
      <c r="B230" s="414"/>
      <c r="C230" s="417"/>
      <c r="D230" s="336"/>
      <c r="E230" s="336"/>
      <c r="F230" s="336"/>
      <c r="G230" s="336"/>
      <c r="H230" s="336"/>
      <c r="I230" s="418"/>
      <c r="J230" s="418"/>
      <c r="K230" s="367"/>
    </row>
    <row r="233" spans="1:15" ht="15.6" x14ac:dyDescent="0.3">
      <c r="B233" s="414"/>
      <c r="C233" s="417"/>
      <c r="D233" s="336"/>
      <c r="E233" s="336"/>
      <c r="F233" s="336"/>
      <c r="G233" s="336"/>
      <c r="H233" s="336"/>
      <c r="I233" s="418"/>
      <c r="J233" s="418"/>
      <c r="K233" s="582"/>
      <c r="L233" s="336"/>
      <c r="M233" s="336"/>
    </row>
    <row r="234" spans="1:15" x14ac:dyDescent="0.3">
      <c r="B234" s="336"/>
      <c r="C234" s="336"/>
      <c r="D234" s="336"/>
      <c r="E234" s="336"/>
      <c r="F234" s="336"/>
      <c r="G234" s="336"/>
      <c r="H234" s="336"/>
      <c r="I234" s="336"/>
      <c r="J234" s="336"/>
      <c r="K234" s="367"/>
      <c r="L234" s="336"/>
      <c r="M234" s="336"/>
    </row>
  </sheetData>
  <mergeCells count="105">
    <mergeCell ref="O43:O46"/>
    <mergeCell ref="O49:O54"/>
    <mergeCell ref="O61:O63"/>
    <mergeCell ref="O67:O68"/>
    <mergeCell ref="A98:A101"/>
    <mergeCell ref="B98:B101"/>
    <mergeCell ref="O98:O107"/>
    <mergeCell ref="O110:O113"/>
    <mergeCell ref="O114:O115"/>
    <mergeCell ref="B115:B116"/>
    <mergeCell ref="I115:I116"/>
    <mergeCell ref="A91:A94"/>
    <mergeCell ref="B91:B94"/>
    <mergeCell ref="O91:O95"/>
    <mergeCell ref="B95:B97"/>
    <mergeCell ref="C96:C97"/>
    <mergeCell ref="I96:I97"/>
    <mergeCell ref="O71:O73"/>
    <mergeCell ref="O77:O80"/>
    <mergeCell ref="A83:A86"/>
    <mergeCell ref="B83:B86"/>
    <mergeCell ref="O83:O89"/>
    <mergeCell ref="B89:B90"/>
    <mergeCell ref="C89:C90"/>
    <mergeCell ref="I11:O11"/>
    <mergeCell ref="A12:B12"/>
    <mergeCell ref="A14:O14"/>
    <mergeCell ref="A17:A20"/>
    <mergeCell ref="B17:B20"/>
    <mergeCell ref="C17:C20"/>
    <mergeCell ref="I17:I20"/>
    <mergeCell ref="J17:J20"/>
    <mergeCell ref="K17:K20"/>
    <mergeCell ref="L17:L19"/>
    <mergeCell ref="M17:M20"/>
    <mergeCell ref="N17:N19"/>
    <mergeCell ref="O17:P17"/>
    <mergeCell ref="O18:O20"/>
    <mergeCell ref="P18:P20"/>
    <mergeCell ref="A29:A30"/>
    <mergeCell ref="B29:B30"/>
    <mergeCell ref="I29:I30"/>
    <mergeCell ref="O31:O32"/>
    <mergeCell ref="O37:O40"/>
    <mergeCell ref="M2:O2"/>
    <mergeCell ref="M3:O3"/>
    <mergeCell ref="B22:B23"/>
    <mergeCell ref="C22:C23"/>
    <mergeCell ref="I22:I23"/>
    <mergeCell ref="O22:O29"/>
    <mergeCell ref="A7:B7"/>
    <mergeCell ref="A2:B2"/>
    <mergeCell ref="A3:B3"/>
    <mergeCell ref="A4:B4"/>
    <mergeCell ref="A5:B5"/>
    <mergeCell ref="A6:B6"/>
    <mergeCell ref="A8:B8"/>
    <mergeCell ref="I8:O8"/>
    <mergeCell ref="A9:B9"/>
    <mergeCell ref="I9:O9"/>
    <mergeCell ref="A10:B10"/>
    <mergeCell ref="I10:O10"/>
    <mergeCell ref="A11:B11"/>
    <mergeCell ref="I89:I90"/>
    <mergeCell ref="O145:O158"/>
    <mergeCell ref="B157:B159"/>
    <mergeCell ref="C157:C159"/>
    <mergeCell ref="I157:I159"/>
    <mergeCell ref="O160:O162"/>
    <mergeCell ref="O120:O122"/>
    <mergeCell ref="O124:O143"/>
    <mergeCell ref="A131:A132"/>
    <mergeCell ref="B131:B132"/>
    <mergeCell ref="C131:C132"/>
    <mergeCell ref="I131:I132"/>
    <mergeCell ref="A135:A138"/>
    <mergeCell ref="B135:B138"/>
    <mergeCell ref="C136:C138"/>
    <mergeCell ref="I136:I138"/>
    <mergeCell ref="A139:A142"/>
    <mergeCell ref="B139:B142"/>
    <mergeCell ref="C140:C142"/>
    <mergeCell ref="I140:I142"/>
    <mergeCell ref="A187:A189"/>
    <mergeCell ref="B187:B189"/>
    <mergeCell ref="A190:A208"/>
    <mergeCell ref="B191:B193"/>
    <mergeCell ref="C192:C193"/>
    <mergeCell ref="O166:O167"/>
    <mergeCell ref="A172:A174"/>
    <mergeCell ref="B172:B174"/>
    <mergeCell ref="A179:A181"/>
    <mergeCell ref="B179:B181"/>
    <mergeCell ref="C180:C181"/>
    <mergeCell ref="I180:I181"/>
    <mergeCell ref="N225:O225"/>
    <mergeCell ref="I192:I193"/>
    <mergeCell ref="O194:O207"/>
    <mergeCell ref="B195:B197"/>
    <mergeCell ref="C196:C197"/>
    <mergeCell ref="I196:I197"/>
    <mergeCell ref="B198:B200"/>
    <mergeCell ref="C199:C200"/>
    <mergeCell ref="I199:I200"/>
    <mergeCell ref="B202:B204"/>
  </mergeCells>
  <hyperlinks>
    <hyperlink ref="A8" r:id="rId1" display="mailto:rfo-skv@mail.ru"/>
  </hyperlinks>
  <pageMargins left="0.70866141732283472" right="0" top="0.74803149606299213" bottom="0.74803149606299213" header="0.31496062992125984" footer="0.31496062992125984"/>
  <pageSetup paperSize="9" scale="61" fitToHeight="0" orientation="landscape"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5"/>
  <sheetViews>
    <sheetView view="pageBreakPreview" topLeftCell="A2" zoomScale="90" zoomScaleNormal="90" zoomScaleSheetLayoutView="90" workbookViewId="0">
      <selection activeCell="B176" sqref="B176"/>
    </sheetView>
  </sheetViews>
  <sheetFormatPr defaultRowHeight="14.4" x14ac:dyDescent="0.3"/>
  <cols>
    <col min="1" max="1" width="8.6640625" customWidth="1"/>
    <col min="2" max="2" width="75.6640625" customWidth="1"/>
    <col min="3" max="3" width="21" customWidth="1"/>
    <col min="4" max="7" width="9.109375" hidden="1" customWidth="1"/>
    <col min="8" max="8" width="5.44140625" hidden="1" customWidth="1"/>
    <col min="9" max="9" width="19.109375" customWidth="1"/>
    <col min="10" max="10" width="12" customWidth="1"/>
    <col min="11" max="11" width="23.5546875" style="366" customWidth="1"/>
    <col min="12" max="12" width="0.33203125" hidden="1" customWidth="1"/>
    <col min="13" max="13" width="26.88671875" customWidth="1"/>
    <col min="14" max="14" width="3" hidden="1" customWidth="1"/>
    <col min="15" max="15" width="37.109375" customWidth="1"/>
    <col min="16" max="16" width="25" hidden="1" customWidth="1"/>
  </cols>
  <sheetData>
    <row r="1" spans="1:15" ht="18" hidden="1" x14ac:dyDescent="0.35">
      <c r="A1" s="331"/>
      <c r="B1" s="682"/>
      <c r="C1" s="330"/>
      <c r="D1" s="330"/>
      <c r="E1" s="696"/>
      <c r="F1" s="331"/>
      <c r="G1" s="331"/>
      <c r="H1" s="331"/>
      <c r="I1" s="352"/>
      <c r="J1" s="352"/>
      <c r="K1" s="666"/>
      <c r="L1" s="352"/>
      <c r="M1" s="352"/>
      <c r="N1" s="352"/>
      <c r="O1" s="353"/>
    </row>
    <row r="2" spans="1:15" ht="18" x14ac:dyDescent="0.35">
      <c r="A2" s="1268" t="s">
        <v>1117</v>
      </c>
      <c r="B2" s="1268"/>
      <c r="C2" s="330"/>
      <c r="D2" s="330"/>
      <c r="E2" s="696"/>
      <c r="F2" s="331"/>
      <c r="G2" s="331"/>
      <c r="H2" s="331"/>
      <c r="I2" s="352"/>
      <c r="J2" s="352"/>
      <c r="K2" s="666"/>
      <c r="L2" s="352" t="s">
        <v>1118</v>
      </c>
      <c r="M2" s="1330" t="s">
        <v>151</v>
      </c>
      <c r="N2" s="1330"/>
      <c r="O2" s="1330"/>
    </row>
    <row r="3" spans="1:15" ht="18" x14ac:dyDescent="0.35">
      <c r="A3" s="1268" t="s">
        <v>1119</v>
      </c>
      <c r="B3" s="1268"/>
      <c r="C3" s="330"/>
      <c r="D3" s="330"/>
      <c r="E3" s="696"/>
      <c r="F3" s="331"/>
      <c r="G3" s="331"/>
      <c r="H3" s="331"/>
      <c r="I3" s="352"/>
      <c r="J3" s="352"/>
      <c r="K3" s="666"/>
      <c r="L3" s="352" t="s">
        <v>1120</v>
      </c>
      <c r="M3" s="1330" t="s">
        <v>1202</v>
      </c>
      <c r="N3" s="1330"/>
      <c r="O3" s="1330"/>
    </row>
    <row r="4" spans="1:15" ht="18" x14ac:dyDescent="0.35">
      <c r="A4" s="1353" t="s">
        <v>1121</v>
      </c>
      <c r="B4" s="1353"/>
      <c r="C4" s="330"/>
      <c r="D4" s="330"/>
      <c r="E4" s="696"/>
      <c r="F4" s="331"/>
      <c r="G4" s="331"/>
      <c r="H4" s="331"/>
      <c r="I4" s="352"/>
      <c r="J4" s="352"/>
      <c r="K4" s="666"/>
      <c r="L4" s="352"/>
      <c r="M4" s="352"/>
      <c r="N4" s="352"/>
      <c r="O4" s="353"/>
    </row>
    <row r="5" spans="1:15" ht="18" x14ac:dyDescent="0.35">
      <c r="A5" s="1353" t="s">
        <v>1122</v>
      </c>
      <c r="B5" s="1353"/>
      <c r="C5" s="330"/>
      <c r="D5" s="330"/>
      <c r="E5" s="696"/>
      <c r="F5" s="331"/>
      <c r="G5" s="331"/>
      <c r="H5" s="331"/>
      <c r="I5" s="352"/>
      <c r="J5" s="352"/>
      <c r="K5" s="666"/>
      <c r="L5" s="352"/>
      <c r="M5" s="352"/>
      <c r="N5" s="352"/>
      <c r="O5" s="353"/>
    </row>
    <row r="6" spans="1:15" ht="21.75" customHeight="1" x14ac:dyDescent="0.35">
      <c r="A6" s="1268" t="s">
        <v>1123</v>
      </c>
      <c r="B6" s="1268"/>
      <c r="C6" s="330"/>
      <c r="D6" s="330"/>
      <c r="E6" s="696"/>
      <c r="F6" s="331"/>
      <c r="G6" s="331"/>
      <c r="H6" s="331"/>
      <c r="I6" s="352"/>
      <c r="J6" s="352"/>
      <c r="K6" s="666"/>
      <c r="L6" s="352"/>
      <c r="M6" s="352"/>
      <c r="N6" s="352"/>
      <c r="O6" s="353"/>
    </row>
    <row r="7" spans="1:15" ht="23.25" customHeight="1" x14ac:dyDescent="0.35">
      <c r="A7" s="1268" t="s">
        <v>1124</v>
      </c>
      <c r="B7" s="1268"/>
      <c r="C7" s="330"/>
      <c r="D7" s="330"/>
      <c r="E7" s="696"/>
      <c r="F7" s="331"/>
      <c r="G7" s="331"/>
      <c r="H7" s="331"/>
      <c r="I7" s="352"/>
      <c r="J7" s="352"/>
      <c r="K7" s="666"/>
      <c r="L7" s="352"/>
      <c r="M7" s="352"/>
      <c r="N7" s="352"/>
      <c r="O7" s="353"/>
    </row>
    <row r="8" spans="1:15" ht="18" x14ac:dyDescent="0.35">
      <c r="A8" s="1309" t="s">
        <v>1125</v>
      </c>
      <c r="B8" s="1309"/>
      <c r="C8" s="330"/>
      <c r="D8" s="330"/>
      <c r="E8" s="696"/>
      <c r="F8" s="331"/>
      <c r="G8" s="331"/>
      <c r="H8" s="331"/>
      <c r="I8" s="1310"/>
      <c r="J8" s="1310"/>
      <c r="K8" s="1310"/>
      <c r="L8" s="1310"/>
      <c r="M8" s="1310"/>
      <c r="N8" s="1310"/>
      <c r="O8" s="1310"/>
    </row>
    <row r="9" spans="1:15" ht="18" x14ac:dyDescent="0.35">
      <c r="A9" s="1268" t="s">
        <v>1126</v>
      </c>
      <c r="B9" s="1268"/>
      <c r="C9" s="330"/>
      <c r="D9" s="330"/>
      <c r="E9" s="696"/>
      <c r="F9" s="331"/>
      <c r="G9" s="331"/>
      <c r="H9" s="331"/>
      <c r="I9" s="1310"/>
      <c r="J9" s="1310"/>
      <c r="K9" s="1310"/>
      <c r="L9" s="1310"/>
      <c r="M9" s="1310"/>
      <c r="N9" s="1310"/>
      <c r="O9" s="1310"/>
    </row>
    <row r="10" spans="1:15" ht="18" x14ac:dyDescent="0.35">
      <c r="A10" s="1268" t="s">
        <v>1127</v>
      </c>
      <c r="B10" s="1268"/>
      <c r="C10" s="330"/>
      <c r="D10" s="330"/>
      <c r="E10" s="696"/>
      <c r="F10" s="331"/>
      <c r="G10" s="331"/>
      <c r="H10" s="331"/>
      <c r="I10" s="1310"/>
      <c r="J10" s="1310"/>
      <c r="K10" s="1310"/>
      <c r="L10" s="1310"/>
      <c r="M10" s="1310"/>
      <c r="N10" s="1310"/>
      <c r="O10" s="1310"/>
    </row>
    <row r="11" spans="1:15" ht="18" x14ac:dyDescent="0.35">
      <c r="A11" s="1268" t="s">
        <v>1381</v>
      </c>
      <c r="B11" s="1268"/>
      <c r="C11" s="330"/>
      <c r="D11" s="330"/>
      <c r="E11" s="696"/>
      <c r="F11" s="331"/>
      <c r="G11" s="331"/>
      <c r="H11" s="331"/>
      <c r="I11" s="1310"/>
      <c r="J11" s="1310"/>
      <c r="K11" s="1310"/>
      <c r="L11" s="1310"/>
      <c r="M11" s="1310"/>
      <c r="N11" s="1310"/>
      <c r="O11" s="1310"/>
    </row>
    <row r="12" spans="1:15" ht="18" x14ac:dyDescent="0.35">
      <c r="A12" s="1268" t="s">
        <v>1128</v>
      </c>
      <c r="B12" s="1268"/>
      <c r="C12" s="330"/>
      <c r="D12" s="330"/>
      <c r="E12" s="696"/>
      <c r="F12" s="331"/>
      <c r="G12" s="331"/>
      <c r="H12" s="331"/>
      <c r="I12" s="694"/>
      <c r="J12" s="694"/>
      <c r="K12" s="667"/>
      <c r="L12" s="694"/>
      <c r="M12" s="694"/>
      <c r="N12" s="694"/>
      <c r="O12" s="694"/>
    </row>
    <row r="13" spans="1:15" ht="12.75" customHeight="1" x14ac:dyDescent="0.35">
      <c r="A13" s="331"/>
      <c r="B13" s="330"/>
      <c r="C13" s="330"/>
      <c r="D13" s="330"/>
      <c r="E13" s="696"/>
      <c r="F13" s="331"/>
      <c r="G13" s="331"/>
      <c r="H13" s="331"/>
      <c r="I13" s="352"/>
      <c r="J13" s="352"/>
      <c r="K13" s="666"/>
      <c r="L13" s="352"/>
      <c r="M13" s="352"/>
      <c r="N13" s="352"/>
      <c r="O13" s="353"/>
    </row>
    <row r="14" spans="1:15" ht="18" x14ac:dyDescent="0.35">
      <c r="A14" s="1315" t="s">
        <v>1335</v>
      </c>
      <c r="B14" s="1315"/>
      <c r="C14" s="1315"/>
      <c r="D14" s="1315"/>
      <c r="E14" s="1315"/>
      <c r="F14" s="1315"/>
      <c r="G14" s="1315"/>
      <c r="H14" s="1315"/>
      <c r="I14" s="1315"/>
      <c r="J14" s="1315"/>
      <c r="K14" s="1315"/>
      <c r="L14" s="1315"/>
      <c r="M14" s="1315"/>
      <c r="N14" s="1315"/>
      <c r="O14" s="1315"/>
    </row>
    <row r="15" spans="1:15" ht="18" x14ac:dyDescent="0.35">
      <c r="A15" s="331"/>
      <c r="B15" s="330"/>
      <c r="C15" s="330"/>
      <c r="D15" s="330"/>
      <c r="E15" s="696"/>
      <c r="F15" s="331"/>
      <c r="G15" s="331"/>
      <c r="H15" s="331"/>
      <c r="I15" s="352"/>
      <c r="J15" s="352"/>
      <c r="K15" s="666"/>
      <c r="L15" s="352"/>
      <c r="M15" s="352"/>
      <c r="N15" s="352"/>
      <c r="O15" s="705" t="s">
        <v>478</v>
      </c>
    </row>
    <row r="16" spans="1:15" hidden="1" x14ac:dyDescent="0.3"/>
    <row r="17" spans="1:16" ht="18.75" customHeight="1" x14ac:dyDescent="0.35">
      <c r="A17" s="1313" t="s">
        <v>407</v>
      </c>
      <c r="B17" s="1269" t="s">
        <v>479</v>
      </c>
      <c r="C17" s="1274" t="s">
        <v>281</v>
      </c>
      <c r="D17" s="333"/>
      <c r="E17" s="695"/>
      <c r="F17" s="334"/>
      <c r="G17" s="335"/>
      <c r="H17" s="335"/>
      <c r="I17" s="1277" t="s">
        <v>1085</v>
      </c>
      <c r="J17" s="1277" t="s">
        <v>510</v>
      </c>
      <c r="K17" s="1401" t="s">
        <v>1350</v>
      </c>
      <c r="L17" s="1271" t="s">
        <v>1079</v>
      </c>
      <c r="M17" s="1270" t="s">
        <v>1375</v>
      </c>
      <c r="N17" s="1270" t="s">
        <v>1080</v>
      </c>
      <c r="O17" s="1311" t="s">
        <v>480</v>
      </c>
      <c r="P17" s="1311"/>
    </row>
    <row r="18" spans="1:16" ht="18" x14ac:dyDescent="0.35">
      <c r="A18" s="1313"/>
      <c r="B18" s="1269"/>
      <c r="C18" s="1275"/>
      <c r="D18" s="333"/>
      <c r="E18" s="695"/>
      <c r="F18" s="334"/>
      <c r="G18" s="335"/>
      <c r="H18" s="335"/>
      <c r="I18" s="1278"/>
      <c r="J18" s="1278"/>
      <c r="K18" s="1401"/>
      <c r="L18" s="1272"/>
      <c r="M18" s="1270"/>
      <c r="N18" s="1270"/>
      <c r="O18" s="1270" t="s">
        <v>481</v>
      </c>
      <c r="P18" s="1312"/>
    </row>
    <row r="19" spans="1:16" ht="18" x14ac:dyDescent="0.35">
      <c r="A19" s="1313"/>
      <c r="B19" s="1269"/>
      <c r="C19" s="1275"/>
      <c r="D19" s="333"/>
      <c r="E19" s="695"/>
      <c r="F19" s="335"/>
      <c r="G19" s="335"/>
      <c r="H19" s="335"/>
      <c r="I19" s="1278"/>
      <c r="J19" s="1278"/>
      <c r="K19" s="1401"/>
      <c r="L19" s="1273"/>
      <c r="M19" s="1270"/>
      <c r="N19" s="1270"/>
      <c r="O19" s="1270"/>
      <c r="P19" s="1312"/>
    </row>
    <row r="20" spans="1:16" ht="18" x14ac:dyDescent="0.35">
      <c r="A20" s="1314"/>
      <c r="B20" s="1398"/>
      <c r="C20" s="1399"/>
      <c r="D20" s="332"/>
      <c r="E20" s="684"/>
      <c r="F20" s="344"/>
      <c r="G20" s="344"/>
      <c r="H20" s="344"/>
      <c r="I20" s="1400"/>
      <c r="J20" s="1400"/>
      <c r="K20" s="1402"/>
      <c r="L20" s="683"/>
      <c r="M20" s="1271"/>
      <c r="N20" s="683"/>
      <c r="O20" s="1271"/>
      <c r="P20" s="1312"/>
    </row>
    <row r="21" spans="1:16" s="336" customFormat="1" ht="42" customHeight="1" x14ac:dyDescent="0.35">
      <c r="A21" s="347">
        <v>1</v>
      </c>
      <c r="B21" s="343" t="s">
        <v>1081</v>
      </c>
      <c r="C21" s="346"/>
      <c r="D21" s="664"/>
      <c r="E21" s="338"/>
      <c r="F21" s="339"/>
      <c r="G21" s="339"/>
      <c r="H21" s="339"/>
      <c r="I21" s="345" t="s">
        <v>1337</v>
      </c>
      <c r="J21" s="498"/>
      <c r="K21" s="668">
        <f>K22+K24+K25+K26+K27+K28+K30+K31+K32+K29+K33+K23</f>
        <v>6674911</v>
      </c>
      <c r="L21" s="340"/>
      <c r="M21" s="665">
        <f>M22+M24+M25+M26+M27+M28+M30+M31+M32+M29+M33+M23</f>
        <v>3591524.87</v>
      </c>
      <c r="N21" s="341"/>
      <c r="O21" s="342" t="s">
        <v>151</v>
      </c>
      <c r="P21" s="663"/>
    </row>
    <row r="22" spans="1:16" s="366" customFormat="1" ht="31.5" customHeight="1" x14ac:dyDescent="0.3">
      <c r="A22" s="699"/>
      <c r="B22" s="1396" t="s">
        <v>627</v>
      </c>
      <c r="C22" s="1397" t="s">
        <v>1086</v>
      </c>
      <c r="D22" s="524"/>
      <c r="E22" s="524"/>
      <c r="F22" s="524"/>
      <c r="G22" s="524"/>
      <c r="H22" s="524"/>
      <c r="I22" s="1374" t="s">
        <v>1239</v>
      </c>
      <c r="J22" s="662" t="s">
        <v>586</v>
      </c>
      <c r="K22" s="525">
        <v>73140</v>
      </c>
      <c r="M22" s="526"/>
      <c r="N22" s="489"/>
      <c r="O22" s="1335" t="s">
        <v>151</v>
      </c>
      <c r="P22" s="662"/>
    </row>
    <row r="23" spans="1:16" s="366" customFormat="1" ht="15.6" hidden="1" x14ac:dyDescent="0.3">
      <c r="A23" s="699"/>
      <c r="B23" s="1294"/>
      <c r="C23" s="1333"/>
      <c r="D23" s="524"/>
      <c r="E23" s="524"/>
      <c r="F23" s="524"/>
      <c r="G23" s="524"/>
      <c r="H23" s="524"/>
      <c r="I23" s="1285"/>
      <c r="J23" s="363" t="s">
        <v>528</v>
      </c>
      <c r="K23" s="525"/>
      <c r="M23" s="526"/>
      <c r="N23" s="489"/>
      <c r="O23" s="1335"/>
      <c r="P23" s="363"/>
    </row>
    <row r="24" spans="1:16" s="366" customFormat="1" ht="36" customHeight="1" x14ac:dyDescent="0.3">
      <c r="A24" s="388"/>
      <c r="B24" s="527" t="s">
        <v>630</v>
      </c>
      <c r="C24" s="451" t="s">
        <v>1086</v>
      </c>
      <c r="I24" s="528" t="s">
        <v>1240</v>
      </c>
      <c r="J24" s="363" t="s">
        <v>586</v>
      </c>
      <c r="K24" s="364">
        <v>106000</v>
      </c>
      <c r="M24" s="361"/>
      <c r="N24" s="365"/>
      <c r="O24" s="1335"/>
      <c r="P24" s="363"/>
    </row>
    <row r="25" spans="1:16" s="366" customFormat="1" ht="46.5" customHeight="1" x14ac:dyDescent="0.3">
      <c r="A25" s="388"/>
      <c r="B25" s="527" t="s">
        <v>633</v>
      </c>
      <c r="C25" s="451" t="s">
        <v>1086</v>
      </c>
      <c r="I25" s="528" t="s">
        <v>1241</v>
      </c>
      <c r="J25" s="363" t="s">
        <v>586</v>
      </c>
      <c r="K25" s="364">
        <v>181000</v>
      </c>
      <c r="M25" s="361"/>
      <c r="N25" s="365"/>
      <c r="O25" s="1335"/>
      <c r="P25" s="363"/>
    </row>
    <row r="26" spans="1:16" s="366" customFormat="1" ht="33.75" customHeight="1" x14ac:dyDescent="0.3">
      <c r="A26" s="388"/>
      <c r="B26" s="527" t="s">
        <v>636</v>
      </c>
      <c r="C26" s="451" t="s">
        <v>1087</v>
      </c>
      <c r="I26" s="528" t="s">
        <v>1242</v>
      </c>
      <c r="J26" s="363" t="s">
        <v>586</v>
      </c>
      <c r="K26" s="364">
        <v>25000</v>
      </c>
      <c r="M26" s="361"/>
      <c r="N26" s="365"/>
      <c r="O26" s="1335"/>
      <c r="P26" s="363"/>
    </row>
    <row r="27" spans="1:16" s="366" customFormat="1" ht="35.25" customHeight="1" x14ac:dyDescent="0.3">
      <c r="A27" s="388"/>
      <c r="B27" s="527" t="s">
        <v>639</v>
      </c>
      <c r="C27" s="451" t="s">
        <v>1086</v>
      </c>
      <c r="I27" s="528" t="s">
        <v>1243</v>
      </c>
      <c r="J27" s="363" t="s">
        <v>586</v>
      </c>
      <c r="K27" s="364">
        <v>30000</v>
      </c>
      <c r="M27" s="361"/>
      <c r="N27" s="365"/>
      <c r="O27" s="1335"/>
      <c r="P27" s="363"/>
    </row>
    <row r="28" spans="1:16" s="366" customFormat="1" ht="30.75" customHeight="1" x14ac:dyDescent="0.3">
      <c r="A28" s="388"/>
      <c r="B28" s="527" t="s">
        <v>642</v>
      </c>
      <c r="C28" s="451" t="s">
        <v>1087</v>
      </c>
      <c r="I28" s="528" t="s">
        <v>1244</v>
      </c>
      <c r="J28" s="363" t="s">
        <v>586</v>
      </c>
      <c r="K28" s="364">
        <v>30000</v>
      </c>
      <c r="M28" s="361"/>
      <c r="N28" s="365"/>
      <c r="O28" s="1335"/>
      <c r="P28" s="363"/>
    </row>
    <row r="29" spans="1:16" s="366" customFormat="1" ht="30.75" customHeight="1" x14ac:dyDescent="0.3">
      <c r="A29" s="1328"/>
      <c r="B29" s="1293" t="s">
        <v>607</v>
      </c>
      <c r="C29" s="451" t="s">
        <v>1088</v>
      </c>
      <c r="I29" s="1284" t="s">
        <v>1232</v>
      </c>
      <c r="J29" s="363" t="s">
        <v>586</v>
      </c>
      <c r="K29" s="372">
        <v>800000</v>
      </c>
      <c r="M29" s="361"/>
      <c r="N29" s="365"/>
      <c r="O29" s="1287"/>
      <c r="P29" s="363"/>
    </row>
    <row r="30" spans="1:16" s="366" customFormat="1" ht="50.25" hidden="1" customHeight="1" x14ac:dyDescent="0.3">
      <c r="A30" s="1329"/>
      <c r="B30" s="1294"/>
      <c r="C30" s="451" t="s">
        <v>1159</v>
      </c>
      <c r="I30" s="1285"/>
      <c r="J30" s="363" t="s">
        <v>813</v>
      </c>
      <c r="K30" s="369"/>
      <c r="M30" s="361"/>
      <c r="N30" s="365"/>
      <c r="O30" s="529" t="s">
        <v>1179</v>
      </c>
      <c r="P30" s="363"/>
    </row>
    <row r="31" spans="1:16" s="366" customFormat="1" ht="50.25" customHeight="1" x14ac:dyDescent="0.3">
      <c r="A31" s="530"/>
      <c r="B31" s="527" t="s">
        <v>1264</v>
      </c>
      <c r="C31" s="451" t="s">
        <v>1103</v>
      </c>
      <c r="I31" s="531" t="s">
        <v>1263</v>
      </c>
      <c r="J31" s="389" t="s">
        <v>586</v>
      </c>
      <c r="K31" s="669">
        <f>500000+3500000+1429771</f>
        <v>5429771</v>
      </c>
      <c r="L31" s="532"/>
      <c r="M31" s="533">
        <v>3591524.87</v>
      </c>
      <c r="N31" s="365"/>
      <c r="O31" s="1286" t="s">
        <v>151</v>
      </c>
      <c r="P31" s="389"/>
    </row>
    <row r="32" spans="1:16" s="366" customFormat="1" ht="30.75" hidden="1" customHeight="1" x14ac:dyDescent="0.3">
      <c r="A32" s="530"/>
      <c r="B32" s="534" t="s">
        <v>1168</v>
      </c>
      <c r="C32" s="451" t="s">
        <v>1130</v>
      </c>
      <c r="I32" s="531" t="s">
        <v>1169</v>
      </c>
      <c r="J32" s="389" t="s">
        <v>586</v>
      </c>
      <c r="K32" s="535"/>
      <c r="M32" s="486"/>
      <c r="N32" s="365"/>
      <c r="O32" s="1287"/>
      <c r="P32" s="389"/>
    </row>
    <row r="33" spans="1:16" s="366" customFormat="1" ht="49.5" hidden="1" customHeight="1" x14ac:dyDescent="0.3">
      <c r="A33" s="530"/>
      <c r="B33" s="521" t="s">
        <v>1201</v>
      </c>
      <c r="C33" s="451"/>
      <c r="I33" s="531"/>
      <c r="J33" s="389"/>
      <c r="K33" s="536">
        <v>0</v>
      </c>
      <c r="M33" s="486"/>
      <c r="N33" s="365"/>
      <c r="O33" s="688"/>
      <c r="P33" s="389"/>
    </row>
    <row r="34" spans="1:16" s="366" customFormat="1" ht="44.25" customHeight="1" x14ac:dyDescent="0.35">
      <c r="A34" s="446">
        <v>2</v>
      </c>
      <c r="B34" s="538" t="s">
        <v>1082</v>
      </c>
      <c r="C34" s="539"/>
      <c r="D34" s="540"/>
      <c r="E34" s="540"/>
      <c r="F34" s="540"/>
      <c r="G34" s="540"/>
      <c r="H34" s="540"/>
      <c r="I34" s="541" t="s">
        <v>1336</v>
      </c>
      <c r="J34" s="542"/>
      <c r="K34" s="543">
        <f>K35</f>
        <v>53000</v>
      </c>
      <c r="L34" s="540"/>
      <c r="M34" s="543">
        <f>M35</f>
        <v>0</v>
      </c>
      <c r="N34" s="448"/>
      <c r="O34" s="432" t="s">
        <v>151</v>
      </c>
      <c r="P34" s="544"/>
    </row>
    <row r="35" spans="1:16" s="366" customFormat="1" ht="42.75" customHeight="1" x14ac:dyDescent="0.3">
      <c r="A35" s="388"/>
      <c r="B35" s="459" t="s">
        <v>765</v>
      </c>
      <c r="C35" s="545" t="s">
        <v>1089</v>
      </c>
      <c r="I35" s="452" t="s">
        <v>1288</v>
      </c>
      <c r="J35" s="363" t="s">
        <v>586</v>
      </c>
      <c r="K35" s="364">
        <v>53000</v>
      </c>
      <c r="M35" s="361"/>
      <c r="N35" s="365"/>
      <c r="O35" s="450"/>
      <c r="P35" s="546"/>
    </row>
    <row r="36" spans="1:16" s="366" customFormat="1" ht="52.8" x14ac:dyDescent="0.35">
      <c r="A36" s="446">
        <v>3</v>
      </c>
      <c r="B36" s="447" t="s">
        <v>1092</v>
      </c>
      <c r="C36" s="448"/>
      <c r="D36" s="448"/>
      <c r="E36" s="448"/>
      <c r="F36" s="448"/>
      <c r="G36" s="448"/>
      <c r="H36" s="547"/>
      <c r="I36" s="429" t="s">
        <v>1338</v>
      </c>
      <c r="J36" s="430"/>
      <c r="K36" s="548">
        <f>K37+K38+K39+K40+K43+K44+K45+K41+K46+K42</f>
        <v>13438936.620000001</v>
      </c>
      <c r="L36" s="448"/>
      <c r="M36" s="548">
        <f>M37+M38+M39+M40+M43+M44+M45+M41+M46+M42</f>
        <v>2912394.5</v>
      </c>
      <c r="N36" s="448"/>
      <c r="O36" s="432" t="s">
        <v>1096</v>
      </c>
      <c r="P36" s="365"/>
    </row>
    <row r="37" spans="1:16" s="474" customFormat="1" ht="31.2" x14ac:dyDescent="0.35">
      <c r="A37" s="467"/>
      <c r="B37" s="549" t="s">
        <v>1231</v>
      </c>
      <c r="C37" s="550" t="s">
        <v>1093</v>
      </c>
      <c r="D37" s="476"/>
      <c r="E37" s="476"/>
      <c r="F37" s="476"/>
      <c r="G37" s="476"/>
      <c r="H37" s="551"/>
      <c r="I37" s="552" t="s">
        <v>1225</v>
      </c>
      <c r="J37" s="371" t="s">
        <v>586</v>
      </c>
      <c r="K37" s="553">
        <v>106000</v>
      </c>
      <c r="L37" s="470"/>
      <c r="M37" s="554"/>
      <c r="N37" s="470"/>
      <c r="O37" s="1280" t="s">
        <v>151</v>
      </c>
      <c r="P37" s="476"/>
    </row>
    <row r="38" spans="1:16" s="366" customFormat="1" ht="31.2" x14ac:dyDescent="0.35">
      <c r="A38" s="446"/>
      <c r="B38" s="459" t="s">
        <v>1281</v>
      </c>
      <c r="C38" s="451" t="s">
        <v>1094</v>
      </c>
      <c r="D38" s="365"/>
      <c r="E38" s="365"/>
      <c r="F38" s="365"/>
      <c r="G38" s="365"/>
      <c r="H38" s="365"/>
      <c r="I38" s="452" t="s">
        <v>1280</v>
      </c>
      <c r="J38" s="363" t="s">
        <v>586</v>
      </c>
      <c r="K38" s="364">
        <v>53000</v>
      </c>
      <c r="L38" s="448"/>
      <c r="M38" s="533"/>
      <c r="N38" s="448"/>
      <c r="O38" s="1282"/>
      <c r="P38" s="365"/>
    </row>
    <row r="39" spans="1:16" s="366" customFormat="1" ht="31.2" x14ac:dyDescent="0.35">
      <c r="A39" s="446"/>
      <c r="B39" s="459" t="s">
        <v>1283</v>
      </c>
      <c r="C39" s="451" t="s">
        <v>1094</v>
      </c>
      <c r="D39" s="365"/>
      <c r="E39" s="365"/>
      <c r="F39" s="365"/>
      <c r="G39" s="365"/>
      <c r="H39" s="365"/>
      <c r="I39" s="452" t="s">
        <v>1282</v>
      </c>
      <c r="J39" s="363" t="s">
        <v>586</v>
      </c>
      <c r="K39" s="364">
        <v>106000</v>
      </c>
      <c r="L39" s="448"/>
      <c r="M39" s="533"/>
      <c r="N39" s="448"/>
      <c r="O39" s="1282"/>
      <c r="P39" s="365"/>
    </row>
    <row r="40" spans="1:16" s="366" customFormat="1" ht="18" x14ac:dyDescent="0.35">
      <c r="A40" s="446"/>
      <c r="B40" s="459" t="s">
        <v>751</v>
      </c>
      <c r="C40" s="451" t="s">
        <v>1094</v>
      </c>
      <c r="D40" s="365"/>
      <c r="E40" s="365"/>
      <c r="F40" s="365"/>
      <c r="G40" s="365"/>
      <c r="H40" s="365"/>
      <c r="I40" s="452" t="s">
        <v>1286</v>
      </c>
      <c r="J40" s="363" t="s">
        <v>586</v>
      </c>
      <c r="K40" s="364">
        <v>212000</v>
      </c>
      <c r="L40" s="448"/>
      <c r="M40" s="533"/>
      <c r="N40" s="448"/>
      <c r="O40" s="1283"/>
      <c r="P40" s="365"/>
    </row>
    <row r="41" spans="1:16" s="366" customFormat="1" ht="62.4" hidden="1" x14ac:dyDescent="0.35">
      <c r="A41" s="446"/>
      <c r="B41" s="478" t="s">
        <v>1181</v>
      </c>
      <c r="C41" s="451" t="s">
        <v>1180</v>
      </c>
      <c r="D41" s="365"/>
      <c r="E41" s="365"/>
      <c r="F41" s="365"/>
      <c r="G41" s="365"/>
      <c r="H41" s="555"/>
      <c r="I41" s="452" t="s">
        <v>752</v>
      </c>
      <c r="J41" s="363" t="s">
        <v>813</v>
      </c>
      <c r="K41" s="364"/>
      <c r="L41" s="448"/>
      <c r="M41" s="533"/>
      <c r="N41" s="448"/>
      <c r="O41" s="529" t="s">
        <v>1179</v>
      </c>
      <c r="P41" s="365"/>
    </row>
    <row r="42" spans="1:16" s="366" customFormat="1" ht="31.2" x14ac:dyDescent="0.35">
      <c r="A42" s="446"/>
      <c r="B42" s="478" t="s">
        <v>748</v>
      </c>
      <c r="C42" s="451" t="s">
        <v>1284</v>
      </c>
      <c r="D42" s="365"/>
      <c r="E42" s="365"/>
      <c r="F42" s="365"/>
      <c r="G42" s="365"/>
      <c r="H42" s="555"/>
      <c r="I42" s="452" t="s">
        <v>1285</v>
      </c>
      <c r="J42" s="363" t="s">
        <v>586</v>
      </c>
      <c r="K42" s="364">
        <v>100000</v>
      </c>
      <c r="L42" s="448"/>
      <c r="M42" s="533"/>
      <c r="N42" s="448"/>
      <c r="O42" s="556" t="s">
        <v>151</v>
      </c>
      <c r="P42" s="365"/>
    </row>
    <row r="43" spans="1:16" s="366" customFormat="1" ht="31.2" x14ac:dyDescent="0.35">
      <c r="A43" s="446"/>
      <c r="B43" s="459" t="s">
        <v>918</v>
      </c>
      <c r="C43" s="451" t="s">
        <v>1095</v>
      </c>
      <c r="D43" s="448"/>
      <c r="E43" s="448"/>
      <c r="F43" s="448"/>
      <c r="G43" s="448"/>
      <c r="H43" s="547"/>
      <c r="I43" s="452" t="s">
        <v>1332</v>
      </c>
      <c r="J43" s="363" t="s">
        <v>613</v>
      </c>
      <c r="K43" s="364">
        <v>4819591.7</v>
      </c>
      <c r="L43" s="448"/>
      <c r="M43" s="487">
        <f>315426.44+431192.12+330694.17</f>
        <v>1077312.73</v>
      </c>
      <c r="N43" s="448"/>
      <c r="O43" s="1316" t="s">
        <v>1097</v>
      </c>
      <c r="P43" s="365"/>
    </row>
    <row r="44" spans="1:16" s="366" customFormat="1" ht="18" x14ac:dyDescent="0.35">
      <c r="A44" s="446"/>
      <c r="B44" s="459" t="s">
        <v>921</v>
      </c>
      <c r="C44" s="451" t="s">
        <v>1095</v>
      </c>
      <c r="D44" s="448"/>
      <c r="E44" s="448"/>
      <c r="F44" s="448"/>
      <c r="G44" s="448"/>
      <c r="H44" s="547"/>
      <c r="I44" s="452" t="s">
        <v>1333</v>
      </c>
      <c r="J44" s="363" t="s">
        <v>613</v>
      </c>
      <c r="K44" s="364">
        <f>2775762.7+47577.97</f>
        <v>2823340.6700000004</v>
      </c>
      <c r="L44" s="448"/>
      <c r="M44" s="487">
        <f>141775.76+314481.03+172468.79</f>
        <v>628725.58000000007</v>
      </c>
      <c r="N44" s="448"/>
      <c r="O44" s="1317"/>
      <c r="P44" s="365"/>
    </row>
    <row r="45" spans="1:16" s="366" customFormat="1" ht="18" x14ac:dyDescent="0.35">
      <c r="A45" s="446"/>
      <c r="B45" s="459" t="s">
        <v>924</v>
      </c>
      <c r="C45" s="451" t="s">
        <v>1095</v>
      </c>
      <c r="D45" s="365"/>
      <c r="E45" s="365"/>
      <c r="F45" s="365"/>
      <c r="G45" s="365"/>
      <c r="H45" s="365"/>
      <c r="I45" s="452" t="s">
        <v>1334</v>
      </c>
      <c r="J45" s="363" t="s">
        <v>613</v>
      </c>
      <c r="K45" s="372">
        <f>4419004.25+800000</f>
        <v>5219004.25</v>
      </c>
      <c r="L45" s="448"/>
      <c r="M45" s="487">
        <f>240001.74+477497.23+367908.22+120949</f>
        <v>1206356.19</v>
      </c>
      <c r="N45" s="448"/>
      <c r="O45" s="1317"/>
      <c r="P45" s="365"/>
    </row>
    <row r="46" spans="1:16" s="366" customFormat="1" ht="53.25" hidden="1" customHeight="1" x14ac:dyDescent="0.35">
      <c r="A46" s="446"/>
      <c r="B46" s="521" t="s">
        <v>926</v>
      </c>
      <c r="C46" s="451" t="s">
        <v>1095</v>
      </c>
      <c r="D46" s="365"/>
      <c r="E46" s="365"/>
      <c r="F46" s="365"/>
      <c r="G46" s="365"/>
      <c r="H46" s="365"/>
      <c r="I46" s="484" t="s">
        <v>1194</v>
      </c>
      <c r="J46" s="389" t="s">
        <v>613</v>
      </c>
      <c r="K46" s="485"/>
      <c r="L46" s="448"/>
      <c r="M46" s="533"/>
      <c r="N46" s="448"/>
      <c r="O46" s="1290"/>
      <c r="P46" s="365"/>
    </row>
    <row r="47" spans="1:16" s="366" customFormat="1" ht="52.8" x14ac:dyDescent="0.35">
      <c r="A47" s="446">
        <v>4</v>
      </c>
      <c r="B47" s="447" t="s">
        <v>1098</v>
      </c>
      <c r="C47" s="557"/>
      <c r="D47" s="448"/>
      <c r="E47" s="448"/>
      <c r="F47" s="448"/>
      <c r="G47" s="448"/>
      <c r="H47" s="448"/>
      <c r="I47" s="429" t="s">
        <v>1339</v>
      </c>
      <c r="J47" s="430"/>
      <c r="K47" s="449">
        <f>K49+K50+K51+K55+K53+K56+K54+K57+K48+K52</f>
        <v>2059831.3199999998</v>
      </c>
      <c r="L47" s="448"/>
      <c r="M47" s="449">
        <f>M49+M50+M51+M55+M53+M56+M54+M57+M48+M52</f>
        <v>78000</v>
      </c>
      <c r="N47" s="448"/>
      <c r="O47" s="432" t="s">
        <v>1160</v>
      </c>
      <c r="P47" s="365"/>
    </row>
    <row r="48" spans="1:16" s="366" customFormat="1" ht="31.8" x14ac:dyDescent="0.35">
      <c r="A48" s="446"/>
      <c r="B48" s="558" t="s">
        <v>1249</v>
      </c>
      <c r="C48" s="451" t="s">
        <v>1099</v>
      </c>
      <c r="D48" s="365"/>
      <c r="E48" s="365"/>
      <c r="F48" s="365"/>
      <c r="G48" s="365"/>
      <c r="H48" s="365"/>
      <c r="I48" s="452" t="s">
        <v>1250</v>
      </c>
      <c r="J48" s="389" t="s">
        <v>586</v>
      </c>
      <c r="K48" s="661">
        <f>100000-78000</f>
        <v>22000</v>
      </c>
      <c r="L48" s="365"/>
      <c r="M48" s="361"/>
      <c r="N48" s="448"/>
      <c r="O48" s="520"/>
      <c r="P48" s="365"/>
    </row>
    <row r="49" spans="1:16" s="366" customFormat="1" ht="15.6" x14ac:dyDescent="0.3">
      <c r="A49" s="388"/>
      <c r="B49" s="459" t="s">
        <v>651</v>
      </c>
      <c r="C49" s="451" t="s">
        <v>1099</v>
      </c>
      <c r="D49" s="365"/>
      <c r="E49" s="365"/>
      <c r="F49" s="365"/>
      <c r="G49" s="365"/>
      <c r="H49" s="365"/>
      <c r="I49" s="452" t="s">
        <v>1248</v>
      </c>
      <c r="J49" s="389" t="s">
        <v>586</v>
      </c>
      <c r="K49" s="486">
        <v>564980</v>
      </c>
      <c r="L49" s="365"/>
      <c r="M49" s="361"/>
      <c r="N49" s="365"/>
      <c r="O49" s="1318"/>
      <c r="P49" s="365"/>
    </row>
    <row r="50" spans="1:16" s="366" customFormat="1" ht="31.2" hidden="1" x14ac:dyDescent="0.3">
      <c r="A50" s="388"/>
      <c r="B50" s="423" t="s">
        <v>1027</v>
      </c>
      <c r="C50" s="451" t="s">
        <v>1101</v>
      </c>
      <c r="D50" s="365"/>
      <c r="E50" s="365"/>
      <c r="F50" s="365"/>
      <c r="G50" s="365"/>
      <c r="H50" s="365"/>
      <c r="I50" s="452" t="s">
        <v>1100</v>
      </c>
      <c r="J50" s="363" t="s">
        <v>586</v>
      </c>
      <c r="K50" s="364">
        <f>100000-50000-50000</f>
        <v>0</v>
      </c>
      <c r="L50" s="365"/>
      <c r="M50" s="361"/>
      <c r="N50" s="365"/>
      <c r="O50" s="1319"/>
      <c r="P50" s="365"/>
    </row>
    <row r="51" spans="1:16" s="366" customFormat="1" ht="42.75" customHeight="1" x14ac:dyDescent="0.3">
      <c r="A51" s="388"/>
      <c r="B51" s="1293" t="s">
        <v>1376</v>
      </c>
      <c r="C51" s="451" t="s">
        <v>1101</v>
      </c>
      <c r="D51" s="365"/>
      <c r="E51" s="365"/>
      <c r="F51" s="365"/>
      <c r="G51" s="365"/>
      <c r="H51" s="365"/>
      <c r="I51" s="1295" t="s">
        <v>1266</v>
      </c>
      <c r="J51" s="363" t="s">
        <v>586</v>
      </c>
      <c r="K51" s="707">
        <f>800000-800000</f>
        <v>0</v>
      </c>
      <c r="L51" s="365"/>
      <c r="M51" s="361"/>
      <c r="N51" s="365"/>
      <c r="O51" s="1319"/>
      <c r="P51" s="365"/>
    </row>
    <row r="52" spans="1:16" s="366" customFormat="1" ht="42.75" customHeight="1" x14ac:dyDescent="0.3">
      <c r="A52" s="388"/>
      <c r="B52" s="1294"/>
      <c r="C52" s="451" t="s">
        <v>1377</v>
      </c>
      <c r="D52" s="365"/>
      <c r="E52" s="365"/>
      <c r="F52" s="365"/>
      <c r="G52" s="365"/>
      <c r="H52" s="365"/>
      <c r="I52" s="1296"/>
      <c r="J52" s="363" t="s">
        <v>813</v>
      </c>
      <c r="K52" s="707">
        <v>800000</v>
      </c>
      <c r="L52" s="365"/>
      <c r="M52" s="361"/>
      <c r="N52" s="365"/>
      <c r="O52" s="1320"/>
      <c r="P52" s="367"/>
    </row>
    <row r="53" spans="1:16" s="366" customFormat="1" ht="15.6" x14ac:dyDescent="0.3">
      <c r="A53" s="388"/>
      <c r="B53" s="459" t="s">
        <v>706</v>
      </c>
      <c r="C53" s="451" t="s">
        <v>1101</v>
      </c>
      <c r="D53" s="365"/>
      <c r="E53" s="365"/>
      <c r="F53" s="365"/>
      <c r="G53" s="365"/>
      <c r="H53" s="365"/>
      <c r="I53" s="452" t="s">
        <v>1267</v>
      </c>
      <c r="J53" s="363" t="s">
        <v>586</v>
      </c>
      <c r="K53" s="364">
        <v>380449.21</v>
      </c>
      <c r="L53" s="365"/>
      <c r="M53" s="361"/>
      <c r="N53" s="365"/>
      <c r="O53" s="1319"/>
      <c r="P53" s="367"/>
    </row>
    <row r="54" spans="1:16" s="366" customFormat="1" ht="15.6" x14ac:dyDescent="0.3">
      <c r="A54" s="388"/>
      <c r="B54" s="423" t="s">
        <v>1362</v>
      </c>
      <c r="C54" s="451" t="s">
        <v>1101</v>
      </c>
      <c r="D54" s="365"/>
      <c r="E54" s="365"/>
      <c r="F54" s="365"/>
      <c r="G54" s="365"/>
      <c r="H54" s="365"/>
      <c r="I54" s="452" t="s">
        <v>1363</v>
      </c>
      <c r="J54" s="363" t="s">
        <v>586</v>
      </c>
      <c r="K54" s="457">
        <v>78000</v>
      </c>
      <c r="L54" s="365"/>
      <c r="M54" s="361">
        <v>78000</v>
      </c>
      <c r="N54" s="365"/>
      <c r="O54" s="1320"/>
      <c r="P54" s="367"/>
    </row>
    <row r="55" spans="1:16" s="366" customFormat="1" ht="31.2" x14ac:dyDescent="0.3">
      <c r="A55" s="388"/>
      <c r="B55" s="459" t="s">
        <v>1158</v>
      </c>
      <c r="C55" s="451" t="s">
        <v>1159</v>
      </c>
      <c r="D55" s="365"/>
      <c r="E55" s="365"/>
      <c r="F55" s="365"/>
      <c r="G55" s="365"/>
      <c r="H55" s="365"/>
      <c r="I55" s="480" t="s">
        <v>707</v>
      </c>
      <c r="J55" s="363" t="s">
        <v>813</v>
      </c>
      <c r="K55" s="372"/>
      <c r="L55" s="365"/>
      <c r="M55" s="361"/>
      <c r="N55" s="365"/>
      <c r="O55" s="1321"/>
    </row>
    <row r="56" spans="1:16" s="366" customFormat="1" ht="31.2" x14ac:dyDescent="0.3">
      <c r="A56" s="388"/>
      <c r="B56" s="459" t="s">
        <v>1237</v>
      </c>
      <c r="C56" s="451" t="s">
        <v>1170</v>
      </c>
      <c r="D56" s="365"/>
      <c r="E56" s="365"/>
      <c r="F56" s="365"/>
      <c r="G56" s="365"/>
      <c r="H56" s="365"/>
      <c r="I56" s="389" t="s">
        <v>1238</v>
      </c>
      <c r="J56" s="389" t="s">
        <v>586</v>
      </c>
      <c r="K56" s="559">
        <v>214402.11</v>
      </c>
      <c r="L56" s="365"/>
      <c r="M56" s="361"/>
      <c r="N56" s="365"/>
      <c r="O56" s="697"/>
    </row>
    <row r="57" spans="1:16" s="366" customFormat="1" ht="46.8" hidden="1" x14ac:dyDescent="0.3">
      <c r="A57" s="388"/>
      <c r="B57" s="521" t="s">
        <v>1195</v>
      </c>
      <c r="C57" s="451" t="s">
        <v>1101</v>
      </c>
      <c r="D57" s="365"/>
      <c r="E57" s="365"/>
      <c r="F57" s="365"/>
      <c r="G57" s="365"/>
      <c r="H57" s="365"/>
      <c r="I57" s="484" t="s">
        <v>1196</v>
      </c>
      <c r="J57" s="389" t="s">
        <v>586</v>
      </c>
      <c r="K57" s="559"/>
      <c r="L57" s="365"/>
      <c r="M57" s="486"/>
      <c r="N57" s="365"/>
      <c r="O57" s="697"/>
    </row>
    <row r="58" spans="1:16" s="366" customFormat="1" ht="54" x14ac:dyDescent="0.35">
      <c r="A58" s="446">
        <v>5</v>
      </c>
      <c r="B58" s="447" t="s">
        <v>1102</v>
      </c>
      <c r="C58" s="448"/>
      <c r="D58" s="448"/>
      <c r="E58" s="448"/>
      <c r="F58" s="448"/>
      <c r="G58" s="448"/>
      <c r="H58" s="448"/>
      <c r="I58" s="429" t="s">
        <v>1340</v>
      </c>
      <c r="J58" s="430"/>
      <c r="K58" s="449">
        <f>K62+K63+K64+K60+K59+K61</f>
        <v>8885000</v>
      </c>
      <c r="L58" s="448"/>
      <c r="M58" s="449">
        <f>M62+M63+M64+M60+M59+M61</f>
        <v>85000</v>
      </c>
      <c r="N58" s="448"/>
      <c r="O58" s="432" t="s">
        <v>1183</v>
      </c>
    </row>
    <row r="59" spans="1:16" s="366" customFormat="1" ht="26.25" customHeight="1" x14ac:dyDescent="0.35">
      <c r="A59" s="446"/>
      <c r="B59" s="660" t="s">
        <v>1197</v>
      </c>
      <c r="C59" s="451" t="s">
        <v>1103</v>
      </c>
      <c r="D59" s="448"/>
      <c r="E59" s="448"/>
      <c r="F59" s="448"/>
      <c r="G59" s="448"/>
      <c r="H59" s="448"/>
      <c r="I59" s="452" t="s">
        <v>1364</v>
      </c>
      <c r="J59" s="389" t="s">
        <v>586</v>
      </c>
      <c r="K59" s="457">
        <v>5385000</v>
      </c>
      <c r="L59" s="495"/>
      <c r="M59" s="496">
        <v>85000</v>
      </c>
      <c r="N59" s="448"/>
      <c r="O59" s="454" t="s">
        <v>151</v>
      </c>
    </row>
    <row r="60" spans="1:16" s="366" customFormat="1" ht="62.4" hidden="1" x14ac:dyDescent="0.35">
      <c r="A60" s="446"/>
      <c r="B60" s="455" t="s">
        <v>1184</v>
      </c>
      <c r="C60" s="451" t="s">
        <v>1159</v>
      </c>
      <c r="D60" s="448"/>
      <c r="E60" s="448"/>
      <c r="F60" s="448"/>
      <c r="G60" s="448"/>
      <c r="H60" s="448"/>
      <c r="I60" s="452" t="s">
        <v>1182</v>
      </c>
      <c r="J60" s="430">
        <v>500</v>
      </c>
      <c r="K60" s="364"/>
      <c r="L60" s="448"/>
      <c r="M60" s="364"/>
      <c r="N60" s="448"/>
      <c r="O60" s="456" t="s">
        <v>1179</v>
      </c>
    </row>
    <row r="61" spans="1:16" s="366" customFormat="1" ht="46.8" hidden="1" x14ac:dyDescent="0.35">
      <c r="A61" s="446"/>
      <c r="B61" s="455" t="s">
        <v>1203</v>
      </c>
      <c r="C61" s="451" t="s">
        <v>1159</v>
      </c>
      <c r="D61" s="448"/>
      <c r="E61" s="448"/>
      <c r="F61" s="448"/>
      <c r="G61" s="448"/>
      <c r="H61" s="448"/>
      <c r="I61" s="452" t="s">
        <v>1204</v>
      </c>
      <c r="J61" s="430">
        <v>500</v>
      </c>
      <c r="K61" s="457"/>
      <c r="L61" s="448"/>
      <c r="M61" s="458"/>
      <c r="N61" s="448"/>
      <c r="O61" s="685"/>
    </row>
    <row r="62" spans="1:16" s="366" customFormat="1" ht="31.2" hidden="1" x14ac:dyDescent="0.3">
      <c r="A62" s="388"/>
      <c r="B62" s="459" t="s">
        <v>822</v>
      </c>
      <c r="C62" s="451" t="s">
        <v>1105</v>
      </c>
      <c r="D62" s="365"/>
      <c r="E62" s="365"/>
      <c r="F62" s="365"/>
      <c r="G62" s="365"/>
      <c r="H62" s="365"/>
      <c r="I62" s="452" t="s">
        <v>823</v>
      </c>
      <c r="J62" s="363" t="s">
        <v>613</v>
      </c>
      <c r="K62" s="364"/>
      <c r="L62" s="365"/>
      <c r="M62" s="361"/>
      <c r="N62" s="365"/>
      <c r="O62" s="1322" t="s">
        <v>968</v>
      </c>
    </row>
    <row r="63" spans="1:16" s="366" customFormat="1" ht="15.6" hidden="1" x14ac:dyDescent="0.3">
      <c r="A63" s="460"/>
      <c r="B63" s="459" t="s">
        <v>825</v>
      </c>
      <c r="C63" s="451" t="s">
        <v>1105</v>
      </c>
      <c r="D63" s="461"/>
      <c r="E63" s="461"/>
      <c r="F63" s="461"/>
      <c r="G63" s="461"/>
      <c r="H63" s="461"/>
      <c r="I63" s="452" t="s">
        <v>826</v>
      </c>
      <c r="J63" s="363" t="s">
        <v>613</v>
      </c>
      <c r="K63" s="457"/>
      <c r="L63" s="461"/>
      <c r="M63" s="445"/>
      <c r="N63" s="461"/>
      <c r="O63" s="1323"/>
      <c r="P63" s="462"/>
    </row>
    <row r="64" spans="1:16" s="366" customFormat="1" ht="15.6" x14ac:dyDescent="0.3">
      <c r="A64" s="388"/>
      <c r="B64" s="459" t="s">
        <v>828</v>
      </c>
      <c r="C64" s="451" t="s">
        <v>1105</v>
      </c>
      <c r="D64" s="365"/>
      <c r="E64" s="365"/>
      <c r="F64" s="365"/>
      <c r="G64" s="365"/>
      <c r="H64" s="365"/>
      <c r="I64" s="452" t="s">
        <v>1306</v>
      </c>
      <c r="J64" s="363" t="s">
        <v>613</v>
      </c>
      <c r="K64" s="364">
        <v>3500000</v>
      </c>
      <c r="L64" s="365"/>
      <c r="M64" s="361"/>
      <c r="N64" s="365"/>
      <c r="O64" s="1324"/>
    </row>
    <row r="65" spans="1:15" s="366" customFormat="1" ht="54" x14ac:dyDescent="0.35">
      <c r="A65" s="446">
        <v>6</v>
      </c>
      <c r="B65" s="447" t="s">
        <v>1106</v>
      </c>
      <c r="C65" s="557"/>
      <c r="D65" s="448"/>
      <c r="E65" s="448"/>
      <c r="F65" s="448"/>
      <c r="G65" s="448"/>
      <c r="H65" s="448"/>
      <c r="I65" s="429" t="s">
        <v>1341</v>
      </c>
      <c r="J65" s="430"/>
      <c r="K65" s="548">
        <f>K66</f>
        <v>50000</v>
      </c>
      <c r="L65" s="448"/>
      <c r="M65" s="548">
        <f>M66</f>
        <v>0</v>
      </c>
      <c r="N65" s="448"/>
      <c r="O65" s="432" t="s">
        <v>151</v>
      </c>
    </row>
    <row r="66" spans="1:15" s="366" customFormat="1" ht="31.2" x14ac:dyDescent="0.3">
      <c r="A66" s="561"/>
      <c r="B66" s="459" t="s">
        <v>728</v>
      </c>
      <c r="C66" s="387" t="s">
        <v>1107</v>
      </c>
      <c r="D66" s="562"/>
      <c r="E66" s="562"/>
      <c r="F66" s="562"/>
      <c r="G66" s="562"/>
      <c r="H66" s="562"/>
      <c r="I66" s="452" t="s">
        <v>1273</v>
      </c>
      <c r="J66" s="363" t="s">
        <v>586</v>
      </c>
      <c r="K66" s="364">
        <v>50000</v>
      </c>
      <c r="L66" s="365"/>
      <c r="M66" s="361"/>
      <c r="N66" s="365"/>
      <c r="O66" s="563"/>
    </row>
    <row r="67" spans="1:15" s="474" customFormat="1" ht="36" x14ac:dyDescent="0.35">
      <c r="A67" s="467">
        <v>7</v>
      </c>
      <c r="B67" s="468" t="s">
        <v>1108</v>
      </c>
      <c r="C67" s="469"/>
      <c r="D67" s="470"/>
      <c r="E67" s="470"/>
      <c r="F67" s="470"/>
      <c r="G67" s="470"/>
      <c r="H67" s="470"/>
      <c r="I67" s="471" t="s">
        <v>1342</v>
      </c>
      <c r="J67" s="472"/>
      <c r="K67" s="473">
        <f>K68+K69+K70</f>
        <v>27340024.059999999</v>
      </c>
      <c r="L67" s="470"/>
      <c r="M67" s="473">
        <f>M68+M69+M70</f>
        <v>1065343.3</v>
      </c>
      <c r="N67" s="470"/>
      <c r="O67" s="432" t="s">
        <v>151</v>
      </c>
    </row>
    <row r="68" spans="1:15" s="474" customFormat="1" ht="46.8" x14ac:dyDescent="0.3">
      <c r="A68" s="475"/>
      <c r="B68" s="423" t="s">
        <v>697</v>
      </c>
      <c r="C68" s="395" t="s">
        <v>1109</v>
      </c>
      <c r="D68" s="476"/>
      <c r="E68" s="476"/>
      <c r="F68" s="476"/>
      <c r="G68" s="476"/>
      <c r="H68" s="476"/>
      <c r="I68" s="477" t="s">
        <v>1262</v>
      </c>
      <c r="J68" s="371" t="s">
        <v>700</v>
      </c>
      <c r="K68" s="457">
        <v>2500000</v>
      </c>
      <c r="L68" s="463"/>
      <c r="M68" s="445">
        <v>1065343.3</v>
      </c>
      <c r="N68" s="476"/>
      <c r="O68" s="1325"/>
    </row>
    <row r="69" spans="1:15" s="366" customFormat="1" ht="31.2" x14ac:dyDescent="0.3">
      <c r="A69" s="388"/>
      <c r="B69" s="459" t="s">
        <v>768</v>
      </c>
      <c r="C69" s="387" t="s">
        <v>1111</v>
      </c>
      <c r="D69" s="365"/>
      <c r="E69" s="365"/>
      <c r="F69" s="365"/>
      <c r="G69" s="365"/>
      <c r="H69" s="365"/>
      <c r="I69" s="452" t="s">
        <v>1289</v>
      </c>
      <c r="J69" s="363" t="s">
        <v>764</v>
      </c>
      <c r="K69" s="364">
        <v>1000000</v>
      </c>
      <c r="L69" s="365"/>
      <c r="M69" s="361"/>
      <c r="N69" s="365"/>
      <c r="O69" s="1326"/>
    </row>
    <row r="70" spans="1:15" s="366" customFormat="1" ht="46.8" x14ac:dyDescent="0.3">
      <c r="A70" s="388"/>
      <c r="B70" s="423" t="s">
        <v>1360</v>
      </c>
      <c r="C70" s="387" t="s">
        <v>1109</v>
      </c>
      <c r="D70" s="365"/>
      <c r="E70" s="365"/>
      <c r="F70" s="365"/>
      <c r="G70" s="365"/>
      <c r="H70" s="365"/>
      <c r="I70" s="452" t="s">
        <v>1359</v>
      </c>
      <c r="J70" s="363" t="s">
        <v>700</v>
      </c>
      <c r="K70" s="464">
        <f>18304436.83+5535587.23</f>
        <v>23840024.059999999</v>
      </c>
      <c r="L70" s="365"/>
      <c r="M70" s="465"/>
      <c r="N70" s="365"/>
      <c r="O70" s="698"/>
    </row>
    <row r="71" spans="1:15" s="366" customFormat="1" ht="35.4" x14ac:dyDescent="0.35">
      <c r="A71" s="425">
        <v>8</v>
      </c>
      <c r="B71" s="437" t="s">
        <v>561</v>
      </c>
      <c r="C71" s="427"/>
      <c r="D71" s="428"/>
      <c r="E71" s="428"/>
      <c r="F71" s="428"/>
      <c r="G71" s="428"/>
      <c r="H71" s="428"/>
      <c r="I71" s="429" t="s">
        <v>1343</v>
      </c>
      <c r="J71" s="430"/>
      <c r="K71" s="438">
        <f>K72+K73+K74+K75+K76</f>
        <v>233880</v>
      </c>
      <c r="L71" s="428"/>
      <c r="M71" s="438">
        <f>M72+M73+M74+M75+M76</f>
        <v>0</v>
      </c>
      <c r="N71" s="428"/>
      <c r="O71" s="432" t="s">
        <v>151</v>
      </c>
    </row>
    <row r="72" spans="1:15" s="366" customFormat="1" ht="31.2" x14ac:dyDescent="0.3">
      <c r="A72" s="388"/>
      <c r="B72" s="459" t="s">
        <v>684</v>
      </c>
      <c r="C72" s="387" t="s">
        <v>1114</v>
      </c>
      <c r="D72" s="365"/>
      <c r="E72" s="365"/>
      <c r="F72" s="365"/>
      <c r="G72" s="365"/>
      <c r="H72" s="365"/>
      <c r="I72" s="452" t="s">
        <v>1259</v>
      </c>
      <c r="J72" s="363" t="s">
        <v>528</v>
      </c>
      <c r="K72" s="364">
        <v>106000</v>
      </c>
      <c r="L72" s="365"/>
      <c r="M72" s="361"/>
      <c r="N72" s="365"/>
      <c r="O72" s="1325"/>
    </row>
    <row r="73" spans="1:15" s="366" customFormat="1" ht="62.4" x14ac:dyDescent="0.3">
      <c r="A73" s="388"/>
      <c r="B73" s="459" t="s">
        <v>687</v>
      </c>
      <c r="C73" s="387" t="s">
        <v>1114</v>
      </c>
      <c r="D73" s="365"/>
      <c r="E73" s="365"/>
      <c r="F73" s="365"/>
      <c r="G73" s="365"/>
      <c r="H73" s="365"/>
      <c r="I73" s="452" t="s">
        <v>1260</v>
      </c>
      <c r="J73" s="363" t="s">
        <v>528</v>
      </c>
      <c r="K73" s="364">
        <v>53000</v>
      </c>
      <c r="L73" s="365"/>
      <c r="M73" s="361"/>
      <c r="N73" s="365"/>
      <c r="O73" s="1327"/>
    </row>
    <row r="74" spans="1:15" s="366" customFormat="1" ht="31.2" x14ac:dyDescent="0.3">
      <c r="A74" s="388"/>
      <c r="B74" s="459" t="s">
        <v>690</v>
      </c>
      <c r="C74" s="692" t="s">
        <v>1114</v>
      </c>
      <c r="D74" s="482"/>
      <c r="E74" s="482"/>
      <c r="F74" s="482"/>
      <c r="G74" s="482"/>
      <c r="H74" s="482"/>
      <c r="I74" s="480" t="s">
        <v>1261</v>
      </c>
      <c r="J74" s="564" t="s">
        <v>586</v>
      </c>
      <c r="K74" s="369">
        <v>24000</v>
      </c>
      <c r="L74" s="365"/>
      <c r="M74" s="361"/>
      <c r="N74" s="365"/>
      <c r="O74" s="1326"/>
    </row>
    <row r="75" spans="1:15" s="366" customFormat="1" ht="31.2" x14ac:dyDescent="0.3">
      <c r="A75" s="388"/>
      <c r="B75" s="565" t="s">
        <v>1171</v>
      </c>
      <c r="C75" s="387" t="s">
        <v>1172</v>
      </c>
      <c r="D75" s="365"/>
      <c r="E75" s="365"/>
      <c r="F75" s="365"/>
      <c r="G75" s="365"/>
      <c r="H75" s="365"/>
      <c r="I75" s="389" t="s">
        <v>1246</v>
      </c>
      <c r="J75" s="389" t="s">
        <v>528</v>
      </c>
      <c r="K75" s="485">
        <v>31800</v>
      </c>
      <c r="L75" s="365"/>
      <c r="M75" s="361"/>
      <c r="N75" s="365"/>
      <c r="O75" s="698"/>
    </row>
    <row r="76" spans="1:15" s="366" customFormat="1" ht="62.4" x14ac:dyDescent="0.3">
      <c r="A76" s="388"/>
      <c r="B76" s="565" t="s">
        <v>1173</v>
      </c>
      <c r="C76" s="387" t="s">
        <v>1172</v>
      </c>
      <c r="D76" s="365"/>
      <c r="E76" s="365"/>
      <c r="F76" s="365"/>
      <c r="G76" s="365"/>
      <c r="H76" s="365"/>
      <c r="I76" s="389" t="s">
        <v>1247</v>
      </c>
      <c r="J76" s="389" t="s">
        <v>528</v>
      </c>
      <c r="K76" s="485">
        <v>19080</v>
      </c>
      <c r="L76" s="365"/>
      <c r="M76" s="361"/>
      <c r="N76" s="365"/>
      <c r="O76" s="698"/>
    </row>
    <row r="77" spans="1:15" s="366" customFormat="1" ht="36" x14ac:dyDescent="0.35">
      <c r="A77" s="446">
        <v>9</v>
      </c>
      <c r="B77" s="566" t="s">
        <v>560</v>
      </c>
      <c r="C77" s="365"/>
      <c r="D77" s="365"/>
      <c r="E77" s="365"/>
      <c r="F77" s="365"/>
      <c r="G77" s="365"/>
      <c r="H77" s="365"/>
      <c r="I77" s="429" t="s">
        <v>1344</v>
      </c>
      <c r="J77" s="430"/>
      <c r="K77" s="436">
        <f>K78+K79+K80+K81+K82</f>
        <v>8435698</v>
      </c>
      <c r="L77" s="365"/>
      <c r="M77" s="436">
        <f>M78+M79+M80+M81+M82</f>
        <v>118321.64</v>
      </c>
      <c r="N77" s="365"/>
      <c r="O77" s="432" t="s">
        <v>151</v>
      </c>
    </row>
    <row r="78" spans="1:15" s="366" customFormat="1" ht="18" x14ac:dyDescent="0.35">
      <c r="A78" s="446"/>
      <c r="B78" s="459" t="s">
        <v>787</v>
      </c>
      <c r="C78" s="387" t="s">
        <v>1116</v>
      </c>
      <c r="D78" s="365"/>
      <c r="E78" s="365"/>
      <c r="F78" s="365"/>
      <c r="G78" s="365"/>
      <c r="H78" s="365"/>
      <c r="I78" s="452" t="s">
        <v>1295</v>
      </c>
      <c r="J78" s="363" t="s">
        <v>586</v>
      </c>
      <c r="K78" s="457">
        <v>476999</v>
      </c>
      <c r="L78" s="365"/>
      <c r="M78" s="361">
        <f>10146.64+26907</f>
        <v>37053.64</v>
      </c>
      <c r="N78" s="365"/>
      <c r="O78" s="1325"/>
    </row>
    <row r="79" spans="1:15" s="366" customFormat="1" ht="15.6" x14ac:dyDescent="0.3">
      <c r="A79" s="388"/>
      <c r="B79" s="534" t="s">
        <v>781</v>
      </c>
      <c r="C79" s="387" t="s">
        <v>1115</v>
      </c>
      <c r="D79" s="365"/>
      <c r="E79" s="365"/>
      <c r="F79" s="365"/>
      <c r="G79" s="365"/>
      <c r="H79" s="365"/>
      <c r="I79" s="452" t="s">
        <v>1293</v>
      </c>
      <c r="J79" s="363" t="s">
        <v>586</v>
      </c>
      <c r="K79" s="364">
        <f>450000+928700</f>
        <v>1378700</v>
      </c>
      <c r="L79" s="365"/>
      <c r="M79" s="361"/>
      <c r="N79" s="365"/>
      <c r="O79" s="1327"/>
    </row>
    <row r="80" spans="1:15" s="366" customFormat="1" ht="15.6" x14ac:dyDescent="0.3">
      <c r="A80" s="388"/>
      <c r="B80" s="459" t="s">
        <v>790</v>
      </c>
      <c r="C80" s="387" t="s">
        <v>1116</v>
      </c>
      <c r="D80" s="365"/>
      <c r="E80" s="365"/>
      <c r="F80" s="365"/>
      <c r="G80" s="365"/>
      <c r="H80" s="365"/>
      <c r="I80" s="452" t="s">
        <v>1296</v>
      </c>
      <c r="J80" s="363" t="s">
        <v>586</v>
      </c>
      <c r="K80" s="364">
        <v>529999</v>
      </c>
      <c r="L80" s="365"/>
      <c r="M80" s="361">
        <f>189150-107882</f>
        <v>81268</v>
      </c>
      <c r="N80" s="365"/>
      <c r="O80" s="1327"/>
    </row>
    <row r="81" spans="1:15" s="366" customFormat="1" ht="31.2" x14ac:dyDescent="0.3">
      <c r="A81" s="388"/>
      <c r="B81" s="459" t="s">
        <v>784</v>
      </c>
      <c r="C81" s="387" t="s">
        <v>1115</v>
      </c>
      <c r="D81" s="365"/>
      <c r="E81" s="365"/>
      <c r="F81" s="365"/>
      <c r="G81" s="365"/>
      <c r="H81" s="365"/>
      <c r="I81" s="452" t="s">
        <v>1294</v>
      </c>
      <c r="J81" s="363" t="s">
        <v>586</v>
      </c>
      <c r="K81" s="364">
        <f>100000-50000</f>
        <v>50000</v>
      </c>
      <c r="L81" s="365"/>
      <c r="M81" s="361"/>
      <c r="N81" s="365"/>
      <c r="O81" s="1326"/>
    </row>
    <row r="82" spans="1:15" s="366" customFormat="1" ht="31.2" x14ac:dyDescent="0.3">
      <c r="A82" s="388"/>
      <c r="B82" s="521" t="s">
        <v>1297</v>
      </c>
      <c r="C82" s="387" t="s">
        <v>1116</v>
      </c>
      <c r="D82" s="365"/>
      <c r="E82" s="365"/>
      <c r="F82" s="365"/>
      <c r="G82" s="365"/>
      <c r="H82" s="365"/>
      <c r="I82" s="452" t="s">
        <v>1298</v>
      </c>
      <c r="J82" s="363" t="s">
        <v>700</v>
      </c>
      <c r="K82" s="364">
        <v>6000000</v>
      </c>
      <c r="L82" s="365"/>
      <c r="M82" s="361"/>
      <c r="N82" s="365"/>
      <c r="O82" s="698"/>
    </row>
    <row r="83" spans="1:15" s="366" customFormat="1" ht="70.2" x14ac:dyDescent="0.35">
      <c r="A83" s="446">
        <v>10</v>
      </c>
      <c r="B83" s="447" t="s">
        <v>562</v>
      </c>
      <c r="C83" s="365"/>
      <c r="D83" s="365"/>
      <c r="E83" s="365"/>
      <c r="F83" s="365"/>
      <c r="G83" s="365"/>
      <c r="H83" s="365"/>
      <c r="I83" s="429" t="s">
        <v>1345</v>
      </c>
      <c r="J83" s="430"/>
      <c r="K83" s="436">
        <f>K84+K88+K89+K90+K92+K96+K99+K104+K106+K108+K107+K105+K109+K91+K103</f>
        <v>77198451.469999999</v>
      </c>
      <c r="L83" s="365"/>
      <c r="M83" s="436">
        <f>M84+M88+M89+M90+M92+M96+M99+M104+M106+M108+M107+M105+M109+M91+M103</f>
        <v>16669239.779999999</v>
      </c>
      <c r="N83" s="365"/>
      <c r="O83" s="432" t="s">
        <v>1135</v>
      </c>
    </row>
    <row r="84" spans="1:15" s="366" customFormat="1" ht="15.6" x14ac:dyDescent="0.3">
      <c r="A84" s="1343"/>
      <c r="B84" s="1346" t="s">
        <v>796</v>
      </c>
      <c r="C84" s="387" t="s">
        <v>1131</v>
      </c>
      <c r="D84" s="388"/>
      <c r="E84" s="388"/>
      <c r="F84" s="388"/>
      <c r="G84" s="388"/>
      <c r="H84" s="388"/>
      <c r="I84" s="389" t="s">
        <v>1299</v>
      </c>
      <c r="J84" s="363"/>
      <c r="K84" s="364">
        <f>K85+K86+K87</f>
        <v>10546860.609999999</v>
      </c>
      <c r="L84" s="368"/>
      <c r="M84" s="364">
        <f>M85+M86+M87</f>
        <v>2195880.48</v>
      </c>
      <c r="N84" s="365"/>
      <c r="O84" s="1350" t="s">
        <v>1136</v>
      </c>
    </row>
    <row r="85" spans="1:15" s="366" customFormat="1" ht="15.6" x14ac:dyDescent="0.3">
      <c r="A85" s="1344"/>
      <c r="B85" s="1298"/>
      <c r="C85" s="382"/>
      <c r="D85" s="386"/>
      <c r="E85" s="386"/>
      <c r="F85" s="386"/>
      <c r="G85" s="386"/>
      <c r="H85" s="386"/>
      <c r="I85" s="383"/>
      <c r="J85" s="363" t="s">
        <v>162</v>
      </c>
      <c r="K85" s="364">
        <v>9687260.6099999994</v>
      </c>
      <c r="L85" s="365"/>
      <c r="M85" s="445">
        <f>524429.57+75+158298.21+536955.67+75+192902.57+568054.78+75+162342.28</f>
        <v>2143208.08</v>
      </c>
      <c r="N85" s="365"/>
      <c r="O85" s="1351"/>
    </row>
    <row r="86" spans="1:15" s="366" customFormat="1" ht="15.6" x14ac:dyDescent="0.3">
      <c r="A86" s="1344"/>
      <c r="B86" s="1298"/>
      <c r="C86" s="382"/>
      <c r="D86" s="362"/>
      <c r="E86" s="362"/>
      <c r="F86" s="362"/>
      <c r="G86" s="362"/>
      <c r="H86" s="362"/>
      <c r="I86" s="383"/>
      <c r="J86" s="363" t="s">
        <v>586</v>
      </c>
      <c r="K86" s="364">
        <v>847600</v>
      </c>
      <c r="L86" s="365"/>
      <c r="M86" s="361">
        <f>815.14+20591.29+30465.97</f>
        <v>51872.4</v>
      </c>
      <c r="N86" s="365"/>
      <c r="O86" s="1351"/>
    </row>
    <row r="87" spans="1:15" s="366" customFormat="1" ht="15.6" x14ac:dyDescent="0.3">
      <c r="A87" s="1345"/>
      <c r="B87" s="1299"/>
      <c r="C87" s="384"/>
      <c r="D87" s="362"/>
      <c r="E87" s="362"/>
      <c r="F87" s="362"/>
      <c r="G87" s="362"/>
      <c r="H87" s="362"/>
      <c r="I87" s="385"/>
      <c r="J87" s="363" t="s">
        <v>528</v>
      </c>
      <c r="K87" s="364">
        <v>12000</v>
      </c>
      <c r="L87" s="365"/>
      <c r="M87" s="361">
        <f>800</f>
        <v>800</v>
      </c>
      <c r="N87" s="365"/>
      <c r="O87" s="1351"/>
    </row>
    <row r="88" spans="1:15" s="366" customFormat="1" ht="78" x14ac:dyDescent="0.35">
      <c r="A88" s="446"/>
      <c r="B88" s="478" t="s">
        <v>810</v>
      </c>
      <c r="C88" s="387" t="s">
        <v>1133</v>
      </c>
      <c r="D88" s="365"/>
      <c r="E88" s="365"/>
      <c r="F88" s="365"/>
      <c r="G88" s="365"/>
      <c r="H88" s="365"/>
      <c r="I88" s="452" t="s">
        <v>1302</v>
      </c>
      <c r="J88" s="363" t="s">
        <v>813</v>
      </c>
      <c r="K88" s="364">
        <v>18000000</v>
      </c>
      <c r="L88" s="365"/>
      <c r="M88" s="361">
        <f>2126908+1469292</f>
        <v>3596200</v>
      </c>
      <c r="N88" s="365"/>
      <c r="O88" s="1351"/>
    </row>
    <row r="89" spans="1:15" s="366" customFormat="1" ht="31.2" x14ac:dyDescent="0.35">
      <c r="A89" s="446"/>
      <c r="B89" s="459" t="s">
        <v>805</v>
      </c>
      <c r="C89" s="387" t="s">
        <v>1132</v>
      </c>
      <c r="D89" s="365"/>
      <c r="E89" s="365"/>
      <c r="F89" s="365"/>
      <c r="G89" s="365"/>
      <c r="H89" s="365"/>
      <c r="I89" s="452" t="s">
        <v>1301</v>
      </c>
      <c r="J89" s="363" t="s">
        <v>808</v>
      </c>
      <c r="K89" s="364">
        <f>51963.84-51963.84</f>
        <v>0</v>
      </c>
      <c r="L89" s="365"/>
      <c r="M89" s="361"/>
      <c r="N89" s="365"/>
      <c r="O89" s="1351"/>
    </row>
    <row r="90" spans="1:15" s="366" customFormat="1" ht="49.5" customHeight="1" x14ac:dyDescent="0.35">
      <c r="A90" s="493"/>
      <c r="B90" s="1297" t="s">
        <v>801</v>
      </c>
      <c r="C90" s="1347" t="s">
        <v>1131</v>
      </c>
      <c r="D90" s="522"/>
      <c r="E90" s="522"/>
      <c r="F90" s="522"/>
      <c r="G90" s="522"/>
      <c r="H90" s="522"/>
      <c r="I90" s="1295" t="s">
        <v>1300</v>
      </c>
      <c r="J90" s="363" t="s">
        <v>162</v>
      </c>
      <c r="K90" s="457">
        <f>600000+10000</f>
        <v>610000</v>
      </c>
      <c r="L90" s="365"/>
      <c r="M90" s="361">
        <f>30041.46+9072.51+32340.46+8828.94+38624.73+10544.55</f>
        <v>129452.65000000001</v>
      </c>
      <c r="N90" s="365"/>
      <c r="O90" s="1352"/>
    </row>
    <row r="91" spans="1:15" s="366" customFormat="1" ht="27.75" hidden="1" customHeight="1" x14ac:dyDescent="0.35">
      <c r="A91" s="494"/>
      <c r="B91" s="1299"/>
      <c r="C91" s="1348"/>
      <c r="D91" s="522"/>
      <c r="E91" s="522"/>
      <c r="F91" s="522"/>
      <c r="G91" s="522"/>
      <c r="H91" s="522"/>
      <c r="I91" s="1285"/>
      <c r="J91" s="363" t="s">
        <v>586</v>
      </c>
      <c r="K91" s="364"/>
      <c r="L91" s="365"/>
      <c r="M91" s="491"/>
      <c r="N91" s="365"/>
      <c r="O91" s="706"/>
    </row>
    <row r="92" spans="1:15" s="366" customFormat="1" ht="15.6" x14ac:dyDescent="0.3">
      <c r="A92" s="1349"/>
      <c r="B92" s="1297" t="s">
        <v>904</v>
      </c>
      <c r="C92" s="387" t="s">
        <v>1134</v>
      </c>
      <c r="D92" s="388"/>
      <c r="E92" s="388"/>
      <c r="F92" s="388"/>
      <c r="G92" s="388"/>
      <c r="H92" s="388"/>
      <c r="I92" s="389" t="s">
        <v>1328</v>
      </c>
      <c r="J92" s="363"/>
      <c r="K92" s="364">
        <f>K93+K94+K95</f>
        <v>5332603.96</v>
      </c>
      <c r="L92" s="368"/>
      <c r="M92" s="364">
        <f>M93+M94+M95</f>
        <v>1165715.6199999999</v>
      </c>
      <c r="N92" s="365"/>
      <c r="O92" s="1288" t="s">
        <v>1097</v>
      </c>
    </row>
    <row r="93" spans="1:15" s="366" customFormat="1" ht="15.6" x14ac:dyDescent="0.3">
      <c r="A93" s="1344"/>
      <c r="B93" s="1298"/>
      <c r="C93" s="382"/>
      <c r="D93" s="386"/>
      <c r="E93" s="386"/>
      <c r="F93" s="386"/>
      <c r="G93" s="386"/>
      <c r="H93" s="386"/>
      <c r="I93" s="383"/>
      <c r="J93" s="363" t="s">
        <v>162</v>
      </c>
      <c r="K93" s="364">
        <v>5094348.96</v>
      </c>
      <c r="L93" s="365"/>
      <c r="M93" s="361">
        <f>267156.78+80681.33+323666.55+97747.31+286809.24+85408.41</f>
        <v>1141469.6199999999</v>
      </c>
      <c r="N93" s="365"/>
      <c r="O93" s="1289"/>
    </row>
    <row r="94" spans="1:15" s="366" customFormat="1" ht="15.6" x14ac:dyDescent="0.3">
      <c r="A94" s="1344"/>
      <c r="B94" s="1298"/>
      <c r="C94" s="382"/>
      <c r="D94" s="362"/>
      <c r="E94" s="362"/>
      <c r="F94" s="362"/>
      <c r="G94" s="362"/>
      <c r="H94" s="362"/>
      <c r="I94" s="383"/>
      <c r="J94" s="363" t="s">
        <v>586</v>
      </c>
      <c r="K94" s="464">
        <f>237874-2000</f>
        <v>235874</v>
      </c>
      <c r="L94" s="365"/>
      <c r="M94" s="361">
        <f>2490+14256+5500</f>
        <v>22246</v>
      </c>
      <c r="N94" s="365"/>
      <c r="O94" s="1289"/>
    </row>
    <row r="95" spans="1:15" s="366" customFormat="1" ht="15.6" x14ac:dyDescent="0.3">
      <c r="A95" s="1345"/>
      <c r="B95" s="1299"/>
      <c r="C95" s="384"/>
      <c r="D95" s="362"/>
      <c r="E95" s="362"/>
      <c r="F95" s="362"/>
      <c r="G95" s="362"/>
      <c r="H95" s="362"/>
      <c r="I95" s="383"/>
      <c r="J95" s="363" t="s">
        <v>528</v>
      </c>
      <c r="K95" s="464">
        <f>381+2000</f>
        <v>2381</v>
      </c>
      <c r="L95" s="365"/>
      <c r="M95" s="361">
        <v>2000</v>
      </c>
      <c r="N95" s="365"/>
      <c r="O95" s="1289"/>
    </row>
    <row r="96" spans="1:15" s="366" customFormat="1" ht="18" x14ac:dyDescent="0.35">
      <c r="A96" s="446"/>
      <c r="B96" s="1300" t="s">
        <v>909</v>
      </c>
      <c r="C96" s="700" t="s">
        <v>1134</v>
      </c>
      <c r="D96" s="479"/>
      <c r="E96" s="479"/>
      <c r="F96" s="479"/>
      <c r="G96" s="479"/>
      <c r="H96" s="479"/>
      <c r="I96" s="389" t="s">
        <v>1329</v>
      </c>
      <c r="J96" s="363"/>
      <c r="K96" s="364">
        <f>K97+K98</f>
        <v>1600220.1800000002</v>
      </c>
      <c r="L96" s="365"/>
      <c r="M96" s="364">
        <f>M97+M98</f>
        <v>480236.26</v>
      </c>
      <c r="N96" s="365"/>
      <c r="O96" s="1290"/>
    </row>
    <row r="97" spans="1:15" s="366" customFormat="1" ht="18" x14ac:dyDescent="0.35">
      <c r="A97" s="481"/>
      <c r="B97" s="1301"/>
      <c r="C97" s="1303"/>
      <c r="D97" s="482"/>
      <c r="E97" s="482"/>
      <c r="F97" s="482"/>
      <c r="G97" s="482"/>
      <c r="H97" s="482"/>
      <c r="I97" s="1305"/>
      <c r="J97" s="363" t="s">
        <v>586</v>
      </c>
      <c r="K97" s="372">
        <f>810750.26+771343.92</f>
        <v>1582094.1800000002</v>
      </c>
      <c r="L97" s="365"/>
      <c r="M97" s="361">
        <f>26103.04+260144.02+193989.2</f>
        <v>480236.26</v>
      </c>
      <c r="N97" s="365"/>
      <c r="O97" s="689"/>
    </row>
    <row r="98" spans="1:15" s="366" customFormat="1" ht="18" x14ac:dyDescent="0.35">
      <c r="A98" s="481"/>
      <c r="B98" s="1302"/>
      <c r="C98" s="1304"/>
      <c r="D98" s="482"/>
      <c r="E98" s="482"/>
      <c r="F98" s="482"/>
      <c r="G98" s="482"/>
      <c r="H98" s="482"/>
      <c r="I98" s="1306"/>
      <c r="J98" s="363" t="s">
        <v>528</v>
      </c>
      <c r="K98" s="369">
        <v>18126</v>
      </c>
      <c r="L98" s="365"/>
      <c r="M98" s="361"/>
      <c r="N98" s="365"/>
      <c r="O98" s="689"/>
    </row>
    <row r="99" spans="1:15" s="474" customFormat="1" ht="15.6" x14ac:dyDescent="0.3">
      <c r="A99" s="1357"/>
      <c r="B99" s="1360" t="s">
        <v>1230</v>
      </c>
      <c r="C99" s="395" t="s">
        <v>1093</v>
      </c>
      <c r="D99" s="475"/>
      <c r="E99" s="475"/>
      <c r="F99" s="475"/>
      <c r="G99" s="475"/>
      <c r="H99" s="475"/>
      <c r="I99" s="397" t="s">
        <v>1226</v>
      </c>
      <c r="J99" s="371"/>
      <c r="K99" s="372">
        <f>K100+K101+K102</f>
        <v>28501970.560000002</v>
      </c>
      <c r="L99" s="476"/>
      <c r="M99" s="372">
        <f>M100+M101+M102</f>
        <v>6203138.9399999995</v>
      </c>
      <c r="N99" s="476"/>
      <c r="O99" s="1280" t="s">
        <v>151</v>
      </c>
    </row>
    <row r="100" spans="1:15" s="474" customFormat="1" ht="15.6" x14ac:dyDescent="0.3">
      <c r="A100" s="1358"/>
      <c r="B100" s="1361"/>
      <c r="C100" s="390"/>
      <c r="D100" s="517"/>
      <c r="E100" s="517"/>
      <c r="F100" s="517"/>
      <c r="G100" s="517"/>
      <c r="H100" s="517"/>
      <c r="I100" s="391"/>
      <c r="J100" s="371" t="s">
        <v>162</v>
      </c>
      <c r="K100" s="372">
        <f>24557419.37-365566</f>
        <v>24191853.370000001</v>
      </c>
      <c r="L100" s="476"/>
      <c r="M100" s="445">
        <f>1217872.51+88843.54+627345.62+1042801.37+36724.5+434017.63+1452587.28+18150+467538.72</f>
        <v>5385881.1699999999</v>
      </c>
      <c r="N100" s="476"/>
      <c r="O100" s="1282"/>
    </row>
    <row r="101" spans="1:15" s="474" customFormat="1" ht="15.6" x14ac:dyDescent="0.3">
      <c r="A101" s="1358"/>
      <c r="B101" s="1361"/>
      <c r="C101" s="390"/>
      <c r="D101" s="518"/>
      <c r="E101" s="518"/>
      <c r="F101" s="518"/>
      <c r="G101" s="518"/>
      <c r="H101" s="518"/>
      <c r="I101" s="391"/>
      <c r="J101" s="371" t="s">
        <v>586</v>
      </c>
      <c r="K101" s="372">
        <f>3678500+365566</f>
        <v>4044066</v>
      </c>
      <c r="L101" s="476"/>
      <c r="M101" s="445">
        <f>101785.52+235044.2+480428.05</f>
        <v>817257.77</v>
      </c>
      <c r="N101" s="476"/>
      <c r="O101" s="1282"/>
    </row>
    <row r="102" spans="1:15" s="474" customFormat="1" ht="15.6" x14ac:dyDescent="0.3">
      <c r="A102" s="1359"/>
      <c r="B102" s="1362"/>
      <c r="C102" s="392"/>
      <c r="D102" s="518"/>
      <c r="E102" s="518"/>
      <c r="F102" s="518"/>
      <c r="G102" s="518"/>
      <c r="H102" s="518"/>
      <c r="I102" s="393"/>
      <c r="J102" s="371" t="s">
        <v>528</v>
      </c>
      <c r="K102" s="372">
        <v>266051.19</v>
      </c>
      <c r="L102" s="476"/>
      <c r="M102" s="445"/>
      <c r="N102" s="476"/>
      <c r="O102" s="1282"/>
    </row>
    <row r="103" spans="1:15" s="474" customFormat="1" ht="31.2" x14ac:dyDescent="0.3">
      <c r="A103" s="708"/>
      <c r="B103" s="709" t="s">
        <v>1353</v>
      </c>
      <c r="C103" s="395" t="s">
        <v>1093</v>
      </c>
      <c r="D103" s="475"/>
      <c r="E103" s="475"/>
      <c r="F103" s="475"/>
      <c r="G103" s="475"/>
      <c r="H103" s="475"/>
      <c r="I103" s="397" t="s">
        <v>1354</v>
      </c>
      <c r="J103" s="371" t="s">
        <v>528</v>
      </c>
      <c r="K103" s="372">
        <v>400000</v>
      </c>
      <c r="L103" s="476"/>
      <c r="M103" s="445"/>
      <c r="N103" s="476"/>
      <c r="O103" s="1281"/>
    </row>
    <row r="104" spans="1:15" s="366" customFormat="1" ht="46.8" x14ac:dyDescent="0.3">
      <c r="A104" s="388"/>
      <c r="B104" s="459" t="s">
        <v>610</v>
      </c>
      <c r="C104" s="387" t="s">
        <v>1130</v>
      </c>
      <c r="D104" s="365"/>
      <c r="E104" s="365"/>
      <c r="F104" s="365"/>
      <c r="G104" s="365"/>
      <c r="H104" s="365"/>
      <c r="I104" s="452" t="s">
        <v>1233</v>
      </c>
      <c r="J104" s="363" t="s">
        <v>613</v>
      </c>
      <c r="K104" s="364">
        <v>11822578.16</v>
      </c>
      <c r="L104" s="365"/>
      <c r="M104" s="361">
        <f>582207.78+1087559.96+1228848.09</f>
        <v>2898615.83</v>
      </c>
      <c r="N104" s="365"/>
      <c r="O104" s="1282"/>
    </row>
    <row r="105" spans="1:15" s="366" customFormat="1" ht="15.6" hidden="1" x14ac:dyDescent="0.3">
      <c r="A105" s="388"/>
      <c r="B105" s="459" t="s">
        <v>1174</v>
      </c>
      <c r="C105" s="387" t="s">
        <v>1130</v>
      </c>
      <c r="D105" s="365"/>
      <c r="E105" s="365"/>
      <c r="F105" s="365"/>
      <c r="G105" s="365"/>
      <c r="H105" s="365"/>
      <c r="I105" s="452" t="s">
        <v>1175</v>
      </c>
      <c r="J105" s="363" t="s">
        <v>528</v>
      </c>
      <c r="K105" s="364"/>
      <c r="L105" s="365"/>
      <c r="M105" s="361"/>
      <c r="N105" s="365"/>
      <c r="O105" s="1282"/>
    </row>
    <row r="106" spans="1:15" s="474" customFormat="1" ht="15.6" x14ac:dyDescent="0.3">
      <c r="A106" s="475"/>
      <c r="B106" s="423" t="s">
        <v>604</v>
      </c>
      <c r="C106" s="395" t="s">
        <v>1129</v>
      </c>
      <c r="D106" s="476"/>
      <c r="E106" s="476"/>
      <c r="F106" s="476"/>
      <c r="G106" s="476"/>
      <c r="H106" s="476"/>
      <c r="I106" s="477" t="s">
        <v>1229</v>
      </c>
      <c r="J106" s="371" t="s">
        <v>528</v>
      </c>
      <c r="K106" s="457">
        <v>334218</v>
      </c>
      <c r="L106" s="476"/>
      <c r="M106" s="445"/>
      <c r="N106" s="476"/>
      <c r="O106" s="1282"/>
    </row>
    <row r="107" spans="1:15" s="366" customFormat="1" ht="31.2" x14ac:dyDescent="0.3">
      <c r="A107" s="388"/>
      <c r="B107" s="459" t="s">
        <v>771</v>
      </c>
      <c r="C107" s="387" t="s">
        <v>1111</v>
      </c>
      <c r="D107" s="365"/>
      <c r="E107" s="365"/>
      <c r="F107" s="365"/>
      <c r="G107" s="365"/>
      <c r="H107" s="365"/>
      <c r="I107" s="452" t="s">
        <v>1290</v>
      </c>
      <c r="J107" s="363" t="s">
        <v>586</v>
      </c>
      <c r="K107" s="364">
        <v>50000</v>
      </c>
      <c r="L107" s="365"/>
      <c r="M107" s="361"/>
      <c r="N107" s="365"/>
      <c r="O107" s="1282"/>
    </row>
    <row r="108" spans="1:15" s="366" customFormat="1" ht="62.4" hidden="1" x14ac:dyDescent="0.3">
      <c r="A108" s="388"/>
      <c r="B108" s="483" t="s">
        <v>1187</v>
      </c>
      <c r="C108" s="387" t="s">
        <v>1161</v>
      </c>
      <c r="D108" s="365"/>
      <c r="E108" s="365"/>
      <c r="F108" s="365"/>
      <c r="G108" s="365"/>
      <c r="H108" s="365"/>
      <c r="I108" s="452" t="s">
        <v>1162</v>
      </c>
      <c r="J108" s="363" t="s">
        <v>528</v>
      </c>
      <c r="K108" s="369"/>
      <c r="L108" s="365"/>
      <c r="M108" s="361"/>
      <c r="N108" s="365"/>
      <c r="O108" s="1283"/>
    </row>
    <row r="109" spans="1:15" s="366" customFormat="1" ht="62.4" hidden="1" x14ac:dyDescent="0.3">
      <c r="A109" s="388"/>
      <c r="B109" s="423" t="s">
        <v>1188</v>
      </c>
      <c r="C109" s="387" t="s">
        <v>1185</v>
      </c>
      <c r="D109" s="365"/>
      <c r="E109" s="365"/>
      <c r="F109" s="365"/>
      <c r="G109" s="365"/>
      <c r="H109" s="365"/>
      <c r="I109" s="484" t="s">
        <v>1186</v>
      </c>
      <c r="J109" s="389" t="s">
        <v>528</v>
      </c>
      <c r="K109" s="485"/>
      <c r="L109" s="365"/>
      <c r="M109" s="486"/>
      <c r="N109" s="365"/>
      <c r="O109" s="687" t="s">
        <v>968</v>
      </c>
    </row>
    <row r="110" spans="1:15" s="366" customFormat="1" ht="72" x14ac:dyDescent="0.35">
      <c r="A110" s="425">
        <v>11</v>
      </c>
      <c r="B110" s="435" t="s">
        <v>563</v>
      </c>
      <c r="C110" s="428"/>
      <c r="D110" s="428"/>
      <c r="E110" s="428"/>
      <c r="F110" s="428"/>
      <c r="G110" s="428"/>
      <c r="H110" s="428"/>
      <c r="I110" s="429" t="s">
        <v>1346</v>
      </c>
      <c r="J110" s="430"/>
      <c r="K110" s="436">
        <f>K111+K112+K113+K114+K115+K116+K118+K119+K117</f>
        <v>5308249.99</v>
      </c>
      <c r="L110" s="428"/>
      <c r="M110" s="436">
        <f>M111+M112+M113+M114+M115+M116+M118+M119+M117</f>
        <v>514998.84999999992</v>
      </c>
      <c r="N110" s="428"/>
      <c r="O110" s="432" t="s">
        <v>1147</v>
      </c>
    </row>
    <row r="111" spans="1:15" s="366" customFormat="1" ht="46.8" x14ac:dyDescent="0.35">
      <c r="A111" s="425"/>
      <c r="B111" s="459" t="s">
        <v>618</v>
      </c>
      <c r="C111" s="387" t="s">
        <v>1137</v>
      </c>
      <c r="D111" s="428"/>
      <c r="E111" s="428"/>
      <c r="F111" s="428"/>
      <c r="G111" s="428"/>
      <c r="H111" s="428"/>
      <c r="I111" s="452" t="s">
        <v>1235</v>
      </c>
      <c r="J111" s="363" t="s">
        <v>586</v>
      </c>
      <c r="K111" s="364">
        <v>515000</v>
      </c>
      <c r="L111" s="428"/>
      <c r="M111" s="487">
        <f>30000-25141</f>
        <v>4859</v>
      </c>
      <c r="N111" s="428"/>
      <c r="O111" s="1288" t="s">
        <v>151</v>
      </c>
    </row>
    <row r="112" spans="1:15" s="366" customFormat="1" ht="18" x14ac:dyDescent="0.35">
      <c r="A112" s="425"/>
      <c r="B112" s="459" t="s">
        <v>621</v>
      </c>
      <c r="C112" s="387" t="s">
        <v>1137</v>
      </c>
      <c r="D112" s="428"/>
      <c r="E112" s="428"/>
      <c r="F112" s="428"/>
      <c r="G112" s="428"/>
      <c r="H112" s="428"/>
      <c r="I112" s="452" t="s">
        <v>1236</v>
      </c>
      <c r="J112" s="363" t="s">
        <v>586</v>
      </c>
      <c r="K112" s="364">
        <v>212500</v>
      </c>
      <c r="L112" s="428"/>
      <c r="M112" s="487">
        <v>20531.04</v>
      </c>
      <c r="N112" s="428"/>
      <c r="O112" s="1289"/>
    </row>
    <row r="113" spans="1:15" s="366" customFormat="1" ht="31.2" x14ac:dyDescent="0.35">
      <c r="A113" s="425"/>
      <c r="B113" s="459" t="s">
        <v>731</v>
      </c>
      <c r="C113" s="387" t="s">
        <v>1107</v>
      </c>
      <c r="D113" s="428"/>
      <c r="E113" s="428"/>
      <c r="F113" s="428"/>
      <c r="G113" s="428"/>
      <c r="H113" s="428"/>
      <c r="I113" s="452" t="s">
        <v>1274</v>
      </c>
      <c r="J113" s="363" t="s">
        <v>586</v>
      </c>
      <c r="K113" s="364">
        <v>50000</v>
      </c>
      <c r="L113" s="428"/>
      <c r="M113" s="487"/>
      <c r="N113" s="428"/>
      <c r="O113" s="1289"/>
    </row>
    <row r="114" spans="1:15" s="515" customFormat="1" ht="31.2" x14ac:dyDescent="0.35">
      <c r="A114" s="567"/>
      <c r="B114" s="423" t="s">
        <v>736</v>
      </c>
      <c r="C114" s="395" t="s">
        <v>1107</v>
      </c>
      <c r="D114" s="568"/>
      <c r="E114" s="568"/>
      <c r="F114" s="568"/>
      <c r="G114" s="568"/>
      <c r="H114" s="568"/>
      <c r="I114" s="477" t="s">
        <v>1275</v>
      </c>
      <c r="J114" s="371" t="s">
        <v>586</v>
      </c>
      <c r="K114" s="457">
        <v>53000</v>
      </c>
      <c r="L114" s="568"/>
      <c r="M114" s="569"/>
      <c r="N114" s="570"/>
      <c r="O114" s="1290"/>
    </row>
    <row r="115" spans="1:15" s="366" customFormat="1" ht="31.2" x14ac:dyDescent="0.35">
      <c r="A115" s="425"/>
      <c r="B115" s="459" t="s">
        <v>834</v>
      </c>
      <c r="C115" s="387" t="s">
        <v>1105</v>
      </c>
      <c r="D115" s="428"/>
      <c r="E115" s="428"/>
      <c r="F115" s="428"/>
      <c r="G115" s="428"/>
      <c r="H115" s="428"/>
      <c r="I115" s="452" t="s">
        <v>1308</v>
      </c>
      <c r="J115" s="363" t="s">
        <v>613</v>
      </c>
      <c r="K115" s="364">
        <v>1650000</v>
      </c>
      <c r="L115" s="428"/>
      <c r="M115" s="487"/>
      <c r="N115" s="428"/>
      <c r="O115" s="1291" t="s">
        <v>968</v>
      </c>
    </row>
    <row r="116" spans="1:15" s="366" customFormat="1" ht="31.5" customHeight="1" x14ac:dyDescent="0.35">
      <c r="A116" s="425"/>
      <c r="B116" s="1293" t="s">
        <v>831</v>
      </c>
      <c r="C116" s="387" t="s">
        <v>1105</v>
      </c>
      <c r="D116" s="428"/>
      <c r="E116" s="428"/>
      <c r="F116" s="428"/>
      <c r="G116" s="428"/>
      <c r="H116" s="428"/>
      <c r="I116" s="1295" t="s">
        <v>1307</v>
      </c>
      <c r="J116" s="363" t="s">
        <v>613</v>
      </c>
      <c r="K116" s="364">
        <v>300000</v>
      </c>
      <c r="L116" s="428"/>
      <c r="M116" s="487"/>
      <c r="N116" s="428"/>
      <c r="O116" s="1292"/>
    </row>
    <row r="117" spans="1:15" s="366" customFormat="1" ht="18" hidden="1" x14ac:dyDescent="0.35">
      <c r="A117" s="425"/>
      <c r="B117" s="1294"/>
      <c r="C117" s="387" t="s">
        <v>1142</v>
      </c>
      <c r="D117" s="428"/>
      <c r="E117" s="428"/>
      <c r="F117" s="428"/>
      <c r="G117" s="428"/>
      <c r="H117" s="428"/>
      <c r="I117" s="1296"/>
      <c r="J117" s="363" t="s">
        <v>613</v>
      </c>
      <c r="K117" s="369"/>
      <c r="L117" s="428"/>
      <c r="M117" s="487"/>
      <c r="N117" s="428"/>
      <c r="O117" s="691"/>
    </row>
    <row r="118" spans="1:15" s="366" customFormat="1" ht="31.2" x14ac:dyDescent="0.35">
      <c r="A118" s="425"/>
      <c r="B118" s="459" t="s">
        <v>912</v>
      </c>
      <c r="C118" s="387" t="s">
        <v>1138</v>
      </c>
      <c r="D118" s="428"/>
      <c r="E118" s="428"/>
      <c r="F118" s="428"/>
      <c r="G118" s="428"/>
      <c r="H118" s="428"/>
      <c r="I118" s="452" t="s">
        <v>1330</v>
      </c>
      <c r="J118" s="363" t="s">
        <v>613</v>
      </c>
      <c r="K118" s="369">
        <v>2497749.9900000002</v>
      </c>
      <c r="L118" s="428"/>
      <c r="M118" s="487">
        <f>156868.34+144625.25+188115.22</f>
        <v>489608.80999999994</v>
      </c>
      <c r="N118" s="428"/>
      <c r="O118" s="495" t="s">
        <v>1097</v>
      </c>
    </row>
    <row r="119" spans="1:15" s="366" customFormat="1" ht="51" customHeight="1" x14ac:dyDescent="0.35">
      <c r="A119" s="425"/>
      <c r="B119" s="521" t="s">
        <v>1198</v>
      </c>
      <c r="C119" s="387" t="s">
        <v>1107</v>
      </c>
      <c r="D119" s="428"/>
      <c r="E119" s="428"/>
      <c r="F119" s="428"/>
      <c r="G119" s="428"/>
      <c r="H119" s="428"/>
      <c r="I119" s="484" t="s">
        <v>1276</v>
      </c>
      <c r="J119" s="389" t="s">
        <v>586</v>
      </c>
      <c r="K119" s="485">
        <v>30000</v>
      </c>
      <c r="L119" s="428"/>
      <c r="M119" s="533"/>
      <c r="N119" s="428"/>
      <c r="O119" s="495"/>
    </row>
    <row r="120" spans="1:15" s="366" customFormat="1" ht="52.8" x14ac:dyDescent="0.35">
      <c r="A120" s="425">
        <v>12</v>
      </c>
      <c r="B120" s="435" t="s">
        <v>558</v>
      </c>
      <c r="C120" s="428"/>
      <c r="D120" s="428"/>
      <c r="E120" s="428"/>
      <c r="F120" s="428"/>
      <c r="G120" s="428"/>
      <c r="H120" s="428"/>
      <c r="I120" s="429" t="s">
        <v>1347</v>
      </c>
      <c r="J120" s="430"/>
      <c r="K120" s="436">
        <f>K121+K122+K123+K124+K125+K126+K127+K128+K129+K130+K131+K133+K134+K135+K136+K140+K144+K132</f>
        <v>243365614.59000006</v>
      </c>
      <c r="L120" s="428"/>
      <c r="M120" s="436">
        <f>M121+M122+M123+M124+M125+M126+M127+M128+M129+M130+M131+M133+M134+M135+M136+M140+M144+M132</f>
        <v>45408704.679999992</v>
      </c>
      <c r="N120" s="428"/>
      <c r="O120" s="432" t="s">
        <v>1147</v>
      </c>
    </row>
    <row r="121" spans="1:15" s="366" customFormat="1" ht="18" hidden="1" x14ac:dyDescent="0.35">
      <c r="A121" s="425"/>
      <c r="B121" s="423" t="s">
        <v>1153</v>
      </c>
      <c r="C121" s="387" t="s">
        <v>1139</v>
      </c>
      <c r="D121" s="428"/>
      <c r="E121" s="428"/>
      <c r="F121" s="428"/>
      <c r="G121" s="428"/>
      <c r="H121" s="428"/>
      <c r="I121" s="452" t="s">
        <v>818</v>
      </c>
      <c r="J121" s="363" t="s">
        <v>586</v>
      </c>
      <c r="K121" s="364">
        <v>0</v>
      </c>
      <c r="L121" s="428"/>
      <c r="M121" s="487"/>
      <c r="N121" s="428"/>
      <c r="O121" s="1288" t="s">
        <v>151</v>
      </c>
    </row>
    <row r="122" spans="1:15" s="366" customFormat="1" ht="18" x14ac:dyDescent="0.35">
      <c r="A122" s="425"/>
      <c r="B122" s="459" t="s">
        <v>725</v>
      </c>
      <c r="C122" s="387" t="s">
        <v>1140</v>
      </c>
      <c r="D122" s="428"/>
      <c r="E122" s="428"/>
      <c r="F122" s="428"/>
      <c r="G122" s="428"/>
      <c r="H122" s="428"/>
      <c r="I122" s="452" t="s">
        <v>1272</v>
      </c>
      <c r="J122" s="363" t="s">
        <v>586</v>
      </c>
      <c r="K122" s="457">
        <v>8000000</v>
      </c>
      <c r="L122" s="428"/>
      <c r="M122" s="487"/>
      <c r="N122" s="428"/>
      <c r="O122" s="1289"/>
    </row>
    <row r="123" spans="1:15" s="366" customFormat="1" ht="31.2" x14ac:dyDescent="0.35">
      <c r="A123" s="425"/>
      <c r="B123" s="459" t="s">
        <v>1278</v>
      </c>
      <c r="C123" s="387" t="s">
        <v>1107</v>
      </c>
      <c r="D123" s="428"/>
      <c r="E123" s="428"/>
      <c r="F123" s="428"/>
      <c r="G123" s="428"/>
      <c r="H123" s="428"/>
      <c r="I123" s="452" t="s">
        <v>1277</v>
      </c>
      <c r="J123" s="363" t="s">
        <v>586</v>
      </c>
      <c r="K123" s="457">
        <v>114734.39999999999</v>
      </c>
      <c r="L123" s="428"/>
      <c r="M123" s="487">
        <f>1100+10234</f>
        <v>11334</v>
      </c>
      <c r="N123" s="428"/>
      <c r="O123" s="1290"/>
    </row>
    <row r="124" spans="1:15" s="366" customFormat="1" ht="31.2" x14ac:dyDescent="0.35">
      <c r="A124" s="425"/>
      <c r="B124" s="459" t="s">
        <v>915</v>
      </c>
      <c r="C124" s="387" t="s">
        <v>1146</v>
      </c>
      <c r="D124" s="428"/>
      <c r="E124" s="428"/>
      <c r="F124" s="428"/>
      <c r="G124" s="428"/>
      <c r="H124" s="428"/>
      <c r="I124" s="452" t="s">
        <v>1331</v>
      </c>
      <c r="J124" s="363" t="s">
        <v>613</v>
      </c>
      <c r="K124" s="457">
        <v>7636834.5599999996</v>
      </c>
      <c r="L124" s="428"/>
      <c r="M124" s="487">
        <f>363230.85+492151.88+489303.4</f>
        <v>1344686.13</v>
      </c>
      <c r="N124" s="428"/>
      <c r="O124" s="690" t="s">
        <v>1097</v>
      </c>
    </row>
    <row r="125" spans="1:15" s="366" customFormat="1" ht="18" x14ac:dyDescent="0.35">
      <c r="A125" s="425"/>
      <c r="B125" s="459" t="s">
        <v>817</v>
      </c>
      <c r="C125" s="387" t="s">
        <v>1142</v>
      </c>
      <c r="D125" s="428"/>
      <c r="E125" s="428"/>
      <c r="F125" s="428"/>
      <c r="G125" s="428"/>
      <c r="H125" s="428"/>
      <c r="I125" s="452" t="s">
        <v>1304</v>
      </c>
      <c r="J125" s="363" t="s">
        <v>613</v>
      </c>
      <c r="K125" s="457">
        <f>1200000+36882185.35</f>
        <v>38082185.350000001</v>
      </c>
      <c r="L125" s="428"/>
      <c r="M125" s="487">
        <f>585817.49+80129.95+50000+99000</f>
        <v>814947.44</v>
      </c>
      <c r="N125" s="428"/>
      <c r="O125" s="1288" t="s">
        <v>968</v>
      </c>
    </row>
    <row r="126" spans="1:15" s="366" customFormat="1" ht="31.2" x14ac:dyDescent="0.35">
      <c r="A126" s="425"/>
      <c r="B126" s="459" t="s">
        <v>814</v>
      </c>
      <c r="C126" s="387" t="s">
        <v>1142</v>
      </c>
      <c r="D126" s="428"/>
      <c r="E126" s="428"/>
      <c r="F126" s="428"/>
      <c r="G126" s="428"/>
      <c r="H126" s="428"/>
      <c r="I126" s="452" t="s">
        <v>1303</v>
      </c>
      <c r="J126" s="363" t="s">
        <v>613</v>
      </c>
      <c r="K126" s="464">
        <f>34085991.49+3149000+14433000</f>
        <v>51667991.490000002</v>
      </c>
      <c r="L126" s="428"/>
      <c r="M126" s="487">
        <f>2356160.12+452255.67+3660357.99+873532.27+21680+65980+4123273.33+883777.74</f>
        <v>12437017.120000001</v>
      </c>
      <c r="N126" s="428"/>
      <c r="O126" s="1289"/>
    </row>
    <row r="127" spans="1:15" s="366" customFormat="1" ht="31.2" x14ac:dyDescent="0.35">
      <c r="A127" s="425"/>
      <c r="B127" s="459" t="s">
        <v>837</v>
      </c>
      <c r="C127" s="387" t="s">
        <v>1105</v>
      </c>
      <c r="D127" s="428"/>
      <c r="E127" s="428"/>
      <c r="F127" s="428"/>
      <c r="G127" s="428"/>
      <c r="H127" s="428"/>
      <c r="I127" s="452" t="s">
        <v>1309</v>
      </c>
      <c r="J127" s="363" t="s">
        <v>613</v>
      </c>
      <c r="K127" s="464">
        <f>95155748.66+5078000-14769460.99</f>
        <v>85464287.670000002</v>
      </c>
      <c r="L127" s="428"/>
      <c r="M127" s="487">
        <f>4290134.18+215001.81+6724002.5+346703.2+245656.77+23755+8882268.11+288534.14</f>
        <v>21016055.709999997</v>
      </c>
      <c r="N127" s="428"/>
      <c r="O127" s="1289"/>
    </row>
    <row r="128" spans="1:15" s="366" customFormat="1" ht="31.2" x14ac:dyDescent="0.35">
      <c r="A128" s="425"/>
      <c r="B128" s="459" t="s">
        <v>840</v>
      </c>
      <c r="C128" s="387" t="s">
        <v>1105</v>
      </c>
      <c r="D128" s="428"/>
      <c r="E128" s="428"/>
      <c r="F128" s="428"/>
      <c r="G128" s="428"/>
      <c r="H128" s="428"/>
      <c r="I128" s="452" t="s">
        <v>1310</v>
      </c>
      <c r="J128" s="363" t="s">
        <v>613</v>
      </c>
      <c r="K128" s="457">
        <f>6355514.52+25000</f>
        <v>6380514.5199999996</v>
      </c>
      <c r="L128" s="428"/>
      <c r="M128" s="487">
        <f>588256.75+563774.2+525742.9</f>
        <v>1677773.85</v>
      </c>
      <c r="N128" s="428"/>
      <c r="O128" s="1289"/>
    </row>
    <row r="129" spans="1:15" s="366" customFormat="1" ht="18" x14ac:dyDescent="0.35">
      <c r="A129" s="425"/>
      <c r="B129" s="459" t="s">
        <v>725</v>
      </c>
      <c r="C129" s="387" t="s">
        <v>1105</v>
      </c>
      <c r="D129" s="428"/>
      <c r="E129" s="428"/>
      <c r="F129" s="428"/>
      <c r="G129" s="428"/>
      <c r="H129" s="428"/>
      <c r="I129" s="452" t="s">
        <v>1272</v>
      </c>
      <c r="J129" s="363" t="s">
        <v>613</v>
      </c>
      <c r="K129" s="457">
        <f>17174500+1467814.65</f>
        <v>18642314.649999999</v>
      </c>
      <c r="L129" s="428"/>
      <c r="M129" s="487">
        <f>2307366.72+54716.15+53834</f>
        <v>2415916.87</v>
      </c>
      <c r="N129" s="428"/>
      <c r="O129" s="1289"/>
    </row>
    <row r="130" spans="1:15" s="366" customFormat="1" ht="15.6" x14ac:dyDescent="0.3">
      <c r="A130" s="388"/>
      <c r="B130" s="459" t="s">
        <v>844</v>
      </c>
      <c r="C130" s="387" t="s">
        <v>1105</v>
      </c>
      <c r="D130" s="365"/>
      <c r="E130" s="365"/>
      <c r="F130" s="365"/>
      <c r="G130" s="365"/>
      <c r="H130" s="365"/>
      <c r="I130" s="452" t="s">
        <v>1311</v>
      </c>
      <c r="J130" s="363" t="s">
        <v>613</v>
      </c>
      <c r="K130" s="364">
        <v>483000</v>
      </c>
      <c r="L130" s="365"/>
      <c r="M130" s="487">
        <f>36608.7+1260.6</f>
        <v>37869.299999999996</v>
      </c>
      <c r="N130" s="365"/>
      <c r="O130" s="1289"/>
    </row>
    <row r="131" spans="1:15" s="366" customFormat="1" ht="46.8" x14ac:dyDescent="0.3">
      <c r="A131" s="388"/>
      <c r="B131" s="459" t="s">
        <v>847</v>
      </c>
      <c r="C131" s="387" t="s">
        <v>1105</v>
      </c>
      <c r="D131" s="365"/>
      <c r="E131" s="365"/>
      <c r="F131" s="365"/>
      <c r="G131" s="365"/>
      <c r="H131" s="365"/>
      <c r="I131" s="452" t="s">
        <v>1312</v>
      </c>
      <c r="J131" s="363" t="s">
        <v>613</v>
      </c>
      <c r="K131" s="364">
        <v>50000</v>
      </c>
      <c r="L131" s="365"/>
      <c r="M131" s="487"/>
      <c r="N131" s="365"/>
      <c r="O131" s="1289"/>
    </row>
    <row r="132" spans="1:15" s="366" customFormat="1" ht="15.6" x14ac:dyDescent="0.3">
      <c r="A132" s="1307"/>
      <c r="B132" s="1297" t="s">
        <v>864</v>
      </c>
      <c r="C132" s="1354" t="s">
        <v>1143</v>
      </c>
      <c r="D132" s="365"/>
      <c r="E132" s="365"/>
      <c r="F132" s="365"/>
      <c r="G132" s="365"/>
      <c r="H132" s="365"/>
      <c r="I132" s="1355" t="s">
        <v>1317</v>
      </c>
      <c r="J132" s="363" t="s">
        <v>764</v>
      </c>
      <c r="K132" s="364"/>
      <c r="L132" s="365"/>
      <c r="M132" s="487"/>
      <c r="N132" s="365"/>
      <c r="O132" s="1317"/>
    </row>
    <row r="133" spans="1:15" s="366" customFormat="1" ht="15.6" x14ac:dyDescent="0.3">
      <c r="A133" s="1308"/>
      <c r="B133" s="1299"/>
      <c r="C133" s="1304"/>
      <c r="D133" s="365"/>
      <c r="E133" s="365"/>
      <c r="F133" s="365"/>
      <c r="G133" s="365"/>
      <c r="H133" s="365"/>
      <c r="I133" s="1356"/>
      <c r="J133" s="363" t="s">
        <v>613</v>
      </c>
      <c r="K133" s="364">
        <v>1900000</v>
      </c>
      <c r="L133" s="365"/>
      <c r="M133" s="487">
        <f>405934.4+14760</f>
        <v>420694.4</v>
      </c>
      <c r="N133" s="365"/>
      <c r="O133" s="1289"/>
    </row>
    <row r="134" spans="1:15" s="366" customFormat="1" ht="31.2" x14ac:dyDescent="0.3">
      <c r="A134" s="388"/>
      <c r="B134" s="459" t="s">
        <v>867</v>
      </c>
      <c r="C134" s="387" t="s">
        <v>1143</v>
      </c>
      <c r="D134" s="365"/>
      <c r="E134" s="365"/>
      <c r="F134" s="365"/>
      <c r="G134" s="365"/>
      <c r="H134" s="365"/>
      <c r="I134" s="452" t="s">
        <v>1318</v>
      </c>
      <c r="J134" s="363" t="s">
        <v>613</v>
      </c>
      <c r="K134" s="364">
        <v>100000</v>
      </c>
      <c r="L134" s="365"/>
      <c r="M134" s="487"/>
      <c r="N134" s="365"/>
      <c r="O134" s="1289"/>
    </row>
    <row r="135" spans="1:15" s="366" customFormat="1" ht="15.6" hidden="1" x14ac:dyDescent="0.3">
      <c r="A135" s="388"/>
      <c r="B135" s="459" t="s">
        <v>870</v>
      </c>
      <c r="C135" s="700" t="s">
        <v>1143</v>
      </c>
      <c r="D135" s="479"/>
      <c r="E135" s="479"/>
      <c r="F135" s="479"/>
      <c r="G135" s="479"/>
      <c r="H135" s="479"/>
      <c r="I135" s="480" t="s">
        <v>871</v>
      </c>
      <c r="J135" s="363" t="s">
        <v>613</v>
      </c>
      <c r="K135" s="364">
        <v>0</v>
      </c>
      <c r="L135" s="365"/>
      <c r="M135" s="487"/>
      <c r="N135" s="365"/>
      <c r="O135" s="1289"/>
    </row>
    <row r="136" spans="1:15" s="366" customFormat="1" ht="15.6" x14ac:dyDescent="0.3">
      <c r="A136" s="1307"/>
      <c r="B136" s="1297" t="s">
        <v>877</v>
      </c>
      <c r="C136" s="387" t="s">
        <v>1144</v>
      </c>
      <c r="D136" s="388"/>
      <c r="E136" s="388"/>
      <c r="F136" s="388"/>
      <c r="G136" s="388"/>
      <c r="H136" s="388"/>
      <c r="I136" s="389" t="s">
        <v>1320</v>
      </c>
      <c r="J136" s="363"/>
      <c r="K136" s="364">
        <f>K137+K138+K139</f>
        <v>5523184.1100000003</v>
      </c>
      <c r="L136" s="365"/>
      <c r="M136" s="364">
        <f>M137+M138+M139</f>
        <v>1240562.1500000004</v>
      </c>
      <c r="N136" s="365"/>
      <c r="O136" s="1289"/>
    </row>
    <row r="137" spans="1:15" s="366" customFormat="1" ht="15.6" x14ac:dyDescent="0.3">
      <c r="A137" s="1336"/>
      <c r="B137" s="1298"/>
      <c r="C137" s="1337"/>
      <c r="D137" s="386"/>
      <c r="E137" s="386"/>
      <c r="F137" s="386"/>
      <c r="G137" s="386"/>
      <c r="H137" s="386"/>
      <c r="I137" s="1340"/>
      <c r="J137" s="363" t="s">
        <v>162</v>
      </c>
      <c r="K137" s="364">
        <v>5429984.1100000003</v>
      </c>
      <c r="L137" s="365"/>
      <c r="M137" s="487">
        <f>267903.28+3600+367432.83+1840+187591.01+312722.84+1715+86278.38</f>
        <v>1229083.3400000003</v>
      </c>
      <c r="N137" s="365"/>
      <c r="O137" s="1289"/>
    </row>
    <row r="138" spans="1:15" s="366" customFormat="1" ht="15.6" x14ac:dyDescent="0.3">
      <c r="A138" s="1336"/>
      <c r="B138" s="1298"/>
      <c r="C138" s="1338"/>
      <c r="D138" s="362"/>
      <c r="E138" s="362"/>
      <c r="F138" s="362"/>
      <c r="G138" s="362"/>
      <c r="H138" s="362"/>
      <c r="I138" s="1341"/>
      <c r="J138" s="363" t="s">
        <v>586</v>
      </c>
      <c r="K138" s="364">
        <v>93200</v>
      </c>
      <c r="L138" s="365"/>
      <c r="M138" s="487">
        <f>6475.39+5003.42</f>
        <v>11478.810000000001</v>
      </c>
      <c r="N138" s="365"/>
      <c r="O138" s="1289"/>
    </row>
    <row r="139" spans="1:15" s="366" customFormat="1" ht="15.6" x14ac:dyDescent="0.3">
      <c r="A139" s="1308"/>
      <c r="B139" s="1299"/>
      <c r="C139" s="1338"/>
      <c r="D139" s="488"/>
      <c r="E139" s="488"/>
      <c r="F139" s="488"/>
      <c r="G139" s="488"/>
      <c r="H139" s="488"/>
      <c r="I139" s="1341"/>
      <c r="J139" s="363" t="s">
        <v>528</v>
      </c>
      <c r="K139" s="364">
        <f>6000-6000</f>
        <v>0</v>
      </c>
      <c r="L139" s="365"/>
      <c r="M139" s="487"/>
      <c r="N139" s="365"/>
      <c r="O139" s="1289"/>
    </row>
    <row r="140" spans="1:15" s="366" customFormat="1" ht="15.6" x14ac:dyDescent="0.3">
      <c r="A140" s="1307"/>
      <c r="B140" s="1297" t="s">
        <v>882</v>
      </c>
      <c r="C140" s="387" t="s">
        <v>1144</v>
      </c>
      <c r="D140" s="388"/>
      <c r="E140" s="388"/>
      <c r="F140" s="388"/>
      <c r="G140" s="388"/>
      <c r="H140" s="388"/>
      <c r="I140" s="389" t="s">
        <v>1321</v>
      </c>
      <c r="J140" s="363"/>
      <c r="K140" s="364">
        <f>K141+K142+K143</f>
        <v>16641770.050000001</v>
      </c>
      <c r="L140" s="368"/>
      <c r="M140" s="364">
        <f>M141+M142+M143</f>
        <v>3345320.27</v>
      </c>
      <c r="N140" s="365"/>
      <c r="O140" s="1289"/>
    </row>
    <row r="141" spans="1:15" s="366" customFormat="1" ht="15.6" x14ac:dyDescent="0.3">
      <c r="A141" s="1336"/>
      <c r="B141" s="1298"/>
      <c r="C141" s="1337"/>
      <c r="D141" s="386"/>
      <c r="E141" s="386"/>
      <c r="F141" s="386"/>
      <c r="G141" s="386"/>
      <c r="H141" s="386"/>
      <c r="I141" s="1340"/>
      <c r="J141" s="363" t="s">
        <v>162</v>
      </c>
      <c r="K141" s="364">
        <v>12358242.65</v>
      </c>
      <c r="L141" s="365"/>
      <c r="M141" s="487">
        <f>641319.57+6605.75+854663.7+4600+442773.64+706630.5+212830.71</f>
        <v>2869423.87</v>
      </c>
      <c r="N141" s="365"/>
      <c r="O141" s="1289"/>
    </row>
    <row r="142" spans="1:15" s="366" customFormat="1" ht="15.6" x14ac:dyDescent="0.3">
      <c r="A142" s="1336"/>
      <c r="B142" s="1298"/>
      <c r="C142" s="1338"/>
      <c r="D142" s="362"/>
      <c r="E142" s="362"/>
      <c r="F142" s="362"/>
      <c r="G142" s="362"/>
      <c r="H142" s="362"/>
      <c r="I142" s="1341"/>
      <c r="J142" s="363" t="s">
        <v>586</v>
      </c>
      <c r="K142" s="457">
        <v>4275140.4000000004</v>
      </c>
      <c r="L142" s="365"/>
      <c r="M142" s="487">
        <f>37923.85+226540.51+208735.04</f>
        <v>473199.4</v>
      </c>
      <c r="N142" s="365"/>
      <c r="O142" s="1289"/>
    </row>
    <row r="143" spans="1:15" s="366" customFormat="1" ht="15.6" x14ac:dyDescent="0.3">
      <c r="A143" s="1308"/>
      <c r="B143" s="1299"/>
      <c r="C143" s="1339"/>
      <c r="D143" s="362"/>
      <c r="E143" s="362"/>
      <c r="F143" s="362"/>
      <c r="G143" s="362"/>
      <c r="H143" s="362"/>
      <c r="I143" s="1342"/>
      <c r="J143" s="363" t="s">
        <v>528</v>
      </c>
      <c r="K143" s="364">
        <v>8387</v>
      </c>
      <c r="L143" s="365"/>
      <c r="M143" s="487">
        <f>2652+45</f>
        <v>2697</v>
      </c>
      <c r="N143" s="365"/>
      <c r="O143" s="1289"/>
    </row>
    <row r="144" spans="1:15" s="366" customFormat="1" ht="31.2" x14ac:dyDescent="0.3">
      <c r="A144" s="388"/>
      <c r="B144" s="459" t="s">
        <v>887</v>
      </c>
      <c r="C144" s="693" t="s">
        <v>1144</v>
      </c>
      <c r="D144" s="489"/>
      <c r="E144" s="489"/>
      <c r="F144" s="489"/>
      <c r="G144" s="489"/>
      <c r="H144" s="489"/>
      <c r="I144" s="490" t="s">
        <v>1322</v>
      </c>
      <c r="J144" s="363" t="s">
        <v>613</v>
      </c>
      <c r="K144" s="364">
        <v>2678797.79</v>
      </c>
      <c r="L144" s="365"/>
      <c r="M144" s="487">
        <f>170122.74+204050.19+272354.51</f>
        <v>646527.43999999994</v>
      </c>
      <c r="N144" s="365"/>
      <c r="O144" s="1290"/>
    </row>
    <row r="145" spans="1:15" s="366" customFormat="1" ht="52.8" x14ac:dyDescent="0.35">
      <c r="A145" s="446">
        <v>13</v>
      </c>
      <c r="B145" s="447" t="s">
        <v>564</v>
      </c>
      <c r="C145" s="448"/>
      <c r="D145" s="448"/>
      <c r="E145" s="448"/>
      <c r="F145" s="448"/>
      <c r="G145" s="448"/>
      <c r="H145" s="448"/>
      <c r="I145" s="429" t="s">
        <v>1348</v>
      </c>
      <c r="J145" s="430"/>
      <c r="K145" s="548">
        <f>K146+K148+K150+K151+K152+K153+K154+K155+K156+K157+K161+K162+K163+K147+K149+K158</f>
        <v>17713934.920000002</v>
      </c>
      <c r="L145" s="448"/>
      <c r="M145" s="548">
        <f>M146+M148+M150+M151+M152+M153+M154+M155+M156+M157+M161+M162+M163+M147+M149+M158</f>
        <v>171000</v>
      </c>
      <c r="N145" s="448"/>
      <c r="O145" s="432" t="s">
        <v>1083</v>
      </c>
    </row>
    <row r="146" spans="1:15" s="366" customFormat="1" ht="15.6" x14ac:dyDescent="0.3">
      <c r="A146" s="388"/>
      <c r="B146" s="459" t="s">
        <v>654</v>
      </c>
      <c r="C146" s="387" t="s">
        <v>1148</v>
      </c>
      <c r="D146" s="365"/>
      <c r="E146" s="365"/>
      <c r="F146" s="365"/>
      <c r="G146" s="365"/>
      <c r="H146" s="365"/>
      <c r="I146" s="452" t="s">
        <v>1251</v>
      </c>
      <c r="J146" s="363" t="s">
        <v>586</v>
      </c>
      <c r="K146" s="464">
        <f>300000+1938000</f>
        <v>2238000</v>
      </c>
      <c r="L146" s="365"/>
      <c r="M146" s="361"/>
      <c r="N146" s="365"/>
      <c r="O146" s="1280" t="s">
        <v>151</v>
      </c>
    </row>
    <row r="147" spans="1:15" s="366" customFormat="1" ht="15.6" x14ac:dyDescent="0.3">
      <c r="A147" s="388"/>
      <c r="B147" s="459" t="s">
        <v>1357</v>
      </c>
      <c r="C147" s="387" t="s">
        <v>1148</v>
      </c>
      <c r="D147" s="365"/>
      <c r="E147" s="365"/>
      <c r="F147" s="365"/>
      <c r="G147" s="365"/>
      <c r="H147" s="365"/>
      <c r="I147" s="452" t="s">
        <v>1356</v>
      </c>
      <c r="J147" s="363" t="s">
        <v>586</v>
      </c>
      <c r="K147" s="457">
        <v>5400000</v>
      </c>
      <c r="L147" s="365"/>
      <c r="M147" s="361"/>
      <c r="N147" s="365"/>
      <c r="O147" s="1281"/>
    </row>
    <row r="148" spans="1:15" s="366" customFormat="1" ht="31.2" x14ac:dyDescent="0.3">
      <c r="A148" s="388"/>
      <c r="B148" s="459" t="s">
        <v>657</v>
      </c>
      <c r="C148" s="387" t="s">
        <v>1148</v>
      </c>
      <c r="D148" s="365"/>
      <c r="E148" s="365"/>
      <c r="F148" s="365"/>
      <c r="G148" s="365"/>
      <c r="H148" s="365"/>
      <c r="I148" s="452" t="s">
        <v>1252</v>
      </c>
      <c r="J148" s="363" t="s">
        <v>586</v>
      </c>
      <c r="K148" s="464">
        <f>59000+351000</f>
        <v>410000</v>
      </c>
      <c r="L148" s="365"/>
      <c r="M148" s="361"/>
      <c r="N148" s="365"/>
      <c r="O148" s="1282"/>
    </row>
    <row r="149" spans="1:15" s="366" customFormat="1" ht="31.2" x14ac:dyDescent="0.3">
      <c r="A149" s="388"/>
      <c r="B149" s="459" t="s">
        <v>666</v>
      </c>
      <c r="C149" s="387" t="s">
        <v>1148</v>
      </c>
      <c r="D149" s="365"/>
      <c r="E149" s="365"/>
      <c r="F149" s="365"/>
      <c r="G149" s="365"/>
      <c r="H149" s="365"/>
      <c r="I149" s="452" t="s">
        <v>1358</v>
      </c>
      <c r="J149" s="363" t="s">
        <v>586</v>
      </c>
      <c r="K149" s="464">
        <f>50000+51000</f>
        <v>101000</v>
      </c>
      <c r="L149" s="365"/>
      <c r="M149" s="361"/>
      <c r="N149" s="365"/>
      <c r="O149" s="1281"/>
    </row>
    <row r="150" spans="1:15" s="366" customFormat="1" ht="31.2" hidden="1" x14ac:dyDescent="0.3">
      <c r="A150" s="388"/>
      <c r="B150" s="459" t="s">
        <v>660</v>
      </c>
      <c r="C150" s="387" t="s">
        <v>1148</v>
      </c>
      <c r="D150" s="365"/>
      <c r="E150" s="365"/>
      <c r="F150" s="365"/>
      <c r="G150" s="365"/>
      <c r="H150" s="365"/>
      <c r="I150" s="452" t="s">
        <v>661</v>
      </c>
      <c r="J150" s="363" t="s">
        <v>586</v>
      </c>
      <c r="K150" s="364"/>
      <c r="L150" s="365"/>
      <c r="M150" s="361"/>
      <c r="N150" s="365"/>
      <c r="O150" s="1282"/>
    </row>
    <row r="151" spans="1:15" s="366" customFormat="1" ht="15.6" x14ac:dyDescent="0.3">
      <c r="A151" s="388"/>
      <c r="B151" s="459" t="s">
        <v>663</v>
      </c>
      <c r="C151" s="387" t="s">
        <v>1148</v>
      </c>
      <c r="D151" s="365"/>
      <c r="E151" s="365"/>
      <c r="F151" s="365"/>
      <c r="G151" s="365"/>
      <c r="H151" s="365"/>
      <c r="I151" s="452" t="s">
        <v>1253</v>
      </c>
      <c r="J151" s="363" t="s">
        <v>586</v>
      </c>
      <c r="K151" s="457">
        <f>360000+206000</f>
        <v>566000</v>
      </c>
      <c r="L151" s="365"/>
      <c r="M151" s="361">
        <v>171000</v>
      </c>
      <c r="N151" s="365"/>
      <c r="O151" s="1282"/>
    </row>
    <row r="152" spans="1:15" s="366" customFormat="1" ht="31.2" x14ac:dyDescent="0.3">
      <c r="A152" s="388"/>
      <c r="B152" s="459" t="s">
        <v>666</v>
      </c>
      <c r="C152" s="387" t="s">
        <v>1148</v>
      </c>
      <c r="D152" s="365"/>
      <c r="E152" s="365"/>
      <c r="F152" s="365"/>
      <c r="G152" s="365"/>
      <c r="H152" s="365"/>
      <c r="I152" s="452" t="s">
        <v>1254</v>
      </c>
      <c r="J152" s="363" t="s">
        <v>528</v>
      </c>
      <c r="K152" s="457">
        <f>500000-50000</f>
        <v>450000</v>
      </c>
      <c r="L152" s="365"/>
      <c r="M152" s="361"/>
      <c r="N152" s="365"/>
      <c r="O152" s="1282"/>
    </row>
    <row r="153" spans="1:15" s="366" customFormat="1" ht="15.6" x14ac:dyDescent="0.3">
      <c r="A153" s="388"/>
      <c r="B153" s="459" t="s">
        <v>669</v>
      </c>
      <c r="C153" s="387" t="s">
        <v>1148</v>
      </c>
      <c r="D153" s="365"/>
      <c r="E153" s="365"/>
      <c r="F153" s="365"/>
      <c r="G153" s="365"/>
      <c r="H153" s="365"/>
      <c r="I153" s="452" t="s">
        <v>1255</v>
      </c>
      <c r="J153" s="363" t="s">
        <v>586</v>
      </c>
      <c r="K153" s="364">
        <v>150000</v>
      </c>
      <c r="L153" s="365"/>
      <c r="M153" s="361"/>
      <c r="N153" s="365"/>
      <c r="O153" s="1282"/>
    </row>
    <row r="154" spans="1:15" s="366" customFormat="1" ht="46.8" x14ac:dyDescent="0.3">
      <c r="A154" s="388"/>
      <c r="B154" s="459" t="s">
        <v>672</v>
      </c>
      <c r="C154" s="387" t="s">
        <v>1148</v>
      </c>
      <c r="D154" s="365"/>
      <c r="E154" s="365"/>
      <c r="F154" s="365"/>
      <c r="G154" s="365"/>
      <c r="H154" s="365"/>
      <c r="I154" s="452" t="s">
        <v>1256</v>
      </c>
      <c r="J154" s="363" t="s">
        <v>586</v>
      </c>
      <c r="K154" s="364">
        <v>106000</v>
      </c>
      <c r="L154" s="365"/>
      <c r="M154" s="361"/>
      <c r="N154" s="365"/>
      <c r="O154" s="1282"/>
    </row>
    <row r="155" spans="1:15" s="366" customFormat="1" ht="31.2" hidden="1" x14ac:dyDescent="0.3">
      <c r="A155" s="388"/>
      <c r="B155" s="519" t="s">
        <v>675</v>
      </c>
      <c r="C155" s="692" t="s">
        <v>1148</v>
      </c>
      <c r="D155" s="482"/>
      <c r="E155" s="482"/>
      <c r="F155" s="482"/>
      <c r="G155" s="482"/>
      <c r="H155" s="482"/>
      <c r="I155" s="480" t="s">
        <v>1257</v>
      </c>
      <c r="J155" s="363" t="s">
        <v>586</v>
      </c>
      <c r="K155" s="369"/>
      <c r="L155" s="365"/>
      <c r="M155" s="361">
        <f>183800-183800</f>
        <v>0</v>
      </c>
      <c r="N155" s="365"/>
      <c r="O155" s="1282"/>
    </row>
    <row r="156" spans="1:15" s="532" customFormat="1" ht="31.2" x14ac:dyDescent="0.3">
      <c r="A156" s="572"/>
      <c r="B156" s="573" t="s">
        <v>675</v>
      </c>
      <c r="C156" s="692" t="s">
        <v>1163</v>
      </c>
      <c r="D156" s="574"/>
      <c r="E156" s="574"/>
      <c r="F156" s="574"/>
      <c r="G156" s="574"/>
      <c r="H156" s="574"/>
      <c r="I156" s="575" t="s">
        <v>1257</v>
      </c>
      <c r="J156" s="576" t="s">
        <v>586</v>
      </c>
      <c r="K156" s="577">
        <v>4966877.4000000004</v>
      </c>
      <c r="L156" s="368"/>
      <c r="M156" s="361"/>
      <c r="N156" s="368"/>
      <c r="O156" s="1282"/>
    </row>
    <row r="157" spans="1:15" s="366" customFormat="1" ht="46.8" hidden="1" x14ac:dyDescent="0.3">
      <c r="A157" s="388"/>
      <c r="B157" s="459" t="s">
        <v>681</v>
      </c>
      <c r="C157" s="692" t="s">
        <v>1148</v>
      </c>
      <c r="D157" s="365"/>
      <c r="E157" s="365"/>
      <c r="F157" s="365"/>
      <c r="G157" s="365"/>
      <c r="H157" s="365"/>
      <c r="I157" s="452" t="s">
        <v>682</v>
      </c>
      <c r="J157" s="363" t="s">
        <v>586</v>
      </c>
      <c r="K157" s="364">
        <v>0</v>
      </c>
      <c r="L157" s="365"/>
      <c r="M157" s="361"/>
      <c r="N157" s="365"/>
      <c r="O157" s="1282"/>
    </row>
    <row r="158" spans="1:15" s="366" customFormat="1" ht="24.75" customHeight="1" x14ac:dyDescent="0.3">
      <c r="A158" s="388"/>
      <c r="B158" s="1369" t="s">
        <v>681</v>
      </c>
      <c r="C158" s="1372" t="s">
        <v>1163</v>
      </c>
      <c r="D158" s="365"/>
      <c r="E158" s="365"/>
      <c r="F158" s="365"/>
      <c r="G158" s="365"/>
      <c r="H158" s="365"/>
      <c r="I158" s="1295" t="s">
        <v>1258</v>
      </c>
      <c r="J158" s="363"/>
      <c r="K158" s="457">
        <f>K159+K160</f>
        <v>3176057.52</v>
      </c>
      <c r="L158" s="365"/>
      <c r="M158" s="361"/>
      <c r="N158" s="365"/>
      <c r="O158" s="1281"/>
    </row>
    <row r="159" spans="1:15" s="366" customFormat="1" ht="20.25" customHeight="1" x14ac:dyDescent="0.3">
      <c r="A159" s="388"/>
      <c r="B159" s="1370"/>
      <c r="C159" s="1373"/>
      <c r="D159" s="658"/>
      <c r="E159" s="658"/>
      <c r="F159" s="658"/>
      <c r="G159" s="658"/>
      <c r="H159" s="658"/>
      <c r="I159" s="1374"/>
      <c r="J159" s="363" t="s">
        <v>586</v>
      </c>
      <c r="K159" s="457">
        <f>3176057.52-2000000</f>
        <v>1176057.52</v>
      </c>
      <c r="L159" s="365"/>
      <c r="M159" s="361">
        <v>0</v>
      </c>
      <c r="N159" s="365"/>
      <c r="O159" s="1283"/>
    </row>
    <row r="160" spans="1:15" s="366" customFormat="1" ht="20.25" customHeight="1" x14ac:dyDescent="0.3">
      <c r="A160" s="388"/>
      <c r="B160" s="1371"/>
      <c r="C160" s="1348"/>
      <c r="D160" s="658"/>
      <c r="E160" s="658"/>
      <c r="F160" s="658"/>
      <c r="G160" s="658"/>
      <c r="H160" s="658"/>
      <c r="I160" s="1296"/>
      <c r="J160" s="363" t="s">
        <v>813</v>
      </c>
      <c r="K160" s="457">
        <v>2000000</v>
      </c>
      <c r="L160" s="365"/>
      <c r="M160" s="361"/>
      <c r="N160" s="365"/>
      <c r="O160" s="686"/>
    </row>
    <row r="161" spans="1:15" s="366" customFormat="1" ht="15.6" x14ac:dyDescent="0.3">
      <c r="A161" s="388"/>
      <c r="B161" s="459" t="s">
        <v>852</v>
      </c>
      <c r="C161" s="387" t="s">
        <v>1105</v>
      </c>
      <c r="D161" s="365"/>
      <c r="E161" s="365"/>
      <c r="F161" s="365"/>
      <c r="G161" s="365"/>
      <c r="H161" s="365"/>
      <c r="I161" s="452" t="s">
        <v>1314</v>
      </c>
      <c r="J161" s="363" t="s">
        <v>613</v>
      </c>
      <c r="K161" s="364">
        <v>80000</v>
      </c>
      <c r="L161" s="365"/>
      <c r="M161" s="361"/>
      <c r="N161" s="365"/>
      <c r="O161" s="1280" t="s">
        <v>968</v>
      </c>
    </row>
    <row r="162" spans="1:15" s="366" customFormat="1" ht="15.6" x14ac:dyDescent="0.3">
      <c r="A162" s="388"/>
      <c r="B162" s="459" t="s">
        <v>855</v>
      </c>
      <c r="C162" s="387" t="s">
        <v>1105</v>
      </c>
      <c r="D162" s="365"/>
      <c r="E162" s="365"/>
      <c r="F162" s="365"/>
      <c r="G162" s="365"/>
      <c r="H162" s="365"/>
      <c r="I162" s="452" t="s">
        <v>1315</v>
      </c>
      <c r="J162" s="363" t="s">
        <v>613</v>
      </c>
      <c r="K162" s="364">
        <v>50000</v>
      </c>
      <c r="L162" s="365"/>
      <c r="M162" s="361"/>
      <c r="N162" s="365"/>
      <c r="O162" s="1282"/>
    </row>
    <row r="163" spans="1:15" s="366" customFormat="1" ht="15.6" x14ac:dyDescent="0.3">
      <c r="A163" s="388"/>
      <c r="B163" s="459" t="s">
        <v>858</v>
      </c>
      <c r="C163" s="387" t="s">
        <v>1105</v>
      </c>
      <c r="D163" s="365"/>
      <c r="E163" s="365"/>
      <c r="F163" s="365"/>
      <c r="G163" s="365"/>
      <c r="H163" s="365"/>
      <c r="I163" s="452" t="s">
        <v>1316</v>
      </c>
      <c r="J163" s="363" t="s">
        <v>613</v>
      </c>
      <c r="K163" s="364">
        <v>20000</v>
      </c>
      <c r="L163" s="365"/>
      <c r="M163" s="361"/>
      <c r="N163" s="365"/>
      <c r="O163" s="1283"/>
    </row>
    <row r="164" spans="1:15" s="433" customFormat="1" ht="18" x14ac:dyDescent="0.35">
      <c r="A164" s="425">
        <v>14</v>
      </c>
      <c r="B164" s="426" t="s">
        <v>559</v>
      </c>
      <c r="C164" s="427"/>
      <c r="D164" s="428"/>
      <c r="E164" s="428"/>
      <c r="F164" s="428"/>
      <c r="G164" s="428"/>
      <c r="H164" s="428"/>
      <c r="I164" s="429" t="s">
        <v>1349</v>
      </c>
      <c r="J164" s="430"/>
      <c r="K164" s="431">
        <f>K167+K168+K170+K169+K165+K166</f>
        <v>2510229</v>
      </c>
      <c r="L164" s="428"/>
      <c r="M164" s="431">
        <f>M167+M168+M170+M169+M165+M166</f>
        <v>0</v>
      </c>
      <c r="N164" s="428"/>
      <c r="O164" s="432"/>
    </row>
    <row r="165" spans="1:15" s="433" customFormat="1" ht="18" x14ac:dyDescent="0.35">
      <c r="A165" s="425"/>
      <c r="B165" s="521" t="s">
        <v>709</v>
      </c>
      <c r="C165" s="692" t="s">
        <v>1101</v>
      </c>
      <c r="D165" s="365"/>
      <c r="E165" s="365"/>
      <c r="F165" s="365"/>
      <c r="G165" s="365"/>
      <c r="H165" s="365"/>
      <c r="I165" s="452" t="s">
        <v>1268</v>
      </c>
      <c r="J165" s="363" t="s">
        <v>586</v>
      </c>
      <c r="K165" s="364">
        <v>100000</v>
      </c>
      <c r="L165" s="428"/>
      <c r="M165" s="431"/>
      <c r="N165" s="428"/>
      <c r="O165" s="520"/>
    </row>
    <row r="166" spans="1:15" s="433" customFormat="1" ht="18" x14ac:dyDescent="0.35">
      <c r="A166" s="425"/>
      <c r="B166" s="466" t="s">
        <v>712</v>
      </c>
      <c r="C166" s="692" t="s">
        <v>1101</v>
      </c>
      <c r="D166" s="365"/>
      <c r="E166" s="365"/>
      <c r="F166" s="365"/>
      <c r="G166" s="365"/>
      <c r="H166" s="365"/>
      <c r="I166" s="452" t="s">
        <v>1361</v>
      </c>
      <c r="J166" s="363" t="s">
        <v>586</v>
      </c>
      <c r="K166" s="464">
        <f>3500000-1429771</f>
        <v>2070229</v>
      </c>
      <c r="L166" s="428"/>
      <c r="M166" s="431"/>
      <c r="N166" s="428"/>
      <c r="O166" s="520"/>
    </row>
    <row r="167" spans="1:15" s="366" customFormat="1" ht="15.6" x14ac:dyDescent="0.3">
      <c r="A167" s="388"/>
      <c r="B167" s="534" t="s">
        <v>715</v>
      </c>
      <c r="C167" s="692" t="s">
        <v>1101</v>
      </c>
      <c r="D167" s="365"/>
      <c r="E167" s="365"/>
      <c r="F167" s="365"/>
      <c r="G167" s="365"/>
      <c r="H167" s="365"/>
      <c r="I167" s="452" t="s">
        <v>1269</v>
      </c>
      <c r="J167" s="363" t="s">
        <v>586</v>
      </c>
      <c r="K167" s="364">
        <v>200000</v>
      </c>
      <c r="L167" s="365"/>
      <c r="M167" s="365"/>
      <c r="N167" s="365"/>
      <c r="O167" s="1380" t="s">
        <v>151</v>
      </c>
    </row>
    <row r="168" spans="1:15" s="366" customFormat="1" ht="15.6" x14ac:dyDescent="0.3">
      <c r="A168" s="388"/>
      <c r="B168" s="459" t="s">
        <v>718</v>
      </c>
      <c r="C168" s="692" t="s">
        <v>1101</v>
      </c>
      <c r="D168" s="365"/>
      <c r="E168" s="365"/>
      <c r="F168" s="365"/>
      <c r="G168" s="365"/>
      <c r="H168" s="365"/>
      <c r="I168" s="452" t="s">
        <v>1270</v>
      </c>
      <c r="J168" s="363" t="s">
        <v>586</v>
      </c>
      <c r="K168" s="369">
        <v>40000</v>
      </c>
      <c r="L168" s="365"/>
      <c r="M168" s="365"/>
      <c r="N168" s="365"/>
      <c r="O168" s="1381"/>
    </row>
    <row r="169" spans="1:15" s="366" customFormat="1" ht="15.6" x14ac:dyDescent="0.3">
      <c r="A169" s="388"/>
      <c r="B169" s="521" t="s">
        <v>1205</v>
      </c>
      <c r="C169" s="692" t="s">
        <v>1101</v>
      </c>
      <c r="D169" s="365"/>
      <c r="E169" s="365"/>
      <c r="F169" s="365"/>
      <c r="G169" s="365"/>
      <c r="H169" s="365"/>
      <c r="I169" s="484" t="s">
        <v>1271</v>
      </c>
      <c r="J169" s="389" t="s">
        <v>586</v>
      </c>
      <c r="K169" s="485">
        <v>100000</v>
      </c>
      <c r="L169" s="365"/>
      <c r="M169" s="580"/>
      <c r="N169" s="365"/>
      <c r="O169" s="581"/>
    </row>
    <row r="170" spans="1:15" s="366" customFormat="1" ht="15.6" hidden="1" x14ac:dyDescent="0.3">
      <c r="A170" s="388"/>
      <c r="B170" s="521" t="s">
        <v>1205</v>
      </c>
      <c r="C170" s="692" t="s">
        <v>1159</v>
      </c>
      <c r="D170" s="365"/>
      <c r="E170" s="365"/>
      <c r="F170" s="365"/>
      <c r="G170" s="365"/>
      <c r="H170" s="365"/>
      <c r="I170" s="389" t="s">
        <v>1206</v>
      </c>
      <c r="J170" s="389" t="s">
        <v>813</v>
      </c>
      <c r="K170" s="582"/>
      <c r="L170" s="365"/>
      <c r="M170" s="486"/>
      <c r="N170" s="365"/>
      <c r="O170" s="686" t="s">
        <v>1136</v>
      </c>
    </row>
    <row r="171" spans="1:15" ht="21" x14ac:dyDescent="0.4">
      <c r="A171" s="401"/>
      <c r="B171" s="402" t="s">
        <v>1149</v>
      </c>
      <c r="C171" s="403"/>
      <c r="D171" s="401"/>
      <c r="E171" s="401"/>
      <c r="F171" s="401"/>
      <c r="G171" s="401"/>
      <c r="H171" s="401"/>
      <c r="I171" s="404"/>
      <c r="J171" s="405"/>
      <c r="K171" s="671">
        <f>K21+K34+K36+K47+K58+K65+K67+K71+K77+K83+K110+K120+K145+K164</f>
        <v>413267760.97000009</v>
      </c>
      <c r="L171" s="401"/>
      <c r="M171" s="406">
        <f>M21+M34+M36+M47+M58+M65+M67+M71+M77+M83+M110+M120+M145+M164</f>
        <v>70614527.61999999</v>
      </c>
      <c r="N171" s="400"/>
      <c r="O171" s="400"/>
    </row>
    <row r="172" spans="1:15" ht="15.6" x14ac:dyDescent="0.3">
      <c r="A172" s="146"/>
      <c r="B172" s="146"/>
      <c r="C172" s="146"/>
      <c r="D172" s="146"/>
      <c r="E172" s="146"/>
      <c r="F172" s="146"/>
      <c r="G172" s="146"/>
      <c r="H172" s="146"/>
      <c r="I172" s="358"/>
      <c r="J172" s="360"/>
      <c r="K172" s="672"/>
      <c r="L172" s="146"/>
      <c r="M172" s="146"/>
      <c r="N172" s="146"/>
      <c r="O172" s="146"/>
    </row>
    <row r="173" spans="1:15" s="375" customFormat="1" ht="31.2" x14ac:dyDescent="0.3">
      <c r="A173" s="1382">
        <v>1</v>
      </c>
      <c r="B173" s="1366" t="s">
        <v>1355</v>
      </c>
      <c r="C173" s="395" t="s">
        <v>1110</v>
      </c>
      <c r="D173" s="396"/>
      <c r="E173" s="396"/>
      <c r="F173" s="396"/>
      <c r="G173" s="396"/>
      <c r="H173" s="396"/>
      <c r="I173" s="397" t="s">
        <v>1287</v>
      </c>
      <c r="J173" s="371"/>
      <c r="K173" s="421">
        <f>K174+K175</f>
        <v>573397.05000000005</v>
      </c>
      <c r="L173" s="373"/>
      <c r="M173" s="421">
        <f>M174+M175</f>
        <v>97767.78</v>
      </c>
      <c r="N173" s="373"/>
      <c r="O173" s="374" t="s">
        <v>151</v>
      </c>
    </row>
    <row r="174" spans="1:15" s="375" customFormat="1" ht="15.6" x14ac:dyDescent="0.3">
      <c r="A174" s="1383"/>
      <c r="B174" s="1367"/>
      <c r="C174" s="390"/>
      <c r="D174" s="394"/>
      <c r="E174" s="394"/>
      <c r="F174" s="394"/>
      <c r="G174" s="394"/>
      <c r="H174" s="394"/>
      <c r="I174" s="391"/>
      <c r="J174" s="371" t="s">
        <v>162</v>
      </c>
      <c r="K174" s="372">
        <f>541284-2.95</f>
        <v>541281.05000000005</v>
      </c>
      <c r="L174" s="378"/>
      <c r="M174" s="379">
        <f>18151.56+5481.77+24149.77+5376.57+8916.96+27412.56+8278.59</f>
        <v>97767.78</v>
      </c>
      <c r="N174" s="378"/>
      <c r="O174" s="380"/>
    </row>
    <row r="175" spans="1:15" s="375" customFormat="1" ht="76.5" customHeight="1" x14ac:dyDescent="0.3">
      <c r="A175" s="1384"/>
      <c r="B175" s="1368"/>
      <c r="C175" s="392"/>
      <c r="D175" s="377"/>
      <c r="E175" s="377"/>
      <c r="F175" s="377"/>
      <c r="G175" s="377"/>
      <c r="H175" s="377"/>
      <c r="I175" s="393"/>
      <c r="J175" s="371" t="s">
        <v>586</v>
      </c>
      <c r="K175" s="372">
        <v>32116</v>
      </c>
      <c r="L175" s="378"/>
      <c r="M175" s="379"/>
      <c r="N175" s="378"/>
      <c r="O175" s="380"/>
    </row>
    <row r="176" spans="1:15" s="375" customFormat="1" ht="46.8" x14ac:dyDescent="0.3">
      <c r="A176" s="702">
        <v>2</v>
      </c>
      <c r="B176" s="584" t="s">
        <v>1104</v>
      </c>
      <c r="C176" s="704" t="s">
        <v>1103</v>
      </c>
      <c r="D176" s="586"/>
      <c r="E176" s="586"/>
      <c r="F176" s="586"/>
      <c r="G176" s="586"/>
      <c r="H176" s="586"/>
      <c r="I176" s="587" t="s">
        <v>1265</v>
      </c>
      <c r="J176" s="371" t="s">
        <v>528</v>
      </c>
      <c r="K176" s="421">
        <f>87107200-24.78</f>
        <v>87107175.219999999</v>
      </c>
      <c r="L176" s="588"/>
      <c r="M176" s="589">
        <f>14417772.06</f>
        <v>14417772.060000001</v>
      </c>
      <c r="N176" s="588"/>
      <c r="O176" s="374" t="s">
        <v>151</v>
      </c>
    </row>
    <row r="177" spans="1:16" s="366" customFormat="1" ht="49.5" customHeight="1" x14ac:dyDescent="0.3">
      <c r="A177" s="702">
        <v>3</v>
      </c>
      <c r="B177" s="590" t="s">
        <v>645</v>
      </c>
      <c r="C177" s="395" t="s">
        <v>1086</v>
      </c>
      <c r="D177" s="591"/>
      <c r="E177" s="592"/>
      <c r="F177" s="592"/>
      <c r="G177" s="592"/>
      <c r="H177" s="593"/>
      <c r="I177" s="594" t="s">
        <v>1245</v>
      </c>
      <c r="J177" s="371" t="s">
        <v>586</v>
      </c>
      <c r="K177" s="421">
        <f>147000+58.82-130391.82</f>
        <v>16667</v>
      </c>
      <c r="L177" s="375"/>
      <c r="M177" s="361"/>
      <c r="N177" s="373"/>
      <c r="O177" s="595" t="s">
        <v>151</v>
      </c>
    </row>
    <row r="178" spans="1:16" s="375" customFormat="1" ht="33" customHeight="1" x14ac:dyDescent="0.3">
      <c r="A178" s="596">
        <v>4</v>
      </c>
      <c r="B178" s="423" t="s">
        <v>893</v>
      </c>
      <c r="C178" s="395" t="s">
        <v>1090</v>
      </c>
      <c r="D178" s="597"/>
      <c r="E178" s="597"/>
      <c r="F178" s="597"/>
      <c r="G178" s="597"/>
      <c r="H178" s="597"/>
      <c r="I178" s="477" t="s">
        <v>1323</v>
      </c>
      <c r="J178" s="371" t="s">
        <v>764</v>
      </c>
      <c r="K178" s="453">
        <f>1241900-44</f>
        <v>1241856</v>
      </c>
      <c r="M178" s="598"/>
      <c r="N178" s="373"/>
      <c r="O178" s="595" t="s">
        <v>1084</v>
      </c>
      <c r="P178" s="599"/>
    </row>
    <row r="179" spans="1:16" s="375" customFormat="1" ht="46.8" x14ac:dyDescent="0.3">
      <c r="A179" s="596">
        <v>5</v>
      </c>
      <c r="B179" s="423" t="s">
        <v>896</v>
      </c>
      <c r="C179" s="395" t="s">
        <v>1091</v>
      </c>
      <c r="D179" s="597"/>
      <c r="E179" s="597"/>
      <c r="F179" s="597"/>
      <c r="G179" s="597"/>
      <c r="H179" s="597"/>
      <c r="I179" s="477" t="s">
        <v>1324</v>
      </c>
      <c r="J179" s="371" t="s">
        <v>764</v>
      </c>
      <c r="K179" s="453">
        <f>55100-2.48</f>
        <v>55097.52</v>
      </c>
      <c r="M179" s="598"/>
      <c r="N179" s="373"/>
      <c r="O179" s="595" t="s">
        <v>1084</v>
      </c>
      <c r="P179" s="599"/>
    </row>
    <row r="180" spans="1:16" s="375" customFormat="1" ht="15.6" x14ac:dyDescent="0.3">
      <c r="A180" s="1375">
        <v>6</v>
      </c>
      <c r="B180" s="1385" t="s">
        <v>873</v>
      </c>
      <c r="C180" s="704" t="s">
        <v>1090</v>
      </c>
      <c r="D180" s="597"/>
      <c r="E180" s="597"/>
      <c r="F180" s="597"/>
      <c r="G180" s="597"/>
      <c r="H180" s="597"/>
      <c r="I180" s="477" t="s">
        <v>1327</v>
      </c>
      <c r="J180" s="371"/>
      <c r="K180" s="453">
        <f>K181+K182</f>
        <v>1750191.15</v>
      </c>
      <c r="M180" s="453">
        <f>M181+M182</f>
        <v>325425.44000000006</v>
      </c>
      <c r="N180" s="588"/>
      <c r="O180" s="595" t="s">
        <v>1084</v>
      </c>
      <c r="P180" s="600"/>
    </row>
    <row r="181" spans="1:16" s="375" customFormat="1" ht="15.6" x14ac:dyDescent="0.3">
      <c r="A181" s="1364"/>
      <c r="B181" s="1386"/>
      <c r="C181" s="1388"/>
      <c r="D181" s="597"/>
      <c r="E181" s="597"/>
      <c r="F181" s="597"/>
      <c r="G181" s="597"/>
      <c r="H181" s="597"/>
      <c r="I181" s="1389"/>
      <c r="J181" s="371" t="s">
        <v>162</v>
      </c>
      <c r="K181" s="457">
        <f>1635414-8.85</f>
        <v>1635405.15</v>
      </c>
      <c r="M181" s="601">
        <f>43749.18+352.62+26090+4450+14249.64+13428.56+119347.71+44706.09</f>
        <v>266373.80000000005</v>
      </c>
      <c r="N181" s="588"/>
      <c r="O181" s="595"/>
      <c r="P181" s="600"/>
    </row>
    <row r="182" spans="1:16" s="375" customFormat="1" ht="15.6" x14ac:dyDescent="0.3">
      <c r="A182" s="1365"/>
      <c r="B182" s="1387"/>
      <c r="C182" s="1379"/>
      <c r="D182" s="597"/>
      <c r="E182" s="597"/>
      <c r="F182" s="597"/>
      <c r="G182" s="597"/>
      <c r="H182" s="597"/>
      <c r="I182" s="1390"/>
      <c r="J182" s="371" t="s">
        <v>586</v>
      </c>
      <c r="K182" s="457">
        <v>114786</v>
      </c>
      <c r="M182" s="601">
        <f>26250+4000+28801.64</f>
        <v>59051.64</v>
      </c>
      <c r="N182" s="588"/>
      <c r="O182" s="595"/>
      <c r="P182" s="600"/>
    </row>
    <row r="183" spans="1:16" s="375" customFormat="1" ht="46.8" x14ac:dyDescent="0.3">
      <c r="A183" s="596">
        <v>7</v>
      </c>
      <c r="B183" s="602" t="s">
        <v>899</v>
      </c>
      <c r="C183" s="704" t="s">
        <v>1090</v>
      </c>
      <c r="D183" s="603"/>
      <c r="E183" s="586"/>
      <c r="F183" s="586"/>
      <c r="G183" s="586"/>
      <c r="H183" s="604"/>
      <c r="I183" s="477" t="s">
        <v>1325</v>
      </c>
      <c r="J183" s="371" t="s">
        <v>764</v>
      </c>
      <c r="K183" s="453">
        <f>15024600+54.55</f>
        <v>15024654.550000001</v>
      </c>
      <c r="M183" s="589">
        <f>1902501+372964.26+186482.16</f>
        <v>2461947.42</v>
      </c>
      <c r="N183" s="588"/>
      <c r="O183" s="595" t="s">
        <v>1084</v>
      </c>
      <c r="P183" s="599"/>
    </row>
    <row r="184" spans="1:16" s="366" customFormat="1" ht="31.2" hidden="1" x14ac:dyDescent="0.3">
      <c r="A184" s="596">
        <v>8</v>
      </c>
      <c r="B184" s="605" t="s">
        <v>1032</v>
      </c>
      <c r="C184" s="395" t="s">
        <v>1111</v>
      </c>
      <c r="D184" s="592"/>
      <c r="E184" s="592"/>
      <c r="F184" s="592"/>
      <c r="G184" s="592"/>
      <c r="H184" s="592"/>
      <c r="I184" s="477" t="s">
        <v>1112</v>
      </c>
      <c r="J184" s="371" t="s">
        <v>586</v>
      </c>
      <c r="K184" s="453"/>
      <c r="M184" s="598"/>
      <c r="O184" s="595" t="s">
        <v>151</v>
      </c>
    </row>
    <row r="185" spans="1:16" s="366" customFormat="1" ht="31.2" hidden="1" x14ac:dyDescent="0.3">
      <c r="A185" s="596">
        <v>8</v>
      </c>
      <c r="B185" s="423"/>
      <c r="C185" s="395"/>
      <c r="D185" s="592"/>
      <c r="E185" s="592"/>
      <c r="F185" s="592"/>
      <c r="G185" s="592"/>
      <c r="H185" s="592"/>
      <c r="I185" s="477"/>
      <c r="J185" s="371"/>
      <c r="K185" s="453"/>
      <c r="M185" s="598"/>
      <c r="O185" s="595" t="s">
        <v>151</v>
      </c>
    </row>
    <row r="186" spans="1:16" s="366" customFormat="1" ht="31.2" x14ac:dyDescent="0.3">
      <c r="A186" s="702">
        <v>9</v>
      </c>
      <c r="B186" s="606" t="s">
        <v>1365</v>
      </c>
      <c r="C186" s="704" t="s">
        <v>1103</v>
      </c>
      <c r="D186" s="586"/>
      <c r="E186" s="586"/>
      <c r="F186" s="586"/>
      <c r="G186" s="586"/>
      <c r="H186" s="586"/>
      <c r="I186" s="587" t="s">
        <v>1366</v>
      </c>
      <c r="J186" s="371" t="s">
        <v>586</v>
      </c>
      <c r="K186" s="421">
        <v>2300000</v>
      </c>
      <c r="M186" s="598">
        <f>2300000</f>
        <v>2300000</v>
      </c>
      <c r="O186" s="595"/>
    </row>
    <row r="187" spans="1:16" s="366" customFormat="1" ht="62.4" x14ac:dyDescent="0.3">
      <c r="A187" s="702">
        <v>10</v>
      </c>
      <c r="B187" s="606" t="s">
        <v>514</v>
      </c>
      <c r="C187" s="704" t="s">
        <v>1113</v>
      </c>
      <c r="D187" s="586"/>
      <c r="E187" s="586"/>
      <c r="F187" s="586"/>
      <c r="G187" s="586"/>
      <c r="H187" s="586"/>
      <c r="I187" s="587" t="s">
        <v>1292</v>
      </c>
      <c r="J187" s="371" t="s">
        <v>700</v>
      </c>
      <c r="K187" s="421">
        <v>2178000</v>
      </c>
      <c r="M187" s="598"/>
      <c r="O187" s="595" t="s">
        <v>151</v>
      </c>
    </row>
    <row r="188" spans="1:16" s="366" customFormat="1" ht="31.2" x14ac:dyDescent="0.3">
      <c r="A188" s="1363">
        <v>11</v>
      </c>
      <c r="B188" s="1366" t="s">
        <v>1150</v>
      </c>
      <c r="C188" s="395" t="s">
        <v>1130</v>
      </c>
      <c r="D188" s="396"/>
      <c r="E188" s="396"/>
      <c r="F188" s="396"/>
      <c r="G188" s="396"/>
      <c r="H188" s="396"/>
      <c r="I188" s="397" t="s">
        <v>1234</v>
      </c>
      <c r="J188" s="371"/>
      <c r="K188" s="422">
        <f>K189+K190</f>
        <v>584381.05000000005</v>
      </c>
      <c r="L188" s="365"/>
      <c r="M188" s="422">
        <f>M189+M190</f>
        <v>128932.68</v>
      </c>
      <c r="N188" s="365"/>
      <c r="O188" s="374" t="s">
        <v>151</v>
      </c>
    </row>
    <row r="189" spans="1:16" s="366" customFormat="1" ht="15.6" x14ac:dyDescent="0.3">
      <c r="A189" s="1364"/>
      <c r="B189" s="1367"/>
      <c r="C189" s="390"/>
      <c r="D189" s="399"/>
      <c r="E189" s="399"/>
      <c r="F189" s="399"/>
      <c r="G189" s="399"/>
      <c r="H189" s="399"/>
      <c r="I189" s="391"/>
      <c r="J189" s="371" t="s">
        <v>162</v>
      </c>
      <c r="K189" s="381">
        <f>538299.94-18.95</f>
        <v>538280.99</v>
      </c>
      <c r="L189" s="365"/>
      <c r="M189" s="361">
        <f>25979.4+7845.78+10481.82+35807.18+13979.28+20153.79+6086.43</f>
        <v>120333.68</v>
      </c>
      <c r="N189" s="365"/>
      <c r="O189" s="380"/>
    </row>
    <row r="190" spans="1:16" s="366" customFormat="1" ht="15.6" x14ac:dyDescent="0.3">
      <c r="A190" s="1365"/>
      <c r="B190" s="1368"/>
      <c r="C190" s="392"/>
      <c r="D190" s="370"/>
      <c r="E190" s="370"/>
      <c r="F190" s="370"/>
      <c r="G190" s="370"/>
      <c r="H190" s="370"/>
      <c r="I190" s="398"/>
      <c r="J190" s="371" t="s">
        <v>586</v>
      </c>
      <c r="K190" s="381">
        <v>46100.06</v>
      </c>
      <c r="L190" s="365"/>
      <c r="M190" s="361">
        <v>8599</v>
      </c>
      <c r="N190" s="365"/>
      <c r="O190" s="380"/>
    </row>
    <row r="191" spans="1:16" s="366" customFormat="1" ht="34.799999999999997" x14ac:dyDescent="0.3">
      <c r="A191" s="1375">
        <v>12</v>
      </c>
      <c r="B191" s="607" t="s">
        <v>1215</v>
      </c>
      <c r="C191" s="392"/>
      <c r="D191" s="370"/>
      <c r="E191" s="370"/>
      <c r="F191" s="370"/>
      <c r="G191" s="370"/>
      <c r="H191" s="370"/>
      <c r="I191" s="497"/>
      <c r="J191" s="371"/>
      <c r="K191" s="381"/>
      <c r="L191" s="365"/>
      <c r="M191" s="486"/>
      <c r="N191" s="365"/>
      <c r="O191" s="374"/>
    </row>
    <row r="192" spans="1:16" s="366" customFormat="1" ht="31.2" x14ac:dyDescent="0.3">
      <c r="A192" s="1376"/>
      <c r="B192" s="1377" t="s">
        <v>1216</v>
      </c>
      <c r="C192" s="395" t="s">
        <v>1141</v>
      </c>
      <c r="D192" s="592"/>
      <c r="E192" s="592"/>
      <c r="F192" s="592"/>
      <c r="G192" s="592"/>
      <c r="H192" s="592"/>
      <c r="I192" s="594" t="s">
        <v>1279</v>
      </c>
      <c r="J192" s="371"/>
      <c r="K192" s="422">
        <f>K193+K194</f>
        <v>573397.1</v>
      </c>
      <c r="L192" s="365"/>
      <c r="M192" s="422">
        <f>M193+M194</f>
        <v>129705.44</v>
      </c>
      <c r="N192" s="365"/>
      <c r="O192" s="374" t="s">
        <v>151</v>
      </c>
    </row>
    <row r="193" spans="1:15" s="366" customFormat="1" ht="15.6" x14ac:dyDescent="0.3">
      <c r="A193" s="1376"/>
      <c r="B193" s="1377"/>
      <c r="C193" s="1378"/>
      <c r="D193" s="592"/>
      <c r="E193" s="592"/>
      <c r="F193" s="592"/>
      <c r="G193" s="592"/>
      <c r="H193" s="592"/>
      <c r="I193" s="1392"/>
      <c r="J193" s="371" t="s">
        <v>162</v>
      </c>
      <c r="K193" s="381">
        <f>539686.9-2.9</f>
        <v>539684</v>
      </c>
      <c r="L193" s="365"/>
      <c r="M193" s="361">
        <f>29652.04+8954.91+3932.34+57670.74+5700+18604.14</f>
        <v>124514.17</v>
      </c>
      <c r="N193" s="365"/>
      <c r="O193" s="380"/>
    </row>
    <row r="194" spans="1:15" s="366" customFormat="1" ht="15.6" x14ac:dyDescent="0.3">
      <c r="A194" s="1376"/>
      <c r="B194" s="1377"/>
      <c r="C194" s="1379"/>
      <c r="D194" s="592"/>
      <c r="E194" s="592"/>
      <c r="F194" s="592"/>
      <c r="G194" s="592"/>
      <c r="H194" s="592"/>
      <c r="I194" s="1393"/>
      <c r="J194" s="371" t="s">
        <v>586</v>
      </c>
      <c r="K194" s="381">
        <v>33713.1</v>
      </c>
      <c r="L194" s="365"/>
      <c r="M194" s="361">
        <f>1767.46+3423.81</f>
        <v>5191.2700000000004</v>
      </c>
      <c r="N194" s="365"/>
      <c r="O194" s="380"/>
    </row>
    <row r="195" spans="1:15" s="366" customFormat="1" ht="62.4" x14ac:dyDescent="0.3">
      <c r="A195" s="1376"/>
      <c r="B195" s="608" t="s">
        <v>1217</v>
      </c>
      <c r="C195" s="395" t="s">
        <v>1142</v>
      </c>
      <c r="D195" s="592"/>
      <c r="E195" s="592"/>
      <c r="F195" s="592"/>
      <c r="G195" s="592"/>
      <c r="H195" s="592"/>
      <c r="I195" s="594" t="s">
        <v>1305</v>
      </c>
      <c r="J195" s="371" t="s">
        <v>613</v>
      </c>
      <c r="K195" s="422">
        <f>43977400-56.79</f>
        <v>43977343.210000001</v>
      </c>
      <c r="L195" s="365"/>
      <c r="M195" s="598">
        <f>2619427.54+595333.96+2415772.19+683972.58+2501762.64+714093.95</f>
        <v>9530362.8599999994</v>
      </c>
      <c r="N195" s="365"/>
      <c r="O195" s="1350" t="s">
        <v>968</v>
      </c>
    </row>
    <row r="196" spans="1:15" s="366" customFormat="1" ht="15.6" x14ac:dyDescent="0.3">
      <c r="A196" s="1376"/>
      <c r="B196" s="1377" t="s">
        <v>1218</v>
      </c>
      <c r="C196" s="395" t="s">
        <v>1105</v>
      </c>
      <c r="D196" s="592"/>
      <c r="E196" s="592"/>
      <c r="F196" s="592"/>
      <c r="G196" s="592"/>
      <c r="H196" s="592"/>
      <c r="I196" s="594" t="s">
        <v>1313</v>
      </c>
      <c r="J196" s="371"/>
      <c r="K196" s="422">
        <f>K197+K198</f>
        <v>155831249.56999999</v>
      </c>
      <c r="L196" s="365"/>
      <c r="M196" s="422">
        <f>M197+M198</f>
        <v>35074808.939999998</v>
      </c>
      <c r="N196" s="365"/>
      <c r="O196" s="1394"/>
    </row>
    <row r="197" spans="1:15" s="366" customFormat="1" ht="15.6" x14ac:dyDescent="0.3">
      <c r="A197" s="1376"/>
      <c r="B197" s="1377"/>
      <c r="C197" s="1388"/>
      <c r="D197" s="592"/>
      <c r="E197" s="592"/>
      <c r="F197" s="592"/>
      <c r="G197" s="592"/>
      <c r="H197" s="592"/>
      <c r="I197" s="1395"/>
      <c r="J197" s="371" t="s">
        <v>586</v>
      </c>
      <c r="K197" s="381"/>
      <c r="L197" s="365"/>
      <c r="M197" s="361"/>
      <c r="N197" s="365"/>
      <c r="O197" s="1394"/>
    </row>
    <row r="198" spans="1:15" s="366" customFormat="1" ht="15.6" x14ac:dyDescent="0.3">
      <c r="A198" s="1376"/>
      <c r="B198" s="1377"/>
      <c r="C198" s="1379"/>
      <c r="D198" s="592"/>
      <c r="E198" s="592"/>
      <c r="F198" s="592"/>
      <c r="G198" s="592"/>
      <c r="H198" s="592"/>
      <c r="I198" s="1393"/>
      <c r="J198" s="371" t="s">
        <v>613</v>
      </c>
      <c r="K198" s="381">
        <f>155831300-50.43</f>
        <v>155831249.56999999</v>
      </c>
      <c r="L198" s="365"/>
      <c r="M198" s="361">
        <f>9004508.92+591141.05+12556560.11+488552.18+11893748.58+540298.1</f>
        <v>35074808.939999998</v>
      </c>
      <c r="N198" s="365"/>
      <c r="O198" s="1394"/>
    </row>
    <row r="199" spans="1:15" s="366" customFormat="1" ht="15.6" x14ac:dyDescent="0.3">
      <c r="A199" s="1376"/>
      <c r="B199" s="1377" t="s">
        <v>1368</v>
      </c>
      <c r="C199" s="395" t="s">
        <v>1145</v>
      </c>
      <c r="D199" s="592"/>
      <c r="E199" s="592"/>
      <c r="F199" s="592"/>
      <c r="G199" s="592"/>
      <c r="H199" s="592"/>
      <c r="I199" s="594" t="s">
        <v>1326</v>
      </c>
      <c r="J199" s="371"/>
      <c r="K199" s="422">
        <f>K200+K201</f>
        <v>7075422.9199999999</v>
      </c>
      <c r="L199" s="365"/>
      <c r="M199" s="422">
        <f>M200+M201</f>
        <v>2185033.37</v>
      </c>
      <c r="N199" s="365"/>
      <c r="O199" s="1394"/>
    </row>
    <row r="200" spans="1:15" s="366" customFormat="1" ht="15.6" x14ac:dyDescent="0.3">
      <c r="A200" s="1376"/>
      <c r="B200" s="1377"/>
      <c r="C200" s="1388"/>
      <c r="D200" s="592"/>
      <c r="E200" s="592"/>
      <c r="F200" s="592"/>
      <c r="G200" s="592"/>
      <c r="H200" s="592"/>
      <c r="I200" s="1395"/>
      <c r="J200" s="371" t="s">
        <v>764</v>
      </c>
      <c r="K200" s="381">
        <f>7075400+22.92-4825000</f>
        <v>2250422.92</v>
      </c>
      <c r="L200" s="365"/>
      <c r="M200" s="361">
        <f>615180.58</f>
        <v>615180.57999999996</v>
      </c>
      <c r="N200" s="365"/>
      <c r="O200" s="1394"/>
    </row>
    <row r="201" spans="1:15" s="366" customFormat="1" ht="15.6" x14ac:dyDescent="0.3">
      <c r="A201" s="1376"/>
      <c r="B201" s="1377"/>
      <c r="C201" s="1379"/>
      <c r="D201" s="592"/>
      <c r="E201" s="592"/>
      <c r="F201" s="592"/>
      <c r="G201" s="592"/>
      <c r="H201" s="592"/>
      <c r="I201" s="1393"/>
      <c r="J201" s="371" t="s">
        <v>613</v>
      </c>
      <c r="K201" s="381">
        <v>4825000</v>
      </c>
      <c r="L201" s="365"/>
      <c r="M201" s="361">
        <f>1295117.99+274734.8</f>
        <v>1569852.79</v>
      </c>
      <c r="N201" s="365"/>
      <c r="O201" s="1394"/>
    </row>
    <row r="202" spans="1:15" s="366" customFormat="1" ht="46.8" hidden="1" x14ac:dyDescent="0.3">
      <c r="A202" s="1376"/>
      <c r="B202" s="608" t="s">
        <v>1220</v>
      </c>
      <c r="C202" s="703" t="s">
        <v>1105</v>
      </c>
      <c r="D202" s="592"/>
      <c r="E202" s="592"/>
      <c r="F202" s="592"/>
      <c r="G202" s="592"/>
      <c r="H202" s="592"/>
      <c r="I202" s="610" t="s">
        <v>1189</v>
      </c>
      <c r="J202" s="371" t="s">
        <v>613</v>
      </c>
      <c r="K202" s="422"/>
      <c r="L202" s="365"/>
      <c r="M202" s="598"/>
      <c r="N202" s="365"/>
      <c r="O202" s="1394"/>
    </row>
    <row r="203" spans="1:15" s="366" customFormat="1" ht="15.6" x14ac:dyDescent="0.3">
      <c r="A203" s="1376"/>
      <c r="B203" s="1377" t="s">
        <v>1221</v>
      </c>
      <c r="C203" s="703" t="s">
        <v>1143</v>
      </c>
      <c r="D203" s="592"/>
      <c r="E203" s="592"/>
      <c r="F203" s="592"/>
      <c r="G203" s="592"/>
      <c r="H203" s="592"/>
      <c r="I203" s="610" t="s">
        <v>1319</v>
      </c>
      <c r="J203" s="371"/>
      <c r="K203" s="422">
        <f>K204+K205</f>
        <v>1361130</v>
      </c>
      <c r="L203" s="365"/>
      <c r="M203" s="422">
        <f>M204+M205</f>
        <v>0</v>
      </c>
      <c r="N203" s="365"/>
      <c r="O203" s="1394"/>
    </row>
    <row r="204" spans="1:15" s="366" customFormat="1" ht="15.6" x14ac:dyDescent="0.3">
      <c r="A204" s="1376"/>
      <c r="B204" s="1377"/>
      <c r="C204" s="703"/>
      <c r="D204" s="592"/>
      <c r="E204" s="592"/>
      <c r="F204" s="592"/>
      <c r="G204" s="592"/>
      <c r="H204" s="592"/>
      <c r="I204" s="610"/>
      <c r="J204" s="371" t="s">
        <v>764</v>
      </c>
      <c r="K204" s="381"/>
      <c r="L204" s="365"/>
      <c r="M204" s="361"/>
      <c r="N204" s="365"/>
      <c r="O204" s="1394"/>
    </row>
    <row r="205" spans="1:15" s="366" customFormat="1" ht="15.6" x14ac:dyDescent="0.3">
      <c r="A205" s="1376"/>
      <c r="B205" s="1377"/>
      <c r="C205" s="703"/>
      <c r="D205" s="592"/>
      <c r="E205" s="592"/>
      <c r="F205" s="592"/>
      <c r="G205" s="592"/>
      <c r="H205" s="592"/>
      <c r="I205" s="610"/>
      <c r="J205" s="371" t="s">
        <v>613</v>
      </c>
      <c r="K205" s="381">
        <f>1361000+130</f>
        <v>1361130</v>
      </c>
      <c r="L205" s="365"/>
      <c r="M205" s="361"/>
      <c r="N205" s="365"/>
      <c r="O205" s="1394"/>
    </row>
    <row r="206" spans="1:15" s="366" customFormat="1" ht="15.6" hidden="1" x14ac:dyDescent="0.3">
      <c r="A206" s="1376"/>
      <c r="B206" s="608" t="s">
        <v>1222</v>
      </c>
      <c r="C206" s="550" t="s">
        <v>1190</v>
      </c>
      <c r="D206" s="592"/>
      <c r="E206" s="592"/>
      <c r="F206" s="592"/>
      <c r="G206" s="592"/>
      <c r="H206" s="592"/>
      <c r="I206" s="611" t="s">
        <v>1191</v>
      </c>
      <c r="J206" s="397" t="s">
        <v>613</v>
      </c>
      <c r="K206" s="612"/>
      <c r="L206" s="365"/>
      <c r="M206" s="613"/>
      <c r="N206" s="365"/>
      <c r="O206" s="1394"/>
    </row>
    <row r="207" spans="1:15" s="713" customFormat="1" ht="46.8" x14ac:dyDescent="0.3">
      <c r="A207" s="1376"/>
      <c r="B207" s="608" t="s">
        <v>1223</v>
      </c>
      <c r="C207" s="550" t="s">
        <v>1142</v>
      </c>
      <c r="D207" s="592"/>
      <c r="E207" s="592"/>
      <c r="F207" s="592"/>
      <c r="G207" s="592"/>
      <c r="H207" s="592"/>
      <c r="I207" s="611" t="s">
        <v>1371</v>
      </c>
      <c r="J207" s="397" t="s">
        <v>700</v>
      </c>
      <c r="K207" s="710">
        <f>1929041.48+80226.97</f>
        <v>2009268.45</v>
      </c>
      <c r="L207" s="365"/>
      <c r="M207" s="613">
        <f>1929041.48+80226.97</f>
        <v>2009268.45</v>
      </c>
      <c r="N207" s="712"/>
      <c r="O207" s="1394"/>
    </row>
    <row r="208" spans="1:15" s="366" customFormat="1" ht="46.8" hidden="1" x14ac:dyDescent="0.3">
      <c r="A208" s="1376"/>
      <c r="B208" s="608" t="s">
        <v>1224</v>
      </c>
      <c r="C208" s="550" t="s">
        <v>1105</v>
      </c>
      <c r="D208" s="592"/>
      <c r="E208" s="592"/>
      <c r="F208" s="592"/>
      <c r="G208" s="592"/>
      <c r="H208" s="592"/>
      <c r="I208" s="611" t="s">
        <v>1193</v>
      </c>
      <c r="J208" s="397" t="s">
        <v>613</v>
      </c>
      <c r="K208" s="612"/>
      <c r="L208" s="365"/>
      <c r="M208" s="613"/>
      <c r="N208" s="365"/>
      <c r="O208" s="1352"/>
    </row>
    <row r="209" spans="1:15" s="366" customFormat="1" ht="17.399999999999999" x14ac:dyDescent="0.3">
      <c r="A209" s="1365"/>
      <c r="B209" s="614" t="s">
        <v>483</v>
      </c>
      <c r="C209" s="615"/>
      <c r="D209" s="616"/>
      <c r="E209" s="616"/>
      <c r="F209" s="616"/>
      <c r="G209" s="616"/>
      <c r="H209" s="616"/>
      <c r="I209" s="617"/>
      <c r="J209" s="371"/>
      <c r="K209" s="422">
        <f>K192+K195+K196+K199+K202+K203+K206+K207+K208</f>
        <v>210827811.24999997</v>
      </c>
      <c r="L209" s="618"/>
      <c r="M209" s="422">
        <f>M192+M195+M196+M199+M202+M203+M206+M207+M208</f>
        <v>48929179.059999995</v>
      </c>
      <c r="N209" s="365"/>
      <c r="O209" s="619"/>
    </row>
    <row r="210" spans="1:15" s="366" customFormat="1" ht="36" hidden="1" x14ac:dyDescent="0.35">
      <c r="A210" s="701">
        <v>13</v>
      </c>
      <c r="B210" s="620" t="s">
        <v>1164</v>
      </c>
      <c r="C210" s="395" t="s">
        <v>1109</v>
      </c>
      <c r="D210" s="592"/>
      <c r="E210" s="592"/>
      <c r="F210" s="592"/>
      <c r="G210" s="592"/>
      <c r="H210" s="592"/>
      <c r="I210" s="611"/>
      <c r="J210" s="397"/>
      <c r="K210" s="612">
        <f>K211+K212+K213</f>
        <v>0</v>
      </c>
      <c r="L210" s="618"/>
      <c r="M210" s="612"/>
      <c r="N210" s="365"/>
      <c r="O210" s="432" t="s">
        <v>151</v>
      </c>
    </row>
    <row r="211" spans="1:15" s="366" customFormat="1" ht="46.8" hidden="1" x14ac:dyDescent="0.3">
      <c r="A211" s="701">
        <v>14</v>
      </c>
      <c r="B211" s="621" t="s">
        <v>1165</v>
      </c>
      <c r="C211" s="395" t="s">
        <v>1109</v>
      </c>
      <c r="D211" s="592"/>
      <c r="E211" s="592"/>
      <c r="F211" s="592"/>
      <c r="G211" s="592"/>
      <c r="H211" s="592"/>
      <c r="I211" s="611" t="s">
        <v>1166</v>
      </c>
      <c r="J211" s="397" t="s">
        <v>700</v>
      </c>
      <c r="K211" s="612"/>
      <c r="L211" s="618"/>
      <c r="M211" s="622"/>
      <c r="N211" s="365"/>
      <c r="O211" s="619"/>
    </row>
    <row r="212" spans="1:15" s="366" customFormat="1" ht="31.2" hidden="1" x14ac:dyDescent="0.3">
      <c r="A212" s="701">
        <v>15</v>
      </c>
      <c r="B212" s="466" t="s">
        <v>1176</v>
      </c>
      <c r="C212" s="451" t="s">
        <v>1109</v>
      </c>
      <c r="I212" s="531" t="s">
        <v>1177</v>
      </c>
      <c r="J212" s="397" t="s">
        <v>700</v>
      </c>
      <c r="K212" s="612"/>
      <c r="L212" s="618"/>
      <c r="M212" s="622"/>
      <c r="N212" s="365"/>
      <c r="O212" s="619"/>
    </row>
    <row r="213" spans="1:15" s="366" customFormat="1" ht="15.6" hidden="1" x14ac:dyDescent="0.3">
      <c r="A213" s="701">
        <v>16</v>
      </c>
      <c r="B213" s="521" t="s">
        <v>1207</v>
      </c>
      <c r="C213" s="451" t="s">
        <v>1111</v>
      </c>
      <c r="I213" s="531" t="s">
        <v>1208</v>
      </c>
      <c r="J213" s="397" t="s">
        <v>764</v>
      </c>
      <c r="K213" s="612"/>
      <c r="L213" s="618"/>
      <c r="M213" s="612"/>
      <c r="N213" s="365"/>
      <c r="O213" s="619"/>
    </row>
    <row r="214" spans="1:15" s="366" customFormat="1" ht="16.5" hidden="1" customHeight="1" x14ac:dyDescent="0.35">
      <c r="A214" s="701">
        <v>17</v>
      </c>
      <c r="B214" s="623" t="s">
        <v>322</v>
      </c>
      <c r="C214" s="451" t="s">
        <v>1159</v>
      </c>
      <c r="I214" s="531" t="s">
        <v>1178</v>
      </c>
      <c r="J214" s="397" t="s">
        <v>813</v>
      </c>
      <c r="K214" s="612"/>
      <c r="L214" s="618"/>
      <c r="M214" s="612"/>
      <c r="N214" s="365"/>
      <c r="O214" s="448" t="s">
        <v>1179</v>
      </c>
    </row>
    <row r="215" spans="1:15" s="366" customFormat="1" ht="46.5" hidden="1" customHeight="1" x14ac:dyDescent="0.3">
      <c r="A215" s="701">
        <v>18</v>
      </c>
      <c r="B215" s="466" t="s">
        <v>1199</v>
      </c>
      <c r="C215" s="451" t="s">
        <v>1103</v>
      </c>
      <c r="I215" s="531" t="s">
        <v>1200</v>
      </c>
      <c r="J215" s="397" t="s">
        <v>586</v>
      </c>
      <c r="K215" s="612"/>
      <c r="L215" s="618"/>
      <c r="M215" s="612"/>
      <c r="N215" s="365"/>
      <c r="O215" s="432" t="s">
        <v>151</v>
      </c>
    </row>
    <row r="216" spans="1:15" s="474" customFormat="1" ht="46.5" customHeight="1" x14ac:dyDescent="0.3">
      <c r="A216" s="624">
        <v>13</v>
      </c>
      <c r="B216" s="423" t="s">
        <v>601</v>
      </c>
      <c r="C216" s="550" t="s">
        <v>1227</v>
      </c>
      <c r="I216" s="611" t="s">
        <v>1228</v>
      </c>
      <c r="J216" s="397" t="s">
        <v>586</v>
      </c>
      <c r="K216" s="612">
        <f>24200-13.73</f>
        <v>24186.27</v>
      </c>
      <c r="L216" s="625"/>
      <c r="M216" s="612"/>
      <c r="N216" s="476"/>
      <c r="O216" s="432"/>
    </row>
    <row r="217" spans="1:15" s="474" customFormat="1" ht="46.5" customHeight="1" x14ac:dyDescent="0.3">
      <c r="A217" s="624">
        <v>14</v>
      </c>
      <c r="B217" s="416" t="s">
        <v>1369</v>
      </c>
      <c r="C217" s="550" t="s">
        <v>1109</v>
      </c>
      <c r="I217" s="611" t="s">
        <v>1370</v>
      </c>
      <c r="J217" s="397" t="s">
        <v>700</v>
      </c>
      <c r="K217" s="612">
        <v>7065202.5899999999</v>
      </c>
      <c r="L217" s="625"/>
      <c r="M217" s="612">
        <f>2660770.7</f>
        <v>2660770.7000000002</v>
      </c>
      <c r="N217" s="476"/>
      <c r="O217" s="432"/>
    </row>
    <row r="218" spans="1:15" ht="21" x14ac:dyDescent="0.4">
      <c r="A218" s="410"/>
      <c r="B218" s="402" t="s">
        <v>1151</v>
      </c>
      <c r="C218" s="411"/>
      <c r="D218" s="411"/>
      <c r="E218" s="411"/>
      <c r="F218" s="411"/>
      <c r="G218" s="411"/>
      <c r="H218" s="411"/>
      <c r="I218" s="412"/>
      <c r="J218" s="413"/>
      <c r="K218" s="676">
        <f>K173+K176+K177+K178+K179+K180+K183+K184+K185+K187+K188+K209+K210+K212+K214+K215+K216+K186+K217</f>
        <v>328748619.64999992</v>
      </c>
      <c r="L218" s="408"/>
      <c r="M218" s="407">
        <f>M173+M176+M177+M178+M179+M180+M183+M184+M185+M187+M188+M209+M210+M212+M214+M215+M216+M186+M217</f>
        <v>71321795.140000001</v>
      </c>
      <c r="N218" s="354"/>
      <c r="O218" s="354"/>
    </row>
    <row r="219" spans="1:15" ht="46.8" x14ac:dyDescent="0.3">
      <c r="A219" s="444">
        <v>1</v>
      </c>
      <c r="B219" s="423" t="s">
        <v>513</v>
      </c>
      <c r="C219" s="395" t="s">
        <v>1113</v>
      </c>
      <c r="D219" s="592"/>
      <c r="E219" s="592"/>
      <c r="F219" s="592"/>
      <c r="G219" s="592"/>
      <c r="H219" s="592"/>
      <c r="I219" s="477" t="s">
        <v>1291</v>
      </c>
      <c r="J219" s="371" t="s">
        <v>700</v>
      </c>
      <c r="K219" s="673">
        <f>4356000+1089000</f>
        <v>5445000</v>
      </c>
      <c r="L219" s="366"/>
      <c r="M219" s="598"/>
      <c r="N219" s="366"/>
      <c r="O219" s="595" t="s">
        <v>151</v>
      </c>
    </row>
    <row r="220" spans="1:15" ht="35.25" customHeight="1" x14ac:dyDescent="0.4">
      <c r="A220" s="444">
        <v>2</v>
      </c>
      <c r="B220" s="348" t="s">
        <v>1378</v>
      </c>
      <c r="C220" s="351" t="s">
        <v>1130</v>
      </c>
      <c r="I220" s="357" t="s">
        <v>1379</v>
      </c>
      <c r="J220" s="415" t="s">
        <v>586</v>
      </c>
      <c r="K220" s="711">
        <v>638410.07999999996</v>
      </c>
      <c r="L220" s="408"/>
      <c r="M220" s="443"/>
      <c r="N220" s="354"/>
      <c r="O220" s="342" t="s">
        <v>151</v>
      </c>
    </row>
    <row r="221" spans="1:15" ht="1.5" hidden="1" customHeight="1" x14ac:dyDescent="0.4">
      <c r="A221" s="444">
        <v>2</v>
      </c>
      <c r="B221" s="115" t="s">
        <v>1210</v>
      </c>
      <c r="C221" s="351" t="s">
        <v>1105</v>
      </c>
      <c r="I221" s="357" t="s">
        <v>1211</v>
      </c>
      <c r="J221" s="415" t="s">
        <v>613</v>
      </c>
      <c r="K221" s="679"/>
      <c r="L221" s="408"/>
      <c r="M221" s="440"/>
      <c r="N221" s="354"/>
      <c r="O221" s="342" t="s">
        <v>1152</v>
      </c>
    </row>
    <row r="222" spans="1:15" ht="32.25" customHeight="1" x14ac:dyDescent="0.4">
      <c r="A222" s="410"/>
      <c r="B222" s="402" t="s">
        <v>1212</v>
      </c>
      <c r="C222" s="411"/>
      <c r="D222" s="411"/>
      <c r="E222" s="411"/>
      <c r="F222" s="411"/>
      <c r="G222" s="411"/>
      <c r="H222" s="411"/>
      <c r="I222" s="413"/>
      <c r="J222" s="413"/>
      <c r="K222" s="680">
        <f>K219+K221+K220</f>
        <v>6083410.0800000001</v>
      </c>
      <c r="L222" s="408"/>
      <c r="M222" s="680">
        <f>M219+M221+M220</f>
        <v>0</v>
      </c>
      <c r="N222" s="354"/>
      <c r="O222" s="354"/>
    </row>
    <row r="225" spans="1:15" ht="18" x14ac:dyDescent="0.35">
      <c r="A225" s="331" t="s">
        <v>1380</v>
      </c>
      <c r="B225" s="331"/>
      <c r="C225" s="331"/>
      <c r="D225" s="331"/>
      <c r="E225" s="331"/>
      <c r="F225" s="331"/>
      <c r="G225" s="331"/>
      <c r="H225" s="331"/>
      <c r="I225" s="355"/>
      <c r="J225" s="355"/>
      <c r="K225" s="681"/>
      <c r="L225" s="355"/>
      <c r="M225" s="331"/>
      <c r="N225" s="331"/>
      <c r="O225" s="331"/>
    </row>
    <row r="226" spans="1:15" ht="18" x14ac:dyDescent="0.35">
      <c r="A226" s="331" t="s">
        <v>1155</v>
      </c>
      <c r="B226" s="331"/>
      <c r="C226" s="331"/>
      <c r="D226" s="331"/>
      <c r="E226" s="331"/>
      <c r="F226" s="331"/>
      <c r="G226" s="331"/>
      <c r="H226" s="331"/>
      <c r="I226" s="355"/>
      <c r="J226" s="355"/>
      <c r="K226" s="681"/>
      <c r="L226" s="355"/>
      <c r="M226" s="331"/>
      <c r="N226" s="1391" t="s">
        <v>958</v>
      </c>
      <c r="O226" s="1391"/>
    </row>
    <row r="227" spans="1:15" ht="18" x14ac:dyDescent="0.35">
      <c r="A227" s="331"/>
      <c r="B227" s="331"/>
      <c r="C227" s="331"/>
      <c r="D227" s="331"/>
      <c r="E227" s="331"/>
      <c r="F227" s="331"/>
      <c r="G227" s="331"/>
      <c r="H227" s="331"/>
      <c r="I227" s="355"/>
      <c r="J227" s="355"/>
      <c r="K227" s="681"/>
      <c r="L227" s="355"/>
      <c r="M227" s="331"/>
      <c r="N227" s="331"/>
      <c r="O227" s="331"/>
    </row>
    <row r="228" spans="1:15" ht="18" x14ac:dyDescent="0.35">
      <c r="A228" s="331" t="s">
        <v>1156</v>
      </c>
      <c r="B228" s="331" t="s">
        <v>1157</v>
      </c>
      <c r="C228" s="331"/>
      <c r="D228" s="331"/>
      <c r="E228" s="331"/>
      <c r="F228" s="331"/>
      <c r="G228" s="331"/>
      <c r="H228" s="331"/>
      <c r="I228" s="355"/>
      <c r="J228" s="355"/>
      <c r="K228" s="681"/>
      <c r="L228" s="355"/>
      <c r="M228" s="331"/>
      <c r="N228" s="331"/>
      <c r="O228" s="331"/>
    </row>
    <row r="229" spans="1:15" ht="18" x14ac:dyDescent="0.35">
      <c r="A229" s="331"/>
      <c r="B229" s="331" t="s">
        <v>960</v>
      </c>
      <c r="C229" s="331"/>
      <c r="D229" s="331"/>
      <c r="E229" s="331"/>
      <c r="F229" s="331"/>
      <c r="G229" s="331"/>
      <c r="H229" s="331"/>
      <c r="I229" s="355"/>
      <c r="J229" s="355"/>
      <c r="K229" s="681"/>
      <c r="L229" s="355"/>
      <c r="M229" s="331"/>
      <c r="N229" s="331"/>
      <c r="O229" s="331"/>
    </row>
    <row r="231" spans="1:15" ht="15.6" x14ac:dyDescent="0.3">
      <c r="A231" s="420"/>
      <c r="B231" s="414"/>
      <c r="C231" s="417"/>
      <c r="D231" s="336"/>
      <c r="E231" s="336"/>
      <c r="F231" s="336"/>
      <c r="G231" s="336"/>
      <c r="H231" s="336"/>
      <c r="I231" s="418"/>
      <c r="J231" s="418"/>
      <c r="K231" s="367"/>
    </row>
    <row r="234" spans="1:15" ht="15.6" x14ac:dyDescent="0.3">
      <c r="B234" s="414"/>
      <c r="C234" s="417"/>
      <c r="D234" s="336"/>
      <c r="E234" s="336"/>
      <c r="F234" s="336"/>
      <c r="G234" s="336"/>
      <c r="H234" s="336"/>
      <c r="I234" s="418"/>
      <c r="J234" s="418"/>
      <c r="K234" s="582"/>
      <c r="L234" s="336"/>
      <c r="M234" s="336"/>
    </row>
    <row r="235" spans="1:15" x14ac:dyDescent="0.3">
      <c r="B235" s="336"/>
      <c r="C235" s="336"/>
      <c r="D235" s="336"/>
      <c r="E235" s="336"/>
      <c r="F235" s="336"/>
      <c r="G235" s="336"/>
      <c r="H235" s="336"/>
      <c r="I235" s="336"/>
      <c r="J235" s="336"/>
      <c r="K235" s="367"/>
      <c r="L235" s="336"/>
      <c r="M235" s="336"/>
    </row>
  </sheetData>
  <mergeCells count="107">
    <mergeCell ref="A140:A143"/>
    <mergeCell ref="B140:B143"/>
    <mergeCell ref="O121:O123"/>
    <mergeCell ref="O125:O144"/>
    <mergeCell ref="C141:C143"/>
    <mergeCell ref="I141:I143"/>
    <mergeCell ref="O146:O159"/>
    <mergeCell ref="C158:C160"/>
    <mergeCell ref="I158:I160"/>
    <mergeCell ref="B158:B160"/>
    <mergeCell ref="A132:A133"/>
    <mergeCell ref="B132:B133"/>
    <mergeCell ref="C132:C133"/>
    <mergeCell ref="I132:I133"/>
    <mergeCell ref="A136:A139"/>
    <mergeCell ref="B136:B139"/>
    <mergeCell ref="C137:C139"/>
    <mergeCell ref="I137:I139"/>
    <mergeCell ref="O111:O114"/>
    <mergeCell ref="O115:O116"/>
    <mergeCell ref="B116:B117"/>
    <mergeCell ref="I116:I117"/>
    <mergeCell ref="B51:B52"/>
    <mergeCell ref="I51:I52"/>
    <mergeCell ref="O92:O96"/>
    <mergeCell ref="B96:B98"/>
    <mergeCell ref="C97:C98"/>
    <mergeCell ref="I97:I98"/>
    <mergeCell ref="O72:O74"/>
    <mergeCell ref="O78:O81"/>
    <mergeCell ref="B84:B87"/>
    <mergeCell ref="O84:O90"/>
    <mergeCell ref="B90:B91"/>
    <mergeCell ref="C90:C91"/>
    <mergeCell ref="A29:A30"/>
    <mergeCell ref="B29:B30"/>
    <mergeCell ref="I29:I30"/>
    <mergeCell ref="O43:O46"/>
    <mergeCell ref="O49:O55"/>
    <mergeCell ref="O62:O64"/>
    <mergeCell ref="O68:O69"/>
    <mergeCell ref="A99:A102"/>
    <mergeCell ref="B99:B102"/>
    <mergeCell ref="O99:O108"/>
    <mergeCell ref="A84:A87"/>
    <mergeCell ref="O31:O32"/>
    <mergeCell ref="O37:O40"/>
    <mergeCell ref="I90:I91"/>
    <mergeCell ref="A92:A95"/>
    <mergeCell ref="B92:B95"/>
    <mergeCell ref="I17:I20"/>
    <mergeCell ref="J17:J20"/>
    <mergeCell ref="K17:K20"/>
    <mergeCell ref="O22:O29"/>
    <mergeCell ref="L17:L19"/>
    <mergeCell ref="M17:M20"/>
    <mergeCell ref="N17:N19"/>
    <mergeCell ref="O17:P17"/>
    <mergeCell ref="O18:O20"/>
    <mergeCell ref="P18:P20"/>
    <mergeCell ref="M2:O2"/>
    <mergeCell ref="M3:O3"/>
    <mergeCell ref="B22:B23"/>
    <mergeCell ref="C22:C23"/>
    <mergeCell ref="I22:I23"/>
    <mergeCell ref="A7:B7"/>
    <mergeCell ref="A2:B2"/>
    <mergeCell ref="A3:B3"/>
    <mergeCell ref="A4:B4"/>
    <mergeCell ref="A5:B5"/>
    <mergeCell ref="A6:B6"/>
    <mergeCell ref="A8:B8"/>
    <mergeCell ref="I8:O8"/>
    <mergeCell ref="A9:B9"/>
    <mergeCell ref="I9:O9"/>
    <mergeCell ref="A10:B10"/>
    <mergeCell ref="I10:O10"/>
    <mergeCell ref="A11:B11"/>
    <mergeCell ref="I11:O11"/>
    <mergeCell ref="A12:B12"/>
    <mergeCell ref="A14:O14"/>
    <mergeCell ref="A17:A20"/>
    <mergeCell ref="B17:B20"/>
    <mergeCell ref="C17:C20"/>
    <mergeCell ref="A188:A190"/>
    <mergeCell ref="B188:B190"/>
    <mergeCell ref="A191:A209"/>
    <mergeCell ref="B192:B194"/>
    <mergeCell ref="C193:C194"/>
    <mergeCell ref="O161:O163"/>
    <mergeCell ref="O167:O168"/>
    <mergeCell ref="A173:A175"/>
    <mergeCell ref="B173:B175"/>
    <mergeCell ref="A180:A182"/>
    <mergeCell ref="B180:B182"/>
    <mergeCell ref="C181:C182"/>
    <mergeCell ref="I181:I182"/>
    <mergeCell ref="N226:O226"/>
    <mergeCell ref="I193:I194"/>
    <mergeCell ref="O195:O208"/>
    <mergeCell ref="B196:B198"/>
    <mergeCell ref="C197:C198"/>
    <mergeCell ref="I197:I198"/>
    <mergeCell ref="B199:B201"/>
    <mergeCell ref="C200:C201"/>
    <mergeCell ref="I200:I201"/>
    <mergeCell ref="B203:B205"/>
  </mergeCells>
  <hyperlinks>
    <hyperlink ref="A8" r:id="rId1" display="mailto:rfo-skv@mail.ru"/>
  </hyperlinks>
  <pageMargins left="0.70866141732283472" right="0.70866141732283472" top="0.74803149606299213" bottom="0.74803149606299213" header="0.31496062992125984" footer="0.31496062992125984"/>
  <pageSetup paperSize="9" scale="58"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4"/>
  <sheetViews>
    <sheetView topLeftCell="A10" workbookViewId="0">
      <selection activeCell="C17" sqref="C17"/>
    </sheetView>
  </sheetViews>
  <sheetFormatPr defaultRowHeight="14.4" x14ac:dyDescent="0.3"/>
  <cols>
    <col min="1" max="1" width="27.6640625" style="119" customWidth="1"/>
    <col min="2" max="2" width="50.44140625" style="119" customWidth="1"/>
    <col min="3" max="3" width="21.44140625" style="119" customWidth="1"/>
    <col min="4" max="4" width="19.88671875" customWidth="1"/>
    <col min="5" max="5" width="18.5546875" customWidth="1"/>
    <col min="257" max="257" width="27.6640625" customWidth="1"/>
    <col min="258" max="258" width="50.44140625" customWidth="1"/>
    <col min="259" max="259" width="21.44140625" customWidth="1"/>
    <col min="260" max="260" width="19.88671875" customWidth="1"/>
    <col min="261" max="261" width="18.5546875" customWidth="1"/>
    <col min="513" max="513" width="27.6640625" customWidth="1"/>
    <col min="514" max="514" width="50.44140625" customWidth="1"/>
    <col min="515" max="515" width="21.44140625" customWidth="1"/>
    <col min="516" max="516" width="19.88671875" customWidth="1"/>
    <col min="517" max="517" width="18.5546875" customWidth="1"/>
    <col min="769" max="769" width="27.6640625" customWidth="1"/>
    <col min="770" max="770" width="50.44140625" customWidth="1"/>
    <col min="771" max="771" width="21.44140625" customWidth="1"/>
    <col min="772" max="772" width="19.88671875" customWidth="1"/>
    <col min="773" max="773" width="18.5546875" customWidth="1"/>
    <col min="1025" max="1025" width="27.6640625" customWidth="1"/>
    <col min="1026" max="1026" width="50.44140625" customWidth="1"/>
    <col min="1027" max="1027" width="21.44140625" customWidth="1"/>
    <col min="1028" max="1028" width="19.88671875" customWidth="1"/>
    <col min="1029" max="1029" width="18.5546875" customWidth="1"/>
    <col min="1281" max="1281" width="27.6640625" customWidth="1"/>
    <col min="1282" max="1282" width="50.44140625" customWidth="1"/>
    <col min="1283" max="1283" width="21.44140625" customWidth="1"/>
    <col min="1284" max="1284" width="19.88671875" customWidth="1"/>
    <col min="1285" max="1285" width="18.5546875" customWidth="1"/>
    <col min="1537" max="1537" width="27.6640625" customWidth="1"/>
    <col min="1538" max="1538" width="50.44140625" customWidth="1"/>
    <col min="1539" max="1539" width="21.44140625" customWidth="1"/>
    <col min="1540" max="1540" width="19.88671875" customWidth="1"/>
    <col min="1541" max="1541" width="18.5546875" customWidth="1"/>
    <col min="1793" max="1793" width="27.6640625" customWidth="1"/>
    <col min="1794" max="1794" width="50.44140625" customWidth="1"/>
    <col min="1795" max="1795" width="21.44140625" customWidth="1"/>
    <col min="1796" max="1796" width="19.88671875" customWidth="1"/>
    <col min="1797" max="1797" width="18.5546875" customWidth="1"/>
    <col min="2049" max="2049" width="27.6640625" customWidth="1"/>
    <col min="2050" max="2050" width="50.44140625" customWidth="1"/>
    <col min="2051" max="2051" width="21.44140625" customWidth="1"/>
    <col min="2052" max="2052" width="19.88671875" customWidth="1"/>
    <col min="2053" max="2053" width="18.5546875" customWidth="1"/>
    <col min="2305" max="2305" width="27.6640625" customWidth="1"/>
    <col min="2306" max="2306" width="50.44140625" customWidth="1"/>
    <col min="2307" max="2307" width="21.44140625" customWidth="1"/>
    <col min="2308" max="2308" width="19.88671875" customWidth="1"/>
    <col min="2309" max="2309" width="18.5546875" customWidth="1"/>
    <col min="2561" max="2561" width="27.6640625" customWidth="1"/>
    <col min="2562" max="2562" width="50.44140625" customWidth="1"/>
    <col min="2563" max="2563" width="21.44140625" customWidth="1"/>
    <col min="2564" max="2564" width="19.88671875" customWidth="1"/>
    <col min="2565" max="2565" width="18.5546875" customWidth="1"/>
    <col min="2817" max="2817" width="27.6640625" customWidth="1"/>
    <col min="2818" max="2818" width="50.44140625" customWidth="1"/>
    <col min="2819" max="2819" width="21.44140625" customWidth="1"/>
    <col min="2820" max="2820" width="19.88671875" customWidth="1"/>
    <col min="2821" max="2821" width="18.5546875" customWidth="1"/>
    <col min="3073" max="3073" width="27.6640625" customWidth="1"/>
    <col min="3074" max="3074" width="50.44140625" customWidth="1"/>
    <col min="3075" max="3075" width="21.44140625" customWidth="1"/>
    <col min="3076" max="3076" width="19.88671875" customWidth="1"/>
    <col min="3077" max="3077" width="18.5546875" customWidth="1"/>
    <col min="3329" max="3329" width="27.6640625" customWidth="1"/>
    <col min="3330" max="3330" width="50.44140625" customWidth="1"/>
    <col min="3331" max="3331" width="21.44140625" customWidth="1"/>
    <col min="3332" max="3332" width="19.88671875" customWidth="1"/>
    <col min="3333" max="3333" width="18.5546875" customWidth="1"/>
    <col min="3585" max="3585" width="27.6640625" customWidth="1"/>
    <col min="3586" max="3586" width="50.44140625" customWidth="1"/>
    <col min="3587" max="3587" width="21.44140625" customWidth="1"/>
    <col min="3588" max="3588" width="19.88671875" customWidth="1"/>
    <col min="3589" max="3589" width="18.5546875" customWidth="1"/>
    <col min="3841" max="3841" width="27.6640625" customWidth="1"/>
    <col min="3842" max="3842" width="50.44140625" customWidth="1"/>
    <col min="3843" max="3843" width="21.44140625" customWidth="1"/>
    <col min="3844" max="3844" width="19.88671875" customWidth="1"/>
    <col min="3845" max="3845" width="18.5546875" customWidth="1"/>
    <col min="4097" max="4097" width="27.6640625" customWidth="1"/>
    <col min="4098" max="4098" width="50.44140625" customWidth="1"/>
    <col min="4099" max="4099" width="21.44140625" customWidth="1"/>
    <col min="4100" max="4100" width="19.88671875" customWidth="1"/>
    <col min="4101" max="4101" width="18.5546875" customWidth="1"/>
    <col min="4353" max="4353" width="27.6640625" customWidth="1"/>
    <col min="4354" max="4354" width="50.44140625" customWidth="1"/>
    <col min="4355" max="4355" width="21.44140625" customWidth="1"/>
    <col min="4356" max="4356" width="19.88671875" customWidth="1"/>
    <col min="4357" max="4357" width="18.5546875" customWidth="1"/>
    <col min="4609" max="4609" width="27.6640625" customWidth="1"/>
    <col min="4610" max="4610" width="50.44140625" customWidth="1"/>
    <col min="4611" max="4611" width="21.44140625" customWidth="1"/>
    <col min="4612" max="4612" width="19.88671875" customWidth="1"/>
    <col min="4613" max="4613" width="18.5546875" customWidth="1"/>
    <col min="4865" max="4865" width="27.6640625" customWidth="1"/>
    <col min="4866" max="4866" width="50.44140625" customWidth="1"/>
    <col min="4867" max="4867" width="21.44140625" customWidth="1"/>
    <col min="4868" max="4868" width="19.88671875" customWidth="1"/>
    <col min="4869" max="4869" width="18.5546875" customWidth="1"/>
    <col min="5121" max="5121" width="27.6640625" customWidth="1"/>
    <col min="5122" max="5122" width="50.44140625" customWidth="1"/>
    <col min="5123" max="5123" width="21.44140625" customWidth="1"/>
    <col min="5124" max="5124" width="19.88671875" customWidth="1"/>
    <col min="5125" max="5125" width="18.5546875" customWidth="1"/>
    <col min="5377" max="5377" width="27.6640625" customWidth="1"/>
    <col min="5378" max="5378" width="50.44140625" customWidth="1"/>
    <col min="5379" max="5379" width="21.44140625" customWidth="1"/>
    <col min="5380" max="5380" width="19.88671875" customWidth="1"/>
    <col min="5381" max="5381" width="18.5546875" customWidth="1"/>
    <col min="5633" max="5633" width="27.6640625" customWidth="1"/>
    <col min="5634" max="5634" width="50.44140625" customWidth="1"/>
    <col min="5635" max="5635" width="21.44140625" customWidth="1"/>
    <col min="5636" max="5636" width="19.88671875" customWidth="1"/>
    <col min="5637" max="5637" width="18.5546875" customWidth="1"/>
    <col min="5889" max="5889" width="27.6640625" customWidth="1"/>
    <col min="5890" max="5890" width="50.44140625" customWidth="1"/>
    <col min="5891" max="5891" width="21.44140625" customWidth="1"/>
    <col min="5892" max="5892" width="19.88671875" customWidth="1"/>
    <col min="5893" max="5893" width="18.5546875" customWidth="1"/>
    <col min="6145" max="6145" width="27.6640625" customWidth="1"/>
    <col min="6146" max="6146" width="50.44140625" customWidth="1"/>
    <col min="6147" max="6147" width="21.44140625" customWidth="1"/>
    <col min="6148" max="6148" width="19.88671875" customWidth="1"/>
    <col min="6149" max="6149" width="18.5546875" customWidth="1"/>
    <col min="6401" max="6401" width="27.6640625" customWidth="1"/>
    <col min="6402" max="6402" width="50.44140625" customWidth="1"/>
    <col min="6403" max="6403" width="21.44140625" customWidth="1"/>
    <col min="6404" max="6404" width="19.88671875" customWidth="1"/>
    <col min="6405" max="6405" width="18.5546875" customWidth="1"/>
    <col min="6657" max="6657" width="27.6640625" customWidth="1"/>
    <col min="6658" max="6658" width="50.44140625" customWidth="1"/>
    <col min="6659" max="6659" width="21.44140625" customWidth="1"/>
    <col min="6660" max="6660" width="19.88671875" customWidth="1"/>
    <col min="6661" max="6661" width="18.5546875" customWidth="1"/>
    <col min="6913" max="6913" width="27.6640625" customWidth="1"/>
    <col min="6914" max="6914" width="50.44140625" customWidth="1"/>
    <col min="6915" max="6915" width="21.44140625" customWidth="1"/>
    <col min="6916" max="6916" width="19.88671875" customWidth="1"/>
    <col min="6917" max="6917" width="18.5546875" customWidth="1"/>
    <col min="7169" max="7169" width="27.6640625" customWidth="1"/>
    <col min="7170" max="7170" width="50.44140625" customWidth="1"/>
    <col min="7171" max="7171" width="21.44140625" customWidth="1"/>
    <col min="7172" max="7172" width="19.88671875" customWidth="1"/>
    <col min="7173" max="7173" width="18.5546875" customWidth="1"/>
    <col min="7425" max="7425" width="27.6640625" customWidth="1"/>
    <col min="7426" max="7426" width="50.44140625" customWidth="1"/>
    <col min="7427" max="7427" width="21.44140625" customWidth="1"/>
    <col min="7428" max="7428" width="19.88671875" customWidth="1"/>
    <col min="7429" max="7429" width="18.5546875" customWidth="1"/>
    <col min="7681" max="7681" width="27.6640625" customWidth="1"/>
    <col min="7682" max="7682" width="50.44140625" customWidth="1"/>
    <col min="7683" max="7683" width="21.44140625" customWidth="1"/>
    <col min="7684" max="7684" width="19.88671875" customWidth="1"/>
    <col min="7685" max="7685" width="18.5546875" customWidth="1"/>
    <col min="7937" max="7937" width="27.6640625" customWidth="1"/>
    <col min="7938" max="7938" width="50.44140625" customWidth="1"/>
    <col min="7939" max="7939" width="21.44140625" customWidth="1"/>
    <col min="7940" max="7940" width="19.88671875" customWidth="1"/>
    <col min="7941" max="7941" width="18.5546875" customWidth="1"/>
    <col min="8193" max="8193" width="27.6640625" customWidth="1"/>
    <col min="8194" max="8194" width="50.44140625" customWidth="1"/>
    <col min="8195" max="8195" width="21.44140625" customWidth="1"/>
    <col min="8196" max="8196" width="19.88671875" customWidth="1"/>
    <col min="8197" max="8197" width="18.5546875" customWidth="1"/>
    <col min="8449" max="8449" width="27.6640625" customWidth="1"/>
    <col min="8450" max="8450" width="50.44140625" customWidth="1"/>
    <col min="8451" max="8451" width="21.44140625" customWidth="1"/>
    <col min="8452" max="8452" width="19.88671875" customWidth="1"/>
    <col min="8453" max="8453" width="18.5546875" customWidth="1"/>
    <col min="8705" max="8705" width="27.6640625" customWidth="1"/>
    <col min="8706" max="8706" width="50.44140625" customWidth="1"/>
    <col min="8707" max="8707" width="21.44140625" customWidth="1"/>
    <col min="8708" max="8708" width="19.88671875" customWidth="1"/>
    <col min="8709" max="8709" width="18.5546875" customWidth="1"/>
    <col min="8961" max="8961" width="27.6640625" customWidth="1"/>
    <col min="8962" max="8962" width="50.44140625" customWidth="1"/>
    <col min="8963" max="8963" width="21.44140625" customWidth="1"/>
    <col min="8964" max="8964" width="19.88671875" customWidth="1"/>
    <col min="8965" max="8965" width="18.5546875" customWidth="1"/>
    <col min="9217" max="9217" width="27.6640625" customWidth="1"/>
    <col min="9218" max="9218" width="50.44140625" customWidth="1"/>
    <col min="9219" max="9219" width="21.44140625" customWidth="1"/>
    <col min="9220" max="9220" width="19.88671875" customWidth="1"/>
    <col min="9221" max="9221" width="18.5546875" customWidth="1"/>
    <col min="9473" max="9473" width="27.6640625" customWidth="1"/>
    <col min="9474" max="9474" width="50.44140625" customWidth="1"/>
    <col min="9475" max="9475" width="21.44140625" customWidth="1"/>
    <col min="9476" max="9476" width="19.88671875" customWidth="1"/>
    <col min="9477" max="9477" width="18.5546875" customWidth="1"/>
    <col min="9729" max="9729" width="27.6640625" customWidth="1"/>
    <col min="9730" max="9730" width="50.44140625" customWidth="1"/>
    <col min="9731" max="9731" width="21.44140625" customWidth="1"/>
    <col min="9732" max="9732" width="19.88671875" customWidth="1"/>
    <col min="9733" max="9733" width="18.5546875" customWidth="1"/>
    <col min="9985" max="9985" width="27.6640625" customWidth="1"/>
    <col min="9986" max="9986" width="50.44140625" customWidth="1"/>
    <col min="9987" max="9987" width="21.44140625" customWidth="1"/>
    <col min="9988" max="9988" width="19.88671875" customWidth="1"/>
    <col min="9989" max="9989" width="18.5546875" customWidth="1"/>
    <col min="10241" max="10241" width="27.6640625" customWidth="1"/>
    <col min="10242" max="10242" width="50.44140625" customWidth="1"/>
    <col min="10243" max="10243" width="21.44140625" customWidth="1"/>
    <col min="10244" max="10244" width="19.88671875" customWidth="1"/>
    <col min="10245" max="10245" width="18.5546875" customWidth="1"/>
    <col min="10497" max="10497" width="27.6640625" customWidth="1"/>
    <col min="10498" max="10498" width="50.44140625" customWidth="1"/>
    <col min="10499" max="10499" width="21.44140625" customWidth="1"/>
    <col min="10500" max="10500" width="19.88671875" customWidth="1"/>
    <col min="10501" max="10501" width="18.5546875" customWidth="1"/>
    <col min="10753" max="10753" width="27.6640625" customWidth="1"/>
    <col min="10754" max="10754" width="50.44140625" customWidth="1"/>
    <col min="10755" max="10755" width="21.44140625" customWidth="1"/>
    <col min="10756" max="10756" width="19.88671875" customWidth="1"/>
    <col min="10757" max="10757" width="18.5546875" customWidth="1"/>
    <col min="11009" max="11009" width="27.6640625" customWidth="1"/>
    <col min="11010" max="11010" width="50.44140625" customWidth="1"/>
    <col min="11011" max="11011" width="21.44140625" customWidth="1"/>
    <col min="11012" max="11012" width="19.88671875" customWidth="1"/>
    <col min="11013" max="11013" width="18.5546875" customWidth="1"/>
    <col min="11265" max="11265" width="27.6640625" customWidth="1"/>
    <col min="11266" max="11266" width="50.44140625" customWidth="1"/>
    <col min="11267" max="11267" width="21.44140625" customWidth="1"/>
    <col min="11268" max="11268" width="19.88671875" customWidth="1"/>
    <col min="11269" max="11269" width="18.5546875" customWidth="1"/>
    <col min="11521" max="11521" width="27.6640625" customWidth="1"/>
    <col min="11522" max="11522" width="50.44140625" customWidth="1"/>
    <col min="11523" max="11523" width="21.44140625" customWidth="1"/>
    <col min="11524" max="11524" width="19.88671875" customWidth="1"/>
    <col min="11525" max="11525" width="18.5546875" customWidth="1"/>
    <col min="11777" max="11777" width="27.6640625" customWidth="1"/>
    <col min="11778" max="11778" width="50.44140625" customWidth="1"/>
    <col min="11779" max="11779" width="21.44140625" customWidth="1"/>
    <col min="11780" max="11780" width="19.88671875" customWidth="1"/>
    <col min="11781" max="11781" width="18.5546875" customWidth="1"/>
    <col min="12033" max="12033" width="27.6640625" customWidth="1"/>
    <col min="12034" max="12034" width="50.44140625" customWidth="1"/>
    <col min="12035" max="12035" width="21.44140625" customWidth="1"/>
    <col min="12036" max="12036" width="19.88671875" customWidth="1"/>
    <col min="12037" max="12037" width="18.5546875" customWidth="1"/>
    <col min="12289" max="12289" width="27.6640625" customWidth="1"/>
    <col min="12290" max="12290" width="50.44140625" customWidth="1"/>
    <col min="12291" max="12291" width="21.44140625" customWidth="1"/>
    <col min="12292" max="12292" width="19.88671875" customWidth="1"/>
    <col min="12293" max="12293" width="18.5546875" customWidth="1"/>
    <col min="12545" max="12545" width="27.6640625" customWidth="1"/>
    <col min="12546" max="12546" width="50.44140625" customWidth="1"/>
    <col min="12547" max="12547" width="21.44140625" customWidth="1"/>
    <col min="12548" max="12548" width="19.88671875" customWidth="1"/>
    <col min="12549" max="12549" width="18.5546875" customWidth="1"/>
    <col min="12801" max="12801" width="27.6640625" customWidth="1"/>
    <col min="12802" max="12802" width="50.44140625" customWidth="1"/>
    <col min="12803" max="12803" width="21.44140625" customWidth="1"/>
    <col min="12804" max="12804" width="19.88671875" customWidth="1"/>
    <col min="12805" max="12805" width="18.5546875" customWidth="1"/>
    <col min="13057" max="13057" width="27.6640625" customWidth="1"/>
    <col min="13058" max="13058" width="50.44140625" customWidth="1"/>
    <col min="13059" max="13059" width="21.44140625" customWidth="1"/>
    <col min="13060" max="13060" width="19.88671875" customWidth="1"/>
    <col min="13061" max="13061" width="18.5546875" customWidth="1"/>
    <col min="13313" max="13313" width="27.6640625" customWidth="1"/>
    <col min="13314" max="13314" width="50.44140625" customWidth="1"/>
    <col min="13315" max="13315" width="21.44140625" customWidth="1"/>
    <col min="13316" max="13316" width="19.88671875" customWidth="1"/>
    <col min="13317" max="13317" width="18.5546875" customWidth="1"/>
    <col min="13569" max="13569" width="27.6640625" customWidth="1"/>
    <col min="13570" max="13570" width="50.44140625" customWidth="1"/>
    <col min="13571" max="13571" width="21.44140625" customWidth="1"/>
    <col min="13572" max="13572" width="19.88671875" customWidth="1"/>
    <col min="13573" max="13573" width="18.5546875" customWidth="1"/>
    <col min="13825" max="13825" width="27.6640625" customWidth="1"/>
    <col min="13826" max="13826" width="50.44140625" customWidth="1"/>
    <col min="13827" max="13827" width="21.44140625" customWidth="1"/>
    <col min="13828" max="13828" width="19.88671875" customWidth="1"/>
    <col min="13829" max="13829" width="18.5546875" customWidth="1"/>
    <col min="14081" max="14081" width="27.6640625" customWidth="1"/>
    <col min="14082" max="14082" width="50.44140625" customWidth="1"/>
    <col min="14083" max="14083" width="21.44140625" customWidth="1"/>
    <col min="14084" max="14084" width="19.88671875" customWidth="1"/>
    <col min="14085" max="14085" width="18.5546875" customWidth="1"/>
    <col min="14337" max="14337" width="27.6640625" customWidth="1"/>
    <col min="14338" max="14338" width="50.44140625" customWidth="1"/>
    <col min="14339" max="14339" width="21.44140625" customWidth="1"/>
    <col min="14340" max="14340" width="19.88671875" customWidth="1"/>
    <col min="14341" max="14341" width="18.5546875" customWidth="1"/>
    <col min="14593" max="14593" width="27.6640625" customWidth="1"/>
    <col min="14594" max="14594" width="50.44140625" customWidth="1"/>
    <col min="14595" max="14595" width="21.44140625" customWidth="1"/>
    <col min="14596" max="14596" width="19.88671875" customWidth="1"/>
    <col min="14597" max="14597" width="18.5546875" customWidth="1"/>
    <col min="14849" max="14849" width="27.6640625" customWidth="1"/>
    <col min="14850" max="14850" width="50.44140625" customWidth="1"/>
    <col min="14851" max="14851" width="21.44140625" customWidth="1"/>
    <col min="14852" max="14852" width="19.88671875" customWidth="1"/>
    <col min="14853" max="14853" width="18.5546875" customWidth="1"/>
    <col min="15105" max="15105" width="27.6640625" customWidth="1"/>
    <col min="15106" max="15106" width="50.44140625" customWidth="1"/>
    <col min="15107" max="15107" width="21.44140625" customWidth="1"/>
    <col min="15108" max="15108" width="19.88671875" customWidth="1"/>
    <col min="15109" max="15109" width="18.5546875" customWidth="1"/>
    <col min="15361" max="15361" width="27.6640625" customWidth="1"/>
    <col min="15362" max="15362" width="50.44140625" customWidth="1"/>
    <col min="15363" max="15363" width="21.44140625" customWidth="1"/>
    <col min="15364" max="15364" width="19.88671875" customWidth="1"/>
    <col min="15365" max="15365" width="18.5546875" customWidth="1"/>
    <col min="15617" max="15617" width="27.6640625" customWidth="1"/>
    <col min="15618" max="15618" width="50.44140625" customWidth="1"/>
    <col min="15619" max="15619" width="21.44140625" customWidth="1"/>
    <col min="15620" max="15620" width="19.88671875" customWidth="1"/>
    <col min="15621" max="15621" width="18.5546875" customWidth="1"/>
    <col min="15873" max="15873" width="27.6640625" customWidth="1"/>
    <col min="15874" max="15874" width="50.44140625" customWidth="1"/>
    <col min="15875" max="15875" width="21.44140625" customWidth="1"/>
    <col min="15876" max="15876" width="19.88671875" customWidth="1"/>
    <col min="15877" max="15877" width="18.5546875" customWidth="1"/>
    <col min="16129" max="16129" width="27.6640625" customWidth="1"/>
    <col min="16130" max="16130" width="50.44140625" customWidth="1"/>
    <col min="16131" max="16131" width="21.44140625" customWidth="1"/>
    <col min="16132" max="16132" width="19.88671875" customWidth="1"/>
    <col min="16133" max="16133" width="18.5546875" customWidth="1"/>
  </cols>
  <sheetData>
    <row r="1" spans="1:5" ht="15.6" x14ac:dyDescent="0.3">
      <c r="A1" s="1"/>
      <c r="C1" s="120"/>
      <c r="D1" s="120" t="s">
        <v>1058</v>
      </c>
    </row>
    <row r="2" spans="1:5" ht="15.6" x14ac:dyDescent="0.3">
      <c r="A2" s="1"/>
      <c r="C2" s="120"/>
      <c r="D2" s="120" t="s">
        <v>155</v>
      </c>
    </row>
    <row r="3" spans="1:5" ht="15.6" x14ac:dyDescent="0.3">
      <c r="A3" s="1"/>
      <c r="C3" s="120"/>
      <c r="D3" s="120" t="s">
        <v>484</v>
      </c>
    </row>
    <row r="4" spans="1:5" ht="15.6" x14ac:dyDescent="0.3">
      <c r="A4" s="1"/>
      <c r="C4" s="120"/>
      <c r="D4" s="120" t="s">
        <v>1077</v>
      </c>
    </row>
    <row r="5" spans="1:5" ht="15.6" x14ac:dyDescent="0.3">
      <c r="A5" s="1"/>
      <c r="B5" s="95"/>
      <c r="C5" s="105"/>
    </row>
    <row r="6" spans="1:5" ht="15.6" x14ac:dyDescent="0.3">
      <c r="A6" s="1"/>
      <c r="B6" s="95"/>
      <c r="C6" s="105"/>
    </row>
    <row r="7" spans="1:5" ht="15.75" customHeight="1" x14ac:dyDescent="0.3">
      <c r="A7" s="1153" t="s">
        <v>557</v>
      </c>
      <c r="B7" s="1153"/>
      <c r="C7" s="1153"/>
      <c r="D7" s="1153"/>
      <c r="E7" s="1153"/>
    </row>
    <row r="8" spans="1:5" ht="15.6" x14ac:dyDescent="0.3">
      <c r="A8" s="121"/>
      <c r="B8" s="121"/>
      <c r="C8" s="121"/>
    </row>
    <row r="9" spans="1:5" ht="15.6" x14ac:dyDescent="0.3">
      <c r="A9" s="1154" t="s">
        <v>281</v>
      </c>
      <c r="B9" s="1156" t="s">
        <v>6</v>
      </c>
      <c r="C9" s="1158" t="s">
        <v>485</v>
      </c>
      <c r="D9" s="1159"/>
      <c r="E9" s="1160"/>
    </row>
    <row r="10" spans="1:5" ht="15.6" x14ac:dyDescent="0.3">
      <c r="A10" s="1155"/>
      <c r="B10" s="1157"/>
      <c r="C10" s="117">
        <v>2015</v>
      </c>
      <c r="D10" s="122">
        <v>2016</v>
      </c>
      <c r="E10" s="122">
        <v>2017</v>
      </c>
    </row>
    <row r="11" spans="1:5" ht="31.2" x14ac:dyDescent="0.3">
      <c r="A11" s="123" t="s">
        <v>486</v>
      </c>
      <c r="B11" s="124" t="s">
        <v>426</v>
      </c>
      <c r="C11" s="125">
        <f>C12</f>
        <v>4096870.46</v>
      </c>
      <c r="D11" s="125">
        <f>D12+D13</f>
        <v>1216543.28</v>
      </c>
      <c r="E11" s="125">
        <f>E12+E13</f>
        <v>11950203.1</v>
      </c>
    </row>
    <row r="12" spans="1:5" ht="46.8" x14ac:dyDescent="0.3">
      <c r="A12" s="126" t="s">
        <v>487</v>
      </c>
      <c r="B12" s="127" t="s">
        <v>488</v>
      </c>
      <c r="C12" s="125">
        <f>2184870.46+1912000</f>
        <v>4096870.46</v>
      </c>
      <c r="D12" s="128">
        <v>1216543.28</v>
      </c>
      <c r="E12" s="128">
        <v>11950203.1</v>
      </c>
    </row>
    <row r="13" spans="1:5" ht="46.8" x14ac:dyDescent="0.3">
      <c r="A13" s="126" t="s">
        <v>489</v>
      </c>
      <c r="B13" s="127" t="s">
        <v>490</v>
      </c>
      <c r="C13" s="114">
        <v>0</v>
      </c>
      <c r="D13" s="128">
        <v>0</v>
      </c>
      <c r="E13" s="128">
        <v>0</v>
      </c>
    </row>
    <row r="14" spans="1:5" ht="46.8" x14ac:dyDescent="0.3">
      <c r="A14" s="126" t="s">
        <v>491</v>
      </c>
      <c r="B14" s="127" t="s">
        <v>492</v>
      </c>
      <c r="C14" s="114">
        <f>C15+C16</f>
        <v>-956000</v>
      </c>
      <c r="D14" s="114">
        <f>D15+D16</f>
        <v>-719000</v>
      </c>
      <c r="E14" s="114">
        <v>-1272000</v>
      </c>
    </row>
    <row r="15" spans="1:5" ht="62.4" x14ac:dyDescent="0.3">
      <c r="A15" s="126" t="s">
        <v>493</v>
      </c>
      <c r="B15" s="127" t="s">
        <v>494</v>
      </c>
      <c r="C15" s="114">
        <v>0</v>
      </c>
      <c r="D15" s="128">
        <v>0</v>
      </c>
      <c r="E15" s="128">
        <v>0</v>
      </c>
    </row>
    <row r="16" spans="1:5" ht="46.8" x14ac:dyDescent="0.3">
      <c r="A16" s="126" t="s">
        <v>495</v>
      </c>
      <c r="B16" s="127" t="s">
        <v>496</v>
      </c>
      <c r="C16" s="114">
        <v>-956000</v>
      </c>
      <c r="D16" s="128">
        <v>-719000</v>
      </c>
      <c r="E16" s="128">
        <v>-1272000</v>
      </c>
    </row>
    <row r="17" spans="1:5" ht="31.2" x14ac:dyDescent="0.3">
      <c r="A17" s="99" t="s">
        <v>497</v>
      </c>
      <c r="B17" s="91" t="s">
        <v>395</v>
      </c>
      <c r="C17" s="114">
        <v>49873254.969999999</v>
      </c>
      <c r="D17" s="129">
        <v>0</v>
      </c>
      <c r="E17" s="129">
        <v>0</v>
      </c>
    </row>
    <row r="18" spans="1:5" ht="31.2" x14ac:dyDescent="0.3">
      <c r="A18" s="126" t="s">
        <v>498</v>
      </c>
      <c r="B18" s="127" t="s">
        <v>499</v>
      </c>
      <c r="C18" s="114">
        <v>4273986.72</v>
      </c>
      <c r="D18" s="128">
        <v>2593395.52</v>
      </c>
      <c r="E18" s="128">
        <v>103000</v>
      </c>
    </row>
    <row r="19" spans="1:5" ht="62.4" x14ac:dyDescent="0.3">
      <c r="A19" s="130" t="s">
        <v>500</v>
      </c>
      <c r="B19" s="127" t="s">
        <v>501</v>
      </c>
      <c r="C19" s="114">
        <v>0</v>
      </c>
      <c r="D19" s="128">
        <v>0</v>
      </c>
      <c r="E19" s="128">
        <v>0</v>
      </c>
    </row>
    <row r="20" spans="1:5" ht="62.4" x14ac:dyDescent="0.3">
      <c r="A20" s="130" t="s">
        <v>502</v>
      </c>
      <c r="B20" s="127" t="s">
        <v>503</v>
      </c>
      <c r="C20" s="114">
        <v>4273986.72</v>
      </c>
      <c r="D20" s="128">
        <v>2593395.52</v>
      </c>
      <c r="E20" s="128">
        <v>103000</v>
      </c>
    </row>
    <row r="21" spans="1:5" ht="31.2" x14ac:dyDescent="0.3">
      <c r="A21" s="131" t="s">
        <v>459</v>
      </c>
      <c r="B21" s="132" t="s">
        <v>504</v>
      </c>
      <c r="C21" s="114">
        <f>C17+C16+C18+C12</f>
        <v>57288112.149999999</v>
      </c>
      <c r="D21" s="114">
        <f>D12+D16+D18</f>
        <v>3090938.8</v>
      </c>
      <c r="E21" s="114">
        <v>10781203.1</v>
      </c>
    </row>
    <row r="22" spans="1:5" ht="0.75" customHeight="1" x14ac:dyDescent="0.3">
      <c r="A22" s="1161" t="s">
        <v>505</v>
      </c>
      <c r="B22" s="1161"/>
      <c r="C22" s="1161"/>
    </row>
    <row r="23" spans="1:5" x14ac:dyDescent="0.3">
      <c r="B23" s="133" t="s">
        <v>506</v>
      </c>
      <c r="C23" s="134">
        <f>C12+C15+C17+C20</f>
        <v>58244112.149999999</v>
      </c>
      <c r="D23" s="134">
        <f>D12+D15+D17+D20</f>
        <v>3809938.8</v>
      </c>
      <c r="E23" s="134">
        <f>E12+E15+E17+E20</f>
        <v>12053203.1</v>
      </c>
    </row>
    <row r="24" spans="1:5" s="136" customFormat="1" x14ac:dyDescent="0.3">
      <c r="A24" s="119"/>
      <c r="B24" s="135" t="s">
        <v>507</v>
      </c>
      <c r="C24" s="134">
        <f>C13+C16+C19</f>
        <v>-956000</v>
      </c>
      <c r="D24" s="134">
        <f>D13+D16+D19</f>
        <v>-719000</v>
      </c>
      <c r="E24" s="134">
        <f>E13+E16+E19</f>
        <v>-1272000</v>
      </c>
    </row>
    <row r="27" spans="1:5" x14ac:dyDescent="0.3">
      <c r="B27" s="23" t="s">
        <v>508</v>
      </c>
      <c r="C27" s="137">
        <f>-C14+C12</f>
        <v>5052870.46</v>
      </c>
      <c r="D27" s="137">
        <f>-D14+D12</f>
        <v>1935543.28</v>
      </c>
      <c r="E27" s="137">
        <f>-E14+E12</f>
        <v>13222203.1</v>
      </c>
    </row>
    <row r="28" spans="1:5" x14ac:dyDescent="0.3">
      <c r="B28" s="23" t="s">
        <v>509</v>
      </c>
      <c r="C28" s="137">
        <f>-C16+C12+C15+C14</f>
        <v>4096870.46</v>
      </c>
    </row>
    <row r="30" spans="1:5" x14ac:dyDescent="0.3">
      <c r="B30" s="119" t="s">
        <v>1075</v>
      </c>
      <c r="C30" s="119" t="e">
        <f>(#REF!-'п3 доходы'!D50-'п2 источники'!C17)/'п3 доходы'!D51*100</f>
        <v>#REF!</v>
      </c>
      <c r="D30" s="119" t="e">
        <f>(#REF!-'п3 доходы'!E50-'п2 источники'!D17)/'п3 доходы'!E51*100</f>
        <v>#REF!</v>
      </c>
      <c r="E30" s="119" t="e">
        <f>(#REF!-'п3 доходы'!F50-'п2 источники'!E17)/'п3 доходы'!F51*100</f>
        <v>#REF!</v>
      </c>
    </row>
    <row r="31" spans="1:5" x14ac:dyDescent="0.3">
      <c r="C31" s="137"/>
      <c r="D31" s="137"/>
      <c r="E31" s="137"/>
    </row>
    <row r="33" spans="3:3" x14ac:dyDescent="0.3">
      <c r="C33" s="137"/>
    </row>
    <row r="34" spans="3:3" x14ac:dyDescent="0.3">
      <c r="C34" s="137"/>
    </row>
  </sheetData>
  <mergeCells count="5">
    <mergeCell ref="A7:E7"/>
    <mergeCell ref="A9:A10"/>
    <mergeCell ref="B9:B10"/>
    <mergeCell ref="C9:E9"/>
    <mergeCell ref="A22:C22"/>
  </mergeCells>
  <pageMargins left="0.59055118110236227" right="0.19685039370078741" top="0.74803149606299213" bottom="0.74803149606299213" header="0.31496062992125984" footer="0.31496062992125984"/>
  <pageSetup paperSize="9" scale="68"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9"/>
  <sheetViews>
    <sheetView view="pageBreakPreview" topLeftCell="A132" zoomScaleNormal="90" zoomScaleSheetLayoutView="100" workbookViewId="0">
      <selection activeCell="D143" sqref="A143:XFD144"/>
    </sheetView>
  </sheetViews>
  <sheetFormatPr defaultRowHeight="14.4" x14ac:dyDescent="0.3"/>
  <cols>
    <col min="1" max="1" width="8.6640625" customWidth="1"/>
    <col min="2" max="2" width="75.6640625" customWidth="1"/>
    <col min="3" max="3" width="21" customWidth="1"/>
    <col min="4" max="7" width="9.109375" hidden="1" customWidth="1"/>
    <col min="8" max="8" width="5.44140625" hidden="1" customWidth="1"/>
    <col min="9" max="9" width="19.109375" customWidth="1"/>
    <col min="10" max="10" width="12" customWidth="1"/>
    <col min="11" max="11" width="23.5546875" style="366" customWidth="1"/>
    <col min="12" max="12" width="0.33203125" hidden="1" customWidth="1"/>
    <col min="13" max="13" width="26.88671875" customWidth="1"/>
    <col min="14" max="14" width="3" hidden="1" customWidth="1"/>
    <col min="15" max="15" width="37.109375" customWidth="1"/>
    <col min="16" max="16" width="25" hidden="1" customWidth="1"/>
  </cols>
  <sheetData>
    <row r="1" spans="1:15" ht="18" hidden="1" x14ac:dyDescent="0.35">
      <c r="A1" s="331"/>
      <c r="B1" s="714"/>
      <c r="C1" s="330"/>
      <c r="D1" s="330"/>
      <c r="E1" s="728"/>
      <c r="F1" s="331"/>
      <c r="G1" s="331"/>
      <c r="H1" s="331"/>
      <c r="I1" s="352"/>
      <c r="J1" s="352"/>
      <c r="K1" s="666"/>
      <c r="L1" s="352"/>
      <c r="M1" s="352"/>
      <c r="N1" s="352"/>
      <c r="O1" s="353"/>
    </row>
    <row r="2" spans="1:15" ht="18" x14ac:dyDescent="0.35">
      <c r="A2" s="1268" t="s">
        <v>1117</v>
      </c>
      <c r="B2" s="1268"/>
      <c r="C2" s="330"/>
      <c r="D2" s="330"/>
      <c r="E2" s="728"/>
      <c r="F2" s="331"/>
      <c r="G2" s="331"/>
      <c r="H2" s="331"/>
      <c r="I2" s="352"/>
      <c r="J2" s="352"/>
      <c r="K2" s="666"/>
      <c r="L2" s="352" t="s">
        <v>1118</v>
      </c>
      <c r="M2" s="1330" t="s">
        <v>151</v>
      </c>
      <c r="N2" s="1330"/>
      <c r="O2" s="1330"/>
    </row>
    <row r="3" spans="1:15" ht="18" x14ac:dyDescent="0.35">
      <c r="A3" s="1268" t="s">
        <v>1119</v>
      </c>
      <c r="B3" s="1268"/>
      <c r="C3" s="330"/>
      <c r="D3" s="330"/>
      <c r="E3" s="728"/>
      <c r="F3" s="331"/>
      <c r="G3" s="331"/>
      <c r="H3" s="331"/>
      <c r="I3" s="352"/>
      <c r="J3" s="352"/>
      <c r="K3" s="666"/>
      <c r="L3" s="352" t="s">
        <v>1120</v>
      </c>
      <c r="M3" s="1330" t="s">
        <v>1202</v>
      </c>
      <c r="N3" s="1330"/>
      <c r="O3" s="1330"/>
    </row>
    <row r="4" spans="1:15" ht="18" x14ac:dyDescent="0.35">
      <c r="A4" s="1353" t="s">
        <v>1121</v>
      </c>
      <c r="B4" s="1353"/>
      <c r="C4" s="330"/>
      <c r="D4" s="330"/>
      <c r="E4" s="728"/>
      <c r="F4" s="331"/>
      <c r="G4" s="331"/>
      <c r="H4" s="331"/>
      <c r="I4" s="352"/>
      <c r="J4" s="352"/>
      <c r="K4" s="666"/>
      <c r="L4" s="352"/>
      <c r="M4" s="352"/>
      <c r="N4" s="352"/>
      <c r="O4" s="353"/>
    </row>
    <row r="5" spans="1:15" ht="18" x14ac:dyDescent="0.35">
      <c r="A5" s="1353" t="s">
        <v>1122</v>
      </c>
      <c r="B5" s="1353"/>
      <c r="C5" s="330"/>
      <c r="D5" s="330"/>
      <c r="E5" s="728"/>
      <c r="F5" s="331"/>
      <c r="G5" s="331"/>
      <c r="H5" s="331"/>
      <c r="I5" s="352"/>
      <c r="J5" s="352"/>
      <c r="K5" s="666"/>
      <c r="L5" s="352"/>
      <c r="M5" s="352"/>
      <c r="N5" s="352"/>
      <c r="O5" s="353"/>
    </row>
    <row r="6" spans="1:15" ht="21.75" customHeight="1" x14ac:dyDescent="0.35">
      <c r="A6" s="1268" t="s">
        <v>1123</v>
      </c>
      <c r="B6" s="1268"/>
      <c r="C6" s="330"/>
      <c r="D6" s="330"/>
      <c r="E6" s="728"/>
      <c r="F6" s="331"/>
      <c r="G6" s="331"/>
      <c r="H6" s="331"/>
      <c r="I6" s="352"/>
      <c r="J6" s="352"/>
      <c r="K6" s="666"/>
      <c r="L6" s="352"/>
      <c r="M6" s="352"/>
      <c r="N6" s="352"/>
      <c r="O6" s="353"/>
    </row>
    <row r="7" spans="1:15" ht="23.25" customHeight="1" x14ac:dyDescent="0.35">
      <c r="A7" s="1268" t="s">
        <v>1124</v>
      </c>
      <c r="B7" s="1268"/>
      <c r="C7" s="330"/>
      <c r="D7" s="330"/>
      <c r="E7" s="728"/>
      <c r="F7" s="331"/>
      <c r="G7" s="331"/>
      <c r="H7" s="331"/>
      <c r="I7" s="352"/>
      <c r="J7" s="352"/>
      <c r="K7" s="666"/>
      <c r="L7" s="352"/>
      <c r="M7" s="352"/>
      <c r="N7" s="352"/>
      <c r="O7" s="353"/>
    </row>
    <row r="8" spans="1:15" ht="18" x14ac:dyDescent="0.35">
      <c r="A8" s="1309" t="s">
        <v>1125</v>
      </c>
      <c r="B8" s="1309"/>
      <c r="C8" s="330"/>
      <c r="D8" s="330"/>
      <c r="E8" s="728"/>
      <c r="F8" s="331"/>
      <c r="G8" s="331"/>
      <c r="H8" s="331"/>
      <c r="I8" s="1310"/>
      <c r="J8" s="1310"/>
      <c r="K8" s="1310"/>
      <c r="L8" s="1310"/>
      <c r="M8" s="1310"/>
      <c r="N8" s="1310"/>
      <c r="O8" s="1310"/>
    </row>
    <row r="9" spans="1:15" ht="18" x14ac:dyDescent="0.35">
      <c r="A9" s="1268" t="s">
        <v>1126</v>
      </c>
      <c r="B9" s="1268"/>
      <c r="C9" s="330"/>
      <c r="D9" s="330"/>
      <c r="E9" s="728"/>
      <c r="F9" s="331"/>
      <c r="G9" s="331"/>
      <c r="H9" s="331"/>
      <c r="I9" s="1310"/>
      <c r="J9" s="1310"/>
      <c r="K9" s="1310"/>
      <c r="L9" s="1310"/>
      <c r="M9" s="1310"/>
      <c r="N9" s="1310"/>
      <c r="O9" s="1310"/>
    </row>
    <row r="10" spans="1:15" ht="18" x14ac:dyDescent="0.35">
      <c r="A10" s="1268" t="s">
        <v>1127</v>
      </c>
      <c r="B10" s="1268"/>
      <c r="C10" s="330"/>
      <c r="D10" s="330"/>
      <c r="E10" s="728"/>
      <c r="F10" s="331"/>
      <c r="G10" s="331"/>
      <c r="H10" s="331"/>
      <c r="I10" s="1310"/>
      <c r="J10" s="1310"/>
      <c r="K10" s="1310"/>
      <c r="L10" s="1310"/>
      <c r="M10" s="1310"/>
      <c r="N10" s="1310"/>
      <c r="O10" s="1310"/>
    </row>
    <row r="11" spans="1:15" ht="18" x14ac:dyDescent="0.35">
      <c r="A11" s="1268" t="s">
        <v>1392</v>
      </c>
      <c r="B11" s="1268"/>
      <c r="C11" s="330"/>
      <c r="D11" s="330"/>
      <c r="E11" s="728"/>
      <c r="F11" s="331"/>
      <c r="G11" s="331"/>
      <c r="H11" s="331"/>
      <c r="I11" s="1310"/>
      <c r="J11" s="1310"/>
      <c r="K11" s="1310"/>
      <c r="L11" s="1310"/>
      <c r="M11" s="1310"/>
      <c r="N11" s="1310"/>
      <c r="O11" s="1310"/>
    </row>
    <row r="12" spans="1:15" ht="18" x14ac:dyDescent="0.35">
      <c r="A12" s="1268" t="s">
        <v>1128</v>
      </c>
      <c r="B12" s="1268"/>
      <c r="C12" s="330"/>
      <c r="D12" s="330"/>
      <c r="E12" s="728"/>
      <c r="F12" s="331"/>
      <c r="G12" s="331"/>
      <c r="H12" s="331"/>
      <c r="I12" s="726"/>
      <c r="J12" s="726"/>
      <c r="K12" s="667"/>
      <c r="L12" s="726"/>
      <c r="M12" s="726"/>
      <c r="N12" s="726"/>
      <c r="O12" s="726"/>
    </row>
    <row r="13" spans="1:15" ht="12.75" customHeight="1" x14ac:dyDescent="0.35">
      <c r="A13" s="331"/>
      <c r="B13" s="330"/>
      <c r="C13" s="330"/>
      <c r="D13" s="330"/>
      <c r="E13" s="728"/>
      <c r="F13" s="331"/>
      <c r="G13" s="331"/>
      <c r="H13" s="331"/>
      <c r="I13" s="352"/>
      <c r="J13" s="352"/>
      <c r="K13" s="666"/>
      <c r="L13" s="352"/>
      <c r="M13" s="352"/>
      <c r="N13" s="352"/>
      <c r="O13" s="353"/>
    </row>
    <row r="14" spans="1:15" ht="18" x14ac:dyDescent="0.35">
      <c r="A14" s="1315" t="s">
        <v>1335</v>
      </c>
      <c r="B14" s="1315"/>
      <c r="C14" s="1315"/>
      <c r="D14" s="1315"/>
      <c r="E14" s="1315"/>
      <c r="F14" s="1315"/>
      <c r="G14" s="1315"/>
      <c r="H14" s="1315"/>
      <c r="I14" s="1315"/>
      <c r="J14" s="1315"/>
      <c r="K14" s="1315"/>
      <c r="L14" s="1315"/>
      <c r="M14" s="1315"/>
      <c r="N14" s="1315"/>
      <c r="O14" s="1315"/>
    </row>
    <row r="15" spans="1:15" ht="18" x14ac:dyDescent="0.35">
      <c r="A15" s="331"/>
      <c r="B15" s="330"/>
      <c r="C15" s="330"/>
      <c r="D15" s="330"/>
      <c r="E15" s="728"/>
      <c r="F15" s="331"/>
      <c r="G15" s="331"/>
      <c r="H15" s="331"/>
      <c r="I15" s="352"/>
      <c r="J15" s="352"/>
      <c r="K15" s="666"/>
      <c r="L15" s="352"/>
      <c r="M15" s="352"/>
      <c r="N15" s="352"/>
      <c r="O15" s="737" t="s">
        <v>478</v>
      </c>
    </row>
    <row r="16" spans="1:15" hidden="1" x14ac:dyDescent="0.3"/>
    <row r="17" spans="1:16" ht="18.75" customHeight="1" x14ac:dyDescent="0.35">
      <c r="A17" s="1313" t="s">
        <v>407</v>
      </c>
      <c r="B17" s="1269" t="s">
        <v>479</v>
      </c>
      <c r="C17" s="1274" t="s">
        <v>281</v>
      </c>
      <c r="D17" s="333"/>
      <c r="E17" s="727"/>
      <c r="F17" s="334"/>
      <c r="G17" s="335"/>
      <c r="H17" s="335"/>
      <c r="I17" s="1277" t="s">
        <v>1085</v>
      </c>
      <c r="J17" s="1277" t="s">
        <v>510</v>
      </c>
      <c r="K17" s="1401" t="s">
        <v>1350</v>
      </c>
      <c r="L17" s="1271" t="s">
        <v>1079</v>
      </c>
      <c r="M17" s="1270" t="s">
        <v>1382</v>
      </c>
      <c r="N17" s="1270" t="s">
        <v>1080</v>
      </c>
      <c r="O17" s="1311" t="s">
        <v>480</v>
      </c>
      <c r="P17" s="1311"/>
    </row>
    <row r="18" spans="1:16" ht="18" x14ac:dyDescent="0.35">
      <c r="A18" s="1313"/>
      <c r="B18" s="1269"/>
      <c r="C18" s="1275"/>
      <c r="D18" s="333"/>
      <c r="E18" s="727"/>
      <c r="F18" s="334"/>
      <c r="G18" s="335"/>
      <c r="H18" s="335"/>
      <c r="I18" s="1278"/>
      <c r="J18" s="1278"/>
      <c r="K18" s="1401"/>
      <c r="L18" s="1272"/>
      <c r="M18" s="1270"/>
      <c r="N18" s="1270"/>
      <c r="O18" s="1270" t="s">
        <v>481</v>
      </c>
      <c r="P18" s="1312"/>
    </row>
    <row r="19" spans="1:16" ht="18" x14ac:dyDescent="0.35">
      <c r="A19" s="1313"/>
      <c r="B19" s="1269"/>
      <c r="C19" s="1275"/>
      <c r="D19" s="333"/>
      <c r="E19" s="727"/>
      <c r="F19" s="335"/>
      <c r="G19" s="335"/>
      <c r="H19" s="335"/>
      <c r="I19" s="1278"/>
      <c r="J19" s="1278"/>
      <c r="K19" s="1401"/>
      <c r="L19" s="1273"/>
      <c r="M19" s="1270"/>
      <c r="N19" s="1270"/>
      <c r="O19" s="1270"/>
      <c r="P19" s="1312"/>
    </row>
    <row r="20" spans="1:16" ht="18" x14ac:dyDescent="0.35">
      <c r="A20" s="1314"/>
      <c r="B20" s="1398"/>
      <c r="C20" s="1399"/>
      <c r="D20" s="332"/>
      <c r="E20" s="716"/>
      <c r="F20" s="344"/>
      <c r="G20" s="344"/>
      <c r="H20" s="344"/>
      <c r="I20" s="1400"/>
      <c r="J20" s="1400"/>
      <c r="K20" s="1402"/>
      <c r="L20" s="715"/>
      <c r="M20" s="1271"/>
      <c r="N20" s="715"/>
      <c r="O20" s="1271"/>
      <c r="P20" s="1312"/>
    </row>
    <row r="21" spans="1:16" s="336" customFormat="1" ht="42" customHeight="1" x14ac:dyDescent="0.35">
      <c r="A21" s="347">
        <v>1</v>
      </c>
      <c r="B21" s="343" t="s">
        <v>1081</v>
      </c>
      <c r="C21" s="346"/>
      <c r="D21" s="664"/>
      <c r="E21" s="338"/>
      <c r="F21" s="339"/>
      <c r="G21" s="339"/>
      <c r="H21" s="339"/>
      <c r="I21" s="345" t="s">
        <v>1337</v>
      </c>
      <c r="J21" s="498"/>
      <c r="K21" s="668">
        <f>K22+K24+K25+K26+K27+K28+K30+K31+K32+K29+K33+K23</f>
        <v>8463336</v>
      </c>
      <c r="L21" s="340"/>
      <c r="M21" s="665">
        <f>M22+M24+M25+M26+M27+M28+M30+M31+M32+M29+M33+M23</f>
        <v>3591524.87</v>
      </c>
      <c r="N21" s="341"/>
      <c r="O21" s="342" t="s">
        <v>151</v>
      </c>
      <c r="P21" s="663"/>
    </row>
    <row r="22" spans="1:16" s="366" customFormat="1" ht="31.5" customHeight="1" x14ac:dyDescent="0.3">
      <c r="A22" s="731"/>
      <c r="B22" s="1396" t="s">
        <v>627</v>
      </c>
      <c r="C22" s="1397" t="s">
        <v>1086</v>
      </c>
      <c r="D22" s="524"/>
      <c r="E22" s="524"/>
      <c r="F22" s="524"/>
      <c r="G22" s="524"/>
      <c r="H22" s="524"/>
      <c r="I22" s="1374" t="s">
        <v>1239</v>
      </c>
      <c r="J22" s="662" t="s">
        <v>586</v>
      </c>
      <c r="K22" s="553">
        <v>73140</v>
      </c>
      <c r="L22" s="474"/>
      <c r="M22" s="739"/>
      <c r="N22" s="489"/>
      <c r="O22" s="1335" t="s">
        <v>151</v>
      </c>
      <c r="P22" s="662"/>
    </row>
    <row r="23" spans="1:16" s="366" customFormat="1" ht="15.6" hidden="1" x14ac:dyDescent="0.3">
      <c r="A23" s="731"/>
      <c r="B23" s="1294"/>
      <c r="C23" s="1333"/>
      <c r="D23" s="524"/>
      <c r="E23" s="524"/>
      <c r="F23" s="524"/>
      <c r="G23" s="524"/>
      <c r="H23" s="524"/>
      <c r="I23" s="1285"/>
      <c r="J23" s="363" t="s">
        <v>528</v>
      </c>
      <c r="K23" s="553"/>
      <c r="L23" s="474"/>
      <c r="M23" s="739"/>
      <c r="N23" s="489"/>
      <c r="O23" s="1335"/>
      <c r="P23" s="363"/>
    </row>
    <row r="24" spans="1:16" s="366" customFormat="1" ht="36" customHeight="1" x14ac:dyDescent="0.3">
      <c r="A24" s="388"/>
      <c r="B24" s="527" t="s">
        <v>630</v>
      </c>
      <c r="C24" s="451" t="s">
        <v>1086</v>
      </c>
      <c r="I24" s="528" t="s">
        <v>1240</v>
      </c>
      <c r="J24" s="363" t="s">
        <v>586</v>
      </c>
      <c r="K24" s="457">
        <v>106000</v>
      </c>
      <c r="L24" s="474"/>
      <c r="M24" s="445"/>
      <c r="N24" s="365"/>
      <c r="O24" s="1335"/>
      <c r="P24" s="363"/>
    </row>
    <row r="25" spans="1:16" s="366" customFormat="1" ht="46.5" customHeight="1" x14ac:dyDescent="0.3">
      <c r="A25" s="388"/>
      <c r="B25" s="527" t="s">
        <v>633</v>
      </c>
      <c r="C25" s="451" t="s">
        <v>1086</v>
      </c>
      <c r="I25" s="528" t="s">
        <v>1241</v>
      </c>
      <c r="J25" s="363" t="s">
        <v>586</v>
      </c>
      <c r="K25" s="457">
        <v>181000</v>
      </c>
      <c r="L25" s="474"/>
      <c r="M25" s="445"/>
      <c r="N25" s="365"/>
      <c r="O25" s="1335"/>
      <c r="P25" s="363"/>
    </row>
    <row r="26" spans="1:16" s="366" customFormat="1" ht="33.75" customHeight="1" x14ac:dyDescent="0.3">
      <c r="A26" s="388"/>
      <c r="B26" s="527" t="s">
        <v>636</v>
      </c>
      <c r="C26" s="451" t="s">
        <v>1087</v>
      </c>
      <c r="I26" s="528" t="s">
        <v>1242</v>
      </c>
      <c r="J26" s="363" t="s">
        <v>586</v>
      </c>
      <c r="K26" s="457">
        <v>25000</v>
      </c>
      <c r="L26" s="474"/>
      <c r="M26" s="445"/>
      <c r="N26" s="365"/>
      <c r="O26" s="1335"/>
      <c r="P26" s="363"/>
    </row>
    <row r="27" spans="1:16" s="366" customFormat="1" ht="35.25" customHeight="1" x14ac:dyDescent="0.3">
      <c r="A27" s="388"/>
      <c r="B27" s="527" t="s">
        <v>639</v>
      </c>
      <c r="C27" s="451" t="s">
        <v>1086</v>
      </c>
      <c r="I27" s="528" t="s">
        <v>1243</v>
      </c>
      <c r="J27" s="363" t="s">
        <v>586</v>
      </c>
      <c r="K27" s="457">
        <v>30000</v>
      </c>
      <c r="L27" s="474"/>
      <c r="M27" s="445"/>
      <c r="N27" s="365"/>
      <c r="O27" s="1335"/>
      <c r="P27" s="363"/>
    </row>
    <row r="28" spans="1:16" s="366" customFormat="1" ht="30.75" customHeight="1" x14ac:dyDescent="0.3">
      <c r="A28" s="388"/>
      <c r="B28" s="527" t="s">
        <v>642</v>
      </c>
      <c r="C28" s="451" t="s">
        <v>1087</v>
      </c>
      <c r="I28" s="528" t="s">
        <v>1244</v>
      </c>
      <c r="J28" s="363" t="s">
        <v>586</v>
      </c>
      <c r="K28" s="457">
        <v>30000</v>
      </c>
      <c r="L28" s="474"/>
      <c r="M28" s="445"/>
      <c r="N28" s="365"/>
      <c r="O28" s="1335"/>
      <c r="P28" s="363"/>
    </row>
    <row r="29" spans="1:16" s="366" customFormat="1" ht="30.75" customHeight="1" x14ac:dyDescent="0.3">
      <c r="A29" s="1328"/>
      <c r="B29" s="1293" t="s">
        <v>607</v>
      </c>
      <c r="C29" s="451" t="s">
        <v>1088</v>
      </c>
      <c r="I29" s="1284" t="s">
        <v>1232</v>
      </c>
      <c r="J29" s="363" t="s">
        <v>586</v>
      </c>
      <c r="K29" s="372">
        <v>800000</v>
      </c>
      <c r="L29" s="474"/>
      <c r="M29" s="445"/>
      <c r="N29" s="365"/>
      <c r="O29" s="1287"/>
      <c r="P29" s="363"/>
    </row>
    <row r="30" spans="1:16" s="366" customFormat="1" ht="50.25" hidden="1" customHeight="1" x14ac:dyDescent="0.3">
      <c r="A30" s="1329"/>
      <c r="B30" s="1294"/>
      <c r="C30" s="451" t="s">
        <v>1159</v>
      </c>
      <c r="I30" s="1285"/>
      <c r="J30" s="363" t="s">
        <v>813</v>
      </c>
      <c r="K30" s="372"/>
      <c r="L30" s="474"/>
      <c r="M30" s="445"/>
      <c r="N30" s="365"/>
      <c r="O30" s="529" t="s">
        <v>1179</v>
      </c>
      <c r="P30" s="363"/>
    </row>
    <row r="31" spans="1:16" s="366" customFormat="1" ht="50.25" customHeight="1" x14ac:dyDescent="0.3">
      <c r="A31" s="530"/>
      <c r="B31" s="527" t="s">
        <v>1264</v>
      </c>
      <c r="C31" s="451" t="s">
        <v>1103</v>
      </c>
      <c r="I31" s="531" t="s">
        <v>1263</v>
      </c>
      <c r="J31" s="389" t="s">
        <v>586</v>
      </c>
      <c r="K31" s="669">
        <f>500000+3500000+1429771+788425+1000000</f>
        <v>7218196</v>
      </c>
      <c r="L31" s="474"/>
      <c r="M31" s="554">
        <v>3591524.87</v>
      </c>
      <c r="N31" s="365"/>
      <c r="O31" s="1286" t="s">
        <v>151</v>
      </c>
      <c r="P31" s="389"/>
    </row>
    <row r="32" spans="1:16" s="366" customFormat="1" ht="30.75" hidden="1" customHeight="1" x14ac:dyDescent="0.3">
      <c r="A32" s="530"/>
      <c r="B32" s="534" t="s">
        <v>1168</v>
      </c>
      <c r="C32" s="451" t="s">
        <v>1130</v>
      </c>
      <c r="I32" s="531" t="s">
        <v>1169</v>
      </c>
      <c r="J32" s="389" t="s">
        <v>586</v>
      </c>
      <c r="K32" s="740"/>
      <c r="L32" s="474"/>
      <c r="M32" s="661"/>
      <c r="N32" s="365"/>
      <c r="O32" s="1287"/>
      <c r="P32" s="389"/>
    </row>
    <row r="33" spans="1:16" s="366" customFormat="1" ht="49.5" hidden="1" customHeight="1" x14ac:dyDescent="0.3">
      <c r="A33" s="530"/>
      <c r="B33" s="521" t="s">
        <v>1201</v>
      </c>
      <c r="C33" s="451"/>
      <c r="I33" s="531"/>
      <c r="J33" s="389"/>
      <c r="K33" s="612">
        <v>0</v>
      </c>
      <c r="L33" s="474"/>
      <c r="M33" s="661"/>
      <c r="N33" s="365"/>
      <c r="O33" s="720"/>
      <c r="P33" s="389"/>
    </row>
    <row r="34" spans="1:16" s="366" customFormat="1" ht="44.25" customHeight="1" x14ac:dyDescent="0.35">
      <c r="A34" s="446">
        <v>2</v>
      </c>
      <c r="B34" s="538" t="s">
        <v>1082</v>
      </c>
      <c r="C34" s="539"/>
      <c r="D34" s="540"/>
      <c r="E34" s="540"/>
      <c r="F34" s="540"/>
      <c r="G34" s="540"/>
      <c r="H34" s="540"/>
      <c r="I34" s="541" t="s">
        <v>1336</v>
      </c>
      <c r="J34" s="542"/>
      <c r="K34" s="543">
        <f>K35</f>
        <v>53000</v>
      </c>
      <c r="L34" s="741"/>
      <c r="M34" s="543">
        <f>M35</f>
        <v>6732</v>
      </c>
      <c r="N34" s="448"/>
      <c r="O34" s="432" t="s">
        <v>151</v>
      </c>
      <c r="P34" s="544"/>
    </row>
    <row r="35" spans="1:16" s="366" customFormat="1" ht="42.75" customHeight="1" x14ac:dyDescent="0.3">
      <c r="A35" s="388"/>
      <c r="B35" s="459" t="s">
        <v>765</v>
      </c>
      <c r="C35" s="545" t="s">
        <v>1089</v>
      </c>
      <c r="I35" s="452" t="s">
        <v>1288</v>
      </c>
      <c r="J35" s="363" t="s">
        <v>586</v>
      </c>
      <c r="K35" s="457">
        <v>53000</v>
      </c>
      <c r="L35" s="474"/>
      <c r="M35" s="445">
        <v>6732</v>
      </c>
      <c r="N35" s="365"/>
      <c r="O35" s="450"/>
      <c r="P35" s="546"/>
    </row>
    <row r="36" spans="1:16" s="366" customFormat="1" ht="52.8" x14ac:dyDescent="0.35">
      <c r="A36" s="446">
        <v>3</v>
      </c>
      <c r="B36" s="447" t="s">
        <v>1092</v>
      </c>
      <c r="C36" s="448"/>
      <c r="D36" s="448"/>
      <c r="E36" s="448"/>
      <c r="F36" s="448"/>
      <c r="G36" s="448"/>
      <c r="H36" s="547"/>
      <c r="I36" s="429" t="s">
        <v>1338</v>
      </c>
      <c r="J36" s="430"/>
      <c r="K36" s="449">
        <f>K37+K38+K39+K40+K43+K44+K45+K41+K46+K42</f>
        <v>13438936.620000001</v>
      </c>
      <c r="L36" s="470"/>
      <c r="M36" s="449">
        <f>M37+M38+M39+M40+M43+M44+M45+M41+M46+M42</f>
        <v>3828277.9800000004</v>
      </c>
      <c r="N36" s="448"/>
      <c r="O36" s="432" t="s">
        <v>1096</v>
      </c>
      <c r="P36" s="365"/>
    </row>
    <row r="37" spans="1:16" s="474" customFormat="1" ht="31.2" x14ac:dyDescent="0.35">
      <c r="A37" s="467"/>
      <c r="B37" s="549" t="s">
        <v>1231</v>
      </c>
      <c r="C37" s="550" t="s">
        <v>1093</v>
      </c>
      <c r="D37" s="476"/>
      <c r="E37" s="476"/>
      <c r="F37" s="476"/>
      <c r="G37" s="476"/>
      <c r="H37" s="551"/>
      <c r="I37" s="552" t="s">
        <v>1225</v>
      </c>
      <c r="J37" s="371" t="s">
        <v>586</v>
      </c>
      <c r="K37" s="553">
        <v>106000</v>
      </c>
      <c r="L37" s="470"/>
      <c r="M37" s="554"/>
      <c r="N37" s="470"/>
      <c r="O37" s="1280" t="s">
        <v>151</v>
      </c>
      <c r="P37" s="476"/>
    </row>
    <row r="38" spans="1:16" s="366" customFormat="1" ht="31.2" x14ac:dyDescent="0.35">
      <c r="A38" s="446"/>
      <c r="B38" s="459" t="s">
        <v>1281</v>
      </c>
      <c r="C38" s="451" t="s">
        <v>1094</v>
      </c>
      <c r="D38" s="365"/>
      <c r="E38" s="365"/>
      <c r="F38" s="365"/>
      <c r="G38" s="365"/>
      <c r="H38" s="365"/>
      <c r="I38" s="452" t="s">
        <v>1280</v>
      </c>
      <c r="J38" s="363" t="s">
        <v>586</v>
      </c>
      <c r="K38" s="457">
        <v>53000</v>
      </c>
      <c r="L38" s="470"/>
      <c r="M38" s="554"/>
      <c r="N38" s="448"/>
      <c r="O38" s="1282"/>
      <c r="P38" s="365"/>
    </row>
    <row r="39" spans="1:16" s="366" customFormat="1" ht="31.2" x14ac:dyDescent="0.35">
      <c r="A39" s="446"/>
      <c r="B39" s="459" t="s">
        <v>1283</v>
      </c>
      <c r="C39" s="451" t="s">
        <v>1094</v>
      </c>
      <c r="D39" s="365"/>
      <c r="E39" s="365"/>
      <c r="F39" s="365"/>
      <c r="G39" s="365"/>
      <c r="H39" s="365"/>
      <c r="I39" s="452" t="s">
        <v>1282</v>
      </c>
      <c r="J39" s="363" t="s">
        <v>586</v>
      </c>
      <c r="K39" s="457">
        <v>106000</v>
      </c>
      <c r="L39" s="470"/>
      <c r="M39" s="554"/>
      <c r="N39" s="448"/>
      <c r="O39" s="1282"/>
      <c r="P39" s="365"/>
    </row>
    <row r="40" spans="1:16" s="366" customFormat="1" ht="18" x14ac:dyDescent="0.35">
      <c r="A40" s="446"/>
      <c r="B40" s="459" t="s">
        <v>751</v>
      </c>
      <c r="C40" s="451" t="s">
        <v>1094</v>
      </c>
      <c r="D40" s="365"/>
      <c r="E40" s="365"/>
      <c r="F40" s="365"/>
      <c r="G40" s="365"/>
      <c r="H40" s="365"/>
      <c r="I40" s="452" t="s">
        <v>1286</v>
      </c>
      <c r="J40" s="363" t="s">
        <v>586</v>
      </c>
      <c r="K40" s="457">
        <v>212000</v>
      </c>
      <c r="L40" s="470"/>
      <c r="M40" s="554"/>
      <c r="N40" s="448"/>
      <c r="O40" s="1283"/>
      <c r="P40" s="365"/>
    </row>
    <row r="41" spans="1:16" s="366" customFormat="1" ht="62.4" hidden="1" x14ac:dyDescent="0.35">
      <c r="A41" s="446"/>
      <c r="B41" s="478" t="s">
        <v>1181</v>
      </c>
      <c r="C41" s="451" t="s">
        <v>1180</v>
      </c>
      <c r="D41" s="365"/>
      <c r="E41" s="365"/>
      <c r="F41" s="365"/>
      <c r="G41" s="365"/>
      <c r="H41" s="555"/>
      <c r="I41" s="452" t="s">
        <v>752</v>
      </c>
      <c r="J41" s="363" t="s">
        <v>813</v>
      </c>
      <c r="K41" s="457"/>
      <c r="L41" s="470"/>
      <c r="M41" s="554"/>
      <c r="N41" s="448"/>
      <c r="O41" s="529" t="s">
        <v>1179</v>
      </c>
      <c r="P41" s="365"/>
    </row>
    <row r="42" spans="1:16" s="366" customFormat="1" ht="31.2" x14ac:dyDescent="0.35">
      <c r="A42" s="446"/>
      <c r="B42" s="478" t="s">
        <v>748</v>
      </c>
      <c r="C42" s="451" t="s">
        <v>1284</v>
      </c>
      <c r="D42" s="365"/>
      <c r="E42" s="365"/>
      <c r="F42" s="365"/>
      <c r="G42" s="365"/>
      <c r="H42" s="555"/>
      <c r="I42" s="452" t="s">
        <v>1285</v>
      </c>
      <c r="J42" s="363" t="s">
        <v>586</v>
      </c>
      <c r="K42" s="457">
        <v>100000</v>
      </c>
      <c r="L42" s="470"/>
      <c r="M42" s="554"/>
      <c r="N42" s="448"/>
      <c r="O42" s="556" t="s">
        <v>151</v>
      </c>
      <c r="P42" s="365"/>
    </row>
    <row r="43" spans="1:16" s="366" customFormat="1" ht="31.2" x14ac:dyDescent="0.35">
      <c r="A43" s="446"/>
      <c r="B43" s="459" t="s">
        <v>918</v>
      </c>
      <c r="C43" s="451" t="s">
        <v>1095</v>
      </c>
      <c r="D43" s="448"/>
      <c r="E43" s="448"/>
      <c r="F43" s="448"/>
      <c r="G43" s="448"/>
      <c r="H43" s="547"/>
      <c r="I43" s="452" t="s">
        <v>1332</v>
      </c>
      <c r="J43" s="363" t="s">
        <v>613</v>
      </c>
      <c r="K43" s="457">
        <v>4819591.7</v>
      </c>
      <c r="L43" s="470"/>
      <c r="M43" s="569">
        <f>315426.44+431192.12+330694.17+459187.93</f>
        <v>1536500.66</v>
      </c>
      <c r="N43" s="448"/>
      <c r="O43" s="1316" t="s">
        <v>1097</v>
      </c>
      <c r="P43" s="365"/>
    </row>
    <row r="44" spans="1:16" s="366" customFormat="1" ht="18" x14ac:dyDescent="0.35">
      <c r="A44" s="446"/>
      <c r="B44" s="459" t="s">
        <v>921</v>
      </c>
      <c r="C44" s="451" t="s">
        <v>1095</v>
      </c>
      <c r="D44" s="448"/>
      <c r="E44" s="448"/>
      <c r="F44" s="448"/>
      <c r="G44" s="448"/>
      <c r="H44" s="547"/>
      <c r="I44" s="452" t="s">
        <v>1333</v>
      </c>
      <c r="J44" s="363" t="s">
        <v>613</v>
      </c>
      <c r="K44" s="457">
        <f>2775762.7+47577.97</f>
        <v>2823340.6700000004</v>
      </c>
      <c r="L44" s="470"/>
      <c r="M44" s="569">
        <f>141775.76+314481.03+172468.79+169088.79</f>
        <v>797814.37000000011</v>
      </c>
      <c r="N44" s="448"/>
      <c r="O44" s="1317"/>
      <c r="P44" s="365"/>
    </row>
    <row r="45" spans="1:16" s="366" customFormat="1" ht="18" x14ac:dyDescent="0.35">
      <c r="A45" s="446"/>
      <c r="B45" s="459" t="s">
        <v>924</v>
      </c>
      <c r="C45" s="451" t="s">
        <v>1095</v>
      </c>
      <c r="D45" s="365"/>
      <c r="E45" s="365"/>
      <c r="F45" s="365"/>
      <c r="G45" s="365"/>
      <c r="H45" s="365"/>
      <c r="I45" s="452" t="s">
        <v>1334</v>
      </c>
      <c r="J45" s="363" t="s">
        <v>613</v>
      </c>
      <c r="K45" s="372">
        <f>4419004.25+800000</f>
        <v>5219004.25</v>
      </c>
      <c r="L45" s="470"/>
      <c r="M45" s="569">
        <f>240001.74+477497.23+367908.22+120949+287606.76</f>
        <v>1493962.95</v>
      </c>
      <c r="N45" s="448"/>
      <c r="O45" s="1317"/>
      <c r="P45" s="365"/>
    </row>
    <row r="46" spans="1:16" s="366" customFormat="1" ht="53.25" hidden="1" customHeight="1" x14ac:dyDescent="0.35">
      <c r="A46" s="446"/>
      <c r="B46" s="521" t="s">
        <v>926</v>
      </c>
      <c r="C46" s="451" t="s">
        <v>1095</v>
      </c>
      <c r="D46" s="365"/>
      <c r="E46" s="365"/>
      <c r="F46" s="365"/>
      <c r="G46" s="365"/>
      <c r="H46" s="365"/>
      <c r="I46" s="484" t="s">
        <v>1194</v>
      </c>
      <c r="J46" s="389" t="s">
        <v>613</v>
      </c>
      <c r="K46" s="559"/>
      <c r="L46" s="470"/>
      <c r="M46" s="554"/>
      <c r="N46" s="448"/>
      <c r="O46" s="1290"/>
      <c r="P46" s="365"/>
    </row>
    <row r="47" spans="1:16" s="366" customFormat="1" ht="52.8" x14ac:dyDescent="0.35">
      <c r="A47" s="446">
        <v>4</v>
      </c>
      <c r="B47" s="447" t="s">
        <v>1098</v>
      </c>
      <c r="C47" s="557"/>
      <c r="D47" s="448"/>
      <c r="E47" s="448"/>
      <c r="F47" s="448"/>
      <c r="G47" s="448"/>
      <c r="H47" s="448"/>
      <c r="I47" s="429" t="s">
        <v>1339</v>
      </c>
      <c r="J47" s="430"/>
      <c r="K47" s="449">
        <f>K49+K50+K51+K55+K53+K56+K54+K57+K48+K52</f>
        <v>2059831.3199999998</v>
      </c>
      <c r="L47" s="470"/>
      <c r="M47" s="449">
        <f>M49+M50+M51+M55+M53+M56+M54+M57+M48+M52</f>
        <v>78000</v>
      </c>
      <c r="N47" s="448"/>
      <c r="O47" s="432" t="s">
        <v>1160</v>
      </c>
      <c r="P47" s="365"/>
    </row>
    <row r="48" spans="1:16" s="366" customFormat="1" ht="31.8" x14ac:dyDescent="0.35">
      <c r="A48" s="446"/>
      <c r="B48" s="558" t="s">
        <v>1249</v>
      </c>
      <c r="C48" s="451" t="s">
        <v>1099</v>
      </c>
      <c r="D48" s="365"/>
      <c r="E48" s="365"/>
      <c r="F48" s="365"/>
      <c r="G48" s="365"/>
      <c r="H48" s="365"/>
      <c r="I48" s="452" t="s">
        <v>1250</v>
      </c>
      <c r="J48" s="389" t="s">
        <v>586</v>
      </c>
      <c r="K48" s="661">
        <f>100000-78000</f>
        <v>22000</v>
      </c>
      <c r="L48" s="476"/>
      <c r="M48" s="445"/>
      <c r="N48" s="448"/>
      <c r="O48" s="520"/>
      <c r="P48" s="365"/>
    </row>
    <row r="49" spans="1:16" s="366" customFormat="1" ht="15.6" x14ac:dyDescent="0.3">
      <c r="A49" s="388"/>
      <c r="B49" s="459" t="s">
        <v>651</v>
      </c>
      <c r="C49" s="451" t="s">
        <v>1099</v>
      </c>
      <c r="D49" s="365"/>
      <c r="E49" s="365"/>
      <c r="F49" s="365"/>
      <c r="G49" s="365"/>
      <c r="H49" s="365"/>
      <c r="I49" s="452" t="s">
        <v>1248</v>
      </c>
      <c r="J49" s="389" t="s">
        <v>586</v>
      </c>
      <c r="K49" s="661">
        <v>564980</v>
      </c>
      <c r="L49" s="476"/>
      <c r="M49" s="445"/>
      <c r="N49" s="365"/>
      <c r="O49" s="1318"/>
      <c r="P49" s="365"/>
    </row>
    <row r="50" spans="1:16" s="366" customFormat="1" ht="31.2" hidden="1" x14ac:dyDescent="0.3">
      <c r="A50" s="388"/>
      <c r="B50" s="423" t="s">
        <v>1027</v>
      </c>
      <c r="C50" s="451" t="s">
        <v>1101</v>
      </c>
      <c r="D50" s="365"/>
      <c r="E50" s="365"/>
      <c r="F50" s="365"/>
      <c r="G50" s="365"/>
      <c r="H50" s="365"/>
      <c r="I50" s="452" t="s">
        <v>1100</v>
      </c>
      <c r="J50" s="363" t="s">
        <v>586</v>
      </c>
      <c r="K50" s="457">
        <f>100000-50000-50000</f>
        <v>0</v>
      </c>
      <c r="L50" s="476"/>
      <c r="M50" s="445"/>
      <c r="N50" s="365"/>
      <c r="O50" s="1319"/>
      <c r="P50" s="365"/>
    </row>
    <row r="51" spans="1:16" s="366" customFormat="1" ht="42.75" customHeight="1" x14ac:dyDescent="0.3">
      <c r="A51" s="388"/>
      <c r="B51" s="1293" t="s">
        <v>1376</v>
      </c>
      <c r="C51" s="451" t="s">
        <v>1101</v>
      </c>
      <c r="D51" s="365"/>
      <c r="E51" s="365"/>
      <c r="F51" s="365"/>
      <c r="G51" s="365"/>
      <c r="H51" s="365"/>
      <c r="I51" s="1295" t="s">
        <v>1266</v>
      </c>
      <c r="J51" s="363" t="s">
        <v>586</v>
      </c>
      <c r="K51" s="464">
        <f>800000-800000+279990</f>
        <v>279990</v>
      </c>
      <c r="L51" s="476"/>
      <c r="M51" s="445"/>
      <c r="N51" s="365"/>
      <c r="O51" s="1319"/>
      <c r="P51" s="365"/>
    </row>
    <row r="52" spans="1:16" s="366" customFormat="1" ht="42.75" customHeight="1" x14ac:dyDescent="0.3">
      <c r="A52" s="388"/>
      <c r="B52" s="1294"/>
      <c r="C52" s="451" t="s">
        <v>1377</v>
      </c>
      <c r="D52" s="365"/>
      <c r="E52" s="365"/>
      <c r="F52" s="365"/>
      <c r="G52" s="365"/>
      <c r="H52" s="365"/>
      <c r="I52" s="1296"/>
      <c r="J52" s="363" t="s">
        <v>813</v>
      </c>
      <c r="K52" s="464">
        <f>800000-279990</f>
        <v>520010</v>
      </c>
      <c r="L52" s="476"/>
      <c r="M52" s="445"/>
      <c r="N52" s="365"/>
      <c r="O52" s="1320"/>
      <c r="P52" s="367"/>
    </row>
    <row r="53" spans="1:16" s="366" customFormat="1" ht="15.6" x14ac:dyDescent="0.3">
      <c r="A53" s="388"/>
      <c r="B53" s="459" t="s">
        <v>706</v>
      </c>
      <c r="C53" s="451" t="s">
        <v>1101</v>
      </c>
      <c r="D53" s="365"/>
      <c r="E53" s="365"/>
      <c r="F53" s="365"/>
      <c r="G53" s="365"/>
      <c r="H53" s="365"/>
      <c r="I53" s="452" t="s">
        <v>1267</v>
      </c>
      <c r="J53" s="363" t="s">
        <v>586</v>
      </c>
      <c r="K53" s="457">
        <v>380449.21</v>
      </c>
      <c r="L53" s="476"/>
      <c r="M53" s="445"/>
      <c r="N53" s="365"/>
      <c r="O53" s="1319"/>
      <c r="P53" s="367"/>
    </row>
    <row r="54" spans="1:16" s="366" customFormat="1" ht="15.6" x14ac:dyDescent="0.3">
      <c r="A54" s="388"/>
      <c r="B54" s="423" t="s">
        <v>1362</v>
      </c>
      <c r="C54" s="451" t="s">
        <v>1101</v>
      </c>
      <c r="D54" s="365"/>
      <c r="E54" s="365"/>
      <c r="F54" s="365"/>
      <c r="G54" s="365"/>
      <c r="H54" s="365"/>
      <c r="I54" s="452" t="s">
        <v>1363</v>
      </c>
      <c r="J54" s="363" t="s">
        <v>586</v>
      </c>
      <c r="K54" s="457">
        <v>78000</v>
      </c>
      <c r="L54" s="476"/>
      <c r="M54" s="445">
        <v>78000</v>
      </c>
      <c r="N54" s="365"/>
      <c r="O54" s="1320"/>
      <c r="P54" s="367"/>
    </row>
    <row r="55" spans="1:16" s="366" customFormat="1" ht="31.2" hidden="1" x14ac:dyDescent="0.3">
      <c r="A55" s="388"/>
      <c r="B55" s="459" t="s">
        <v>1158</v>
      </c>
      <c r="C55" s="451" t="s">
        <v>1159</v>
      </c>
      <c r="D55" s="365"/>
      <c r="E55" s="365"/>
      <c r="F55" s="365"/>
      <c r="G55" s="365"/>
      <c r="H55" s="365"/>
      <c r="I55" s="480" t="s">
        <v>707</v>
      </c>
      <c r="J55" s="363" t="s">
        <v>813</v>
      </c>
      <c r="K55" s="372"/>
      <c r="L55" s="476"/>
      <c r="M55" s="445"/>
      <c r="N55" s="365"/>
      <c r="O55" s="1321"/>
    </row>
    <row r="56" spans="1:16" s="366" customFormat="1" ht="31.2" x14ac:dyDescent="0.3">
      <c r="A56" s="388"/>
      <c r="B56" s="459" t="s">
        <v>1237</v>
      </c>
      <c r="C56" s="451" t="s">
        <v>1170</v>
      </c>
      <c r="D56" s="365"/>
      <c r="E56" s="365"/>
      <c r="F56" s="365"/>
      <c r="G56" s="365"/>
      <c r="H56" s="365"/>
      <c r="I56" s="389" t="s">
        <v>1238</v>
      </c>
      <c r="J56" s="389" t="s">
        <v>586</v>
      </c>
      <c r="K56" s="559">
        <v>214402.11</v>
      </c>
      <c r="L56" s="476"/>
      <c r="M56" s="445"/>
      <c r="N56" s="365"/>
      <c r="O56" s="729"/>
    </row>
    <row r="57" spans="1:16" s="366" customFormat="1" ht="46.8" hidden="1" x14ac:dyDescent="0.3">
      <c r="A57" s="388"/>
      <c r="B57" s="521" t="s">
        <v>1195</v>
      </c>
      <c r="C57" s="451" t="s">
        <v>1101</v>
      </c>
      <c r="D57" s="365"/>
      <c r="E57" s="365"/>
      <c r="F57" s="365"/>
      <c r="G57" s="365"/>
      <c r="H57" s="365"/>
      <c r="I57" s="484" t="s">
        <v>1196</v>
      </c>
      <c r="J57" s="389" t="s">
        <v>586</v>
      </c>
      <c r="K57" s="559"/>
      <c r="L57" s="476"/>
      <c r="M57" s="661"/>
      <c r="N57" s="365"/>
      <c r="O57" s="729"/>
    </row>
    <row r="58" spans="1:16" s="366" customFormat="1" ht="54" x14ac:dyDescent="0.35">
      <c r="A58" s="446">
        <v>5</v>
      </c>
      <c r="B58" s="447" t="s">
        <v>1102</v>
      </c>
      <c r="C58" s="448"/>
      <c r="D58" s="448"/>
      <c r="E58" s="448"/>
      <c r="F58" s="448"/>
      <c r="G58" s="448"/>
      <c r="H58" s="448"/>
      <c r="I58" s="429" t="s">
        <v>1340</v>
      </c>
      <c r="J58" s="430"/>
      <c r="K58" s="449">
        <f>K62+K63+K64+K60+K59+K61</f>
        <v>8885000</v>
      </c>
      <c r="L58" s="470"/>
      <c r="M58" s="449">
        <f>M62+M63+M64+M60+M59+M61</f>
        <v>85000</v>
      </c>
      <c r="N58" s="448"/>
      <c r="O58" s="432" t="s">
        <v>1183</v>
      </c>
    </row>
    <row r="59" spans="1:16" s="366" customFormat="1" ht="26.25" customHeight="1" x14ac:dyDescent="0.35">
      <c r="A59" s="446"/>
      <c r="B59" s="660" t="s">
        <v>1197</v>
      </c>
      <c r="C59" s="1403" t="s">
        <v>1103</v>
      </c>
      <c r="D59" s="448"/>
      <c r="E59" s="448"/>
      <c r="F59" s="448"/>
      <c r="G59" s="448"/>
      <c r="H59" s="448"/>
      <c r="I59" s="1305" t="s">
        <v>1364</v>
      </c>
      <c r="J59" s="389" t="s">
        <v>586</v>
      </c>
      <c r="K59" s="464">
        <f>5385000-924000</f>
        <v>4461000</v>
      </c>
      <c r="L59" s="742"/>
      <c r="M59" s="496">
        <v>85000</v>
      </c>
      <c r="N59" s="448"/>
      <c r="O59" s="454" t="s">
        <v>151</v>
      </c>
    </row>
    <row r="60" spans="1:16" s="366" customFormat="1" ht="62.4" x14ac:dyDescent="0.35">
      <c r="A60" s="446"/>
      <c r="B60" s="455" t="s">
        <v>1184</v>
      </c>
      <c r="C60" s="1404"/>
      <c r="D60" s="448"/>
      <c r="E60" s="448"/>
      <c r="F60" s="448"/>
      <c r="G60" s="448"/>
      <c r="H60" s="448"/>
      <c r="I60" s="1356"/>
      <c r="J60" s="430">
        <v>500</v>
      </c>
      <c r="K60" s="464">
        <f>924000</f>
        <v>924000</v>
      </c>
      <c r="L60" s="470"/>
      <c r="M60" s="457"/>
      <c r="N60" s="448"/>
      <c r="O60" s="456" t="s">
        <v>1179</v>
      </c>
    </row>
    <row r="61" spans="1:16" s="366" customFormat="1" ht="46.8" hidden="1" x14ac:dyDescent="0.35">
      <c r="A61" s="446"/>
      <c r="B61" s="455" t="s">
        <v>1203</v>
      </c>
      <c r="C61" s="451" t="s">
        <v>1159</v>
      </c>
      <c r="D61" s="448"/>
      <c r="E61" s="448"/>
      <c r="F61" s="448"/>
      <c r="G61" s="448"/>
      <c r="H61" s="448"/>
      <c r="I61" s="452" t="s">
        <v>1204</v>
      </c>
      <c r="J61" s="430">
        <v>500</v>
      </c>
      <c r="K61" s="457"/>
      <c r="L61" s="470"/>
      <c r="M61" s="582"/>
      <c r="N61" s="448"/>
      <c r="O61" s="717"/>
    </row>
    <row r="62" spans="1:16" s="366" customFormat="1" ht="31.2" hidden="1" x14ac:dyDescent="0.3">
      <c r="A62" s="388"/>
      <c r="B62" s="459" t="s">
        <v>822</v>
      </c>
      <c r="C62" s="451" t="s">
        <v>1105</v>
      </c>
      <c r="D62" s="365"/>
      <c r="E62" s="365"/>
      <c r="F62" s="365"/>
      <c r="G62" s="365"/>
      <c r="H62" s="365"/>
      <c r="I62" s="452" t="s">
        <v>823</v>
      </c>
      <c r="J62" s="363" t="s">
        <v>613</v>
      </c>
      <c r="K62" s="457"/>
      <c r="L62" s="476"/>
      <c r="M62" s="445"/>
      <c r="N62" s="365"/>
      <c r="O62" s="1322" t="s">
        <v>968</v>
      </c>
    </row>
    <row r="63" spans="1:16" s="366" customFormat="1" ht="15.6" hidden="1" x14ac:dyDescent="0.3">
      <c r="A63" s="460"/>
      <c r="B63" s="459" t="s">
        <v>825</v>
      </c>
      <c r="C63" s="451" t="s">
        <v>1105</v>
      </c>
      <c r="D63" s="461"/>
      <c r="E63" s="461"/>
      <c r="F63" s="461"/>
      <c r="G63" s="461"/>
      <c r="H63" s="461"/>
      <c r="I63" s="452" t="s">
        <v>826</v>
      </c>
      <c r="J63" s="363" t="s">
        <v>613</v>
      </c>
      <c r="K63" s="457"/>
      <c r="L63" s="476"/>
      <c r="M63" s="445"/>
      <c r="N63" s="461"/>
      <c r="O63" s="1323"/>
      <c r="P63" s="462"/>
    </row>
    <row r="64" spans="1:16" s="366" customFormat="1" ht="15.6" x14ac:dyDescent="0.3">
      <c r="A64" s="388"/>
      <c r="B64" s="459" t="s">
        <v>828</v>
      </c>
      <c r="C64" s="451" t="s">
        <v>1105</v>
      </c>
      <c r="D64" s="365"/>
      <c r="E64" s="365"/>
      <c r="F64" s="365"/>
      <c r="G64" s="365"/>
      <c r="H64" s="365"/>
      <c r="I64" s="452" t="s">
        <v>1306</v>
      </c>
      <c r="J64" s="363" t="s">
        <v>613</v>
      </c>
      <c r="K64" s="457">
        <v>3500000</v>
      </c>
      <c r="L64" s="476"/>
      <c r="M64" s="445"/>
      <c r="N64" s="365"/>
      <c r="O64" s="1324"/>
    </row>
    <row r="65" spans="1:15" s="366" customFormat="1" ht="54" x14ac:dyDescent="0.35">
      <c r="A65" s="446">
        <v>6</v>
      </c>
      <c r="B65" s="447" t="s">
        <v>1106</v>
      </c>
      <c r="C65" s="557"/>
      <c r="D65" s="448"/>
      <c r="E65" s="448"/>
      <c r="F65" s="448"/>
      <c r="G65" s="448"/>
      <c r="H65" s="448"/>
      <c r="I65" s="429" t="s">
        <v>1341</v>
      </c>
      <c r="J65" s="430"/>
      <c r="K65" s="449">
        <f>K66</f>
        <v>50000</v>
      </c>
      <c r="L65" s="470"/>
      <c r="M65" s="449">
        <f>M66</f>
        <v>0</v>
      </c>
      <c r="N65" s="448"/>
      <c r="O65" s="432" t="s">
        <v>151</v>
      </c>
    </row>
    <row r="66" spans="1:15" s="366" customFormat="1" ht="31.2" x14ac:dyDescent="0.3">
      <c r="A66" s="561"/>
      <c r="B66" s="459" t="s">
        <v>728</v>
      </c>
      <c r="C66" s="387" t="s">
        <v>1107</v>
      </c>
      <c r="D66" s="562"/>
      <c r="E66" s="562"/>
      <c r="F66" s="562"/>
      <c r="G66" s="562"/>
      <c r="H66" s="562"/>
      <c r="I66" s="452" t="s">
        <v>1273</v>
      </c>
      <c r="J66" s="363" t="s">
        <v>586</v>
      </c>
      <c r="K66" s="457">
        <v>50000</v>
      </c>
      <c r="L66" s="476"/>
      <c r="M66" s="445"/>
      <c r="N66" s="365"/>
      <c r="O66" s="563"/>
    </row>
    <row r="67" spans="1:15" s="474" customFormat="1" ht="36" x14ac:dyDescent="0.35">
      <c r="A67" s="467">
        <v>7</v>
      </c>
      <c r="B67" s="468" t="s">
        <v>1108</v>
      </c>
      <c r="C67" s="469"/>
      <c r="D67" s="470"/>
      <c r="E67" s="470"/>
      <c r="F67" s="470"/>
      <c r="G67" s="470"/>
      <c r="H67" s="470"/>
      <c r="I67" s="471" t="s">
        <v>1342</v>
      </c>
      <c r="J67" s="472"/>
      <c r="K67" s="473">
        <f>K68+K69+K70</f>
        <v>26551599.059999999</v>
      </c>
      <c r="L67" s="470"/>
      <c r="M67" s="473">
        <f>M68+M69+M70</f>
        <v>1065343.3</v>
      </c>
      <c r="N67" s="470"/>
      <c r="O67" s="432" t="s">
        <v>151</v>
      </c>
    </row>
    <row r="68" spans="1:15" s="474" customFormat="1" ht="46.8" x14ac:dyDescent="0.3">
      <c r="A68" s="475"/>
      <c r="B68" s="423" t="s">
        <v>697</v>
      </c>
      <c r="C68" s="395" t="s">
        <v>1109</v>
      </c>
      <c r="D68" s="476"/>
      <c r="E68" s="476"/>
      <c r="F68" s="476"/>
      <c r="G68" s="476"/>
      <c r="H68" s="476"/>
      <c r="I68" s="477" t="s">
        <v>1262</v>
      </c>
      <c r="J68" s="371" t="s">
        <v>700</v>
      </c>
      <c r="K68" s="457">
        <v>2500000</v>
      </c>
      <c r="L68" s="476"/>
      <c r="M68" s="445">
        <f>1065343.3-1065343.3</f>
        <v>0</v>
      </c>
      <c r="N68" s="476"/>
      <c r="O68" s="1325"/>
    </row>
    <row r="69" spans="1:15" s="366" customFormat="1" ht="31.2" x14ac:dyDescent="0.3">
      <c r="A69" s="388"/>
      <c r="B69" s="459" t="s">
        <v>768</v>
      </c>
      <c r="C69" s="387" t="s">
        <v>1111</v>
      </c>
      <c r="D69" s="365"/>
      <c r="E69" s="365"/>
      <c r="F69" s="365"/>
      <c r="G69" s="365"/>
      <c r="H69" s="365"/>
      <c r="I69" s="452" t="s">
        <v>1289</v>
      </c>
      <c r="J69" s="363" t="s">
        <v>764</v>
      </c>
      <c r="K69" s="457">
        <v>1000000</v>
      </c>
      <c r="L69" s="476"/>
      <c r="M69" s="445"/>
      <c r="N69" s="365"/>
      <c r="O69" s="1326"/>
    </row>
    <row r="70" spans="1:15" s="366" customFormat="1" ht="46.8" x14ac:dyDescent="0.3">
      <c r="A70" s="388"/>
      <c r="B70" s="423" t="s">
        <v>1360</v>
      </c>
      <c r="C70" s="387" t="s">
        <v>1109</v>
      </c>
      <c r="D70" s="365"/>
      <c r="E70" s="365"/>
      <c r="F70" s="365"/>
      <c r="G70" s="365"/>
      <c r="H70" s="365"/>
      <c r="I70" s="452" t="s">
        <v>1359</v>
      </c>
      <c r="J70" s="363" t="s">
        <v>700</v>
      </c>
      <c r="K70" s="464">
        <f>18304436.83+5535587.23-788425</f>
        <v>23051599.059999999</v>
      </c>
      <c r="L70" s="476"/>
      <c r="M70" s="743">
        <v>1065343.3</v>
      </c>
      <c r="N70" s="365"/>
      <c r="O70" s="730"/>
    </row>
    <row r="71" spans="1:15" s="366" customFormat="1" ht="35.4" x14ac:dyDescent="0.35">
      <c r="A71" s="425">
        <v>8</v>
      </c>
      <c r="B71" s="437" t="s">
        <v>561</v>
      </c>
      <c r="C71" s="427"/>
      <c r="D71" s="428"/>
      <c r="E71" s="428"/>
      <c r="F71" s="428"/>
      <c r="G71" s="428"/>
      <c r="H71" s="428"/>
      <c r="I71" s="429" t="s">
        <v>1343</v>
      </c>
      <c r="J71" s="430"/>
      <c r="K71" s="744">
        <f>K72+K73+K74+K75+K76</f>
        <v>233880</v>
      </c>
      <c r="L71" s="568"/>
      <c r="M71" s="744">
        <f>M72+M73+M74+M75+M76</f>
        <v>0</v>
      </c>
      <c r="N71" s="428"/>
      <c r="O71" s="432" t="s">
        <v>151</v>
      </c>
    </row>
    <row r="72" spans="1:15" s="366" customFormat="1" ht="31.2" x14ac:dyDescent="0.3">
      <c r="A72" s="388"/>
      <c r="B72" s="459" t="s">
        <v>684</v>
      </c>
      <c r="C72" s="387" t="s">
        <v>1114</v>
      </c>
      <c r="D72" s="365"/>
      <c r="E72" s="365"/>
      <c r="F72" s="365"/>
      <c r="G72" s="365"/>
      <c r="H72" s="365"/>
      <c r="I72" s="452" t="s">
        <v>1259</v>
      </c>
      <c r="J72" s="363" t="s">
        <v>528</v>
      </c>
      <c r="K72" s="457">
        <v>106000</v>
      </c>
      <c r="L72" s="476"/>
      <c r="M72" s="445"/>
      <c r="N72" s="365"/>
      <c r="O72" s="1325"/>
    </row>
    <row r="73" spans="1:15" s="366" customFormat="1" ht="62.4" x14ac:dyDescent="0.3">
      <c r="A73" s="388"/>
      <c r="B73" s="459" t="s">
        <v>687</v>
      </c>
      <c r="C73" s="387" t="s">
        <v>1114</v>
      </c>
      <c r="D73" s="365"/>
      <c r="E73" s="365"/>
      <c r="F73" s="365"/>
      <c r="G73" s="365"/>
      <c r="H73" s="365"/>
      <c r="I73" s="452" t="s">
        <v>1260</v>
      </c>
      <c r="J73" s="363" t="s">
        <v>528</v>
      </c>
      <c r="K73" s="457">
        <v>53000</v>
      </c>
      <c r="L73" s="476"/>
      <c r="M73" s="445"/>
      <c r="N73" s="365"/>
      <c r="O73" s="1327"/>
    </row>
    <row r="74" spans="1:15" s="366" customFormat="1" ht="31.2" x14ac:dyDescent="0.3">
      <c r="A74" s="388"/>
      <c r="B74" s="459" t="s">
        <v>690</v>
      </c>
      <c r="C74" s="724" t="s">
        <v>1114</v>
      </c>
      <c r="D74" s="482"/>
      <c r="E74" s="482"/>
      <c r="F74" s="482"/>
      <c r="G74" s="482"/>
      <c r="H74" s="482"/>
      <c r="I74" s="480" t="s">
        <v>1261</v>
      </c>
      <c r="J74" s="564" t="s">
        <v>586</v>
      </c>
      <c r="K74" s="372">
        <v>24000</v>
      </c>
      <c r="L74" s="476"/>
      <c r="M74" s="445"/>
      <c r="N74" s="365"/>
      <c r="O74" s="1326"/>
    </row>
    <row r="75" spans="1:15" s="366" customFormat="1" ht="31.2" x14ac:dyDescent="0.3">
      <c r="A75" s="388"/>
      <c r="B75" s="565" t="s">
        <v>1171</v>
      </c>
      <c r="C75" s="387" t="s">
        <v>1172</v>
      </c>
      <c r="D75" s="365"/>
      <c r="E75" s="365"/>
      <c r="F75" s="365"/>
      <c r="G75" s="365"/>
      <c r="H75" s="365"/>
      <c r="I75" s="389" t="s">
        <v>1246</v>
      </c>
      <c r="J75" s="389" t="s">
        <v>528</v>
      </c>
      <c r="K75" s="559">
        <v>31800</v>
      </c>
      <c r="L75" s="476"/>
      <c r="M75" s="445"/>
      <c r="N75" s="365"/>
      <c r="O75" s="730"/>
    </row>
    <row r="76" spans="1:15" s="366" customFormat="1" ht="62.4" x14ac:dyDescent="0.3">
      <c r="A76" s="388"/>
      <c r="B76" s="565" t="s">
        <v>1173</v>
      </c>
      <c r="C76" s="387" t="s">
        <v>1172</v>
      </c>
      <c r="D76" s="365"/>
      <c r="E76" s="365"/>
      <c r="F76" s="365"/>
      <c r="G76" s="365"/>
      <c r="H76" s="365"/>
      <c r="I76" s="389" t="s">
        <v>1247</v>
      </c>
      <c r="J76" s="389" t="s">
        <v>528</v>
      </c>
      <c r="K76" s="559">
        <v>19080</v>
      </c>
      <c r="L76" s="476"/>
      <c r="M76" s="445"/>
      <c r="N76" s="365"/>
      <c r="O76" s="730"/>
    </row>
    <row r="77" spans="1:15" s="366" customFormat="1" ht="36" x14ac:dyDescent="0.35">
      <c r="A77" s="446">
        <v>9</v>
      </c>
      <c r="B77" s="566" t="s">
        <v>560</v>
      </c>
      <c r="C77" s="365"/>
      <c r="D77" s="365"/>
      <c r="E77" s="365"/>
      <c r="F77" s="365"/>
      <c r="G77" s="365"/>
      <c r="H77" s="365"/>
      <c r="I77" s="429" t="s">
        <v>1344</v>
      </c>
      <c r="J77" s="430"/>
      <c r="K77" s="473">
        <f>K78+K79+K80+K81+K82</f>
        <v>7073076</v>
      </c>
      <c r="L77" s="476"/>
      <c r="M77" s="473">
        <f>M78+M79+M80+M81+M82</f>
        <v>185000.62</v>
      </c>
      <c r="N77" s="365"/>
      <c r="O77" s="432" t="s">
        <v>151</v>
      </c>
    </row>
    <row r="78" spans="1:15" s="366" customFormat="1" ht="18" x14ac:dyDescent="0.35">
      <c r="A78" s="446"/>
      <c r="B78" s="459" t="s">
        <v>787</v>
      </c>
      <c r="C78" s="387" t="s">
        <v>1116</v>
      </c>
      <c r="D78" s="365"/>
      <c r="E78" s="365"/>
      <c r="F78" s="365"/>
      <c r="G78" s="365"/>
      <c r="H78" s="365"/>
      <c r="I78" s="452" t="s">
        <v>1295</v>
      </c>
      <c r="J78" s="363" t="s">
        <v>586</v>
      </c>
      <c r="K78" s="457">
        <v>476999</v>
      </c>
      <c r="L78" s="476"/>
      <c r="M78" s="445">
        <f>10146.64+26907+37893.28</f>
        <v>74946.92</v>
      </c>
      <c r="N78" s="365"/>
      <c r="O78" s="1325"/>
    </row>
    <row r="79" spans="1:15" s="366" customFormat="1" ht="15.6" x14ac:dyDescent="0.3">
      <c r="A79" s="388"/>
      <c r="B79" s="534" t="s">
        <v>781</v>
      </c>
      <c r="C79" s="387" t="s">
        <v>1115</v>
      </c>
      <c r="D79" s="365"/>
      <c r="E79" s="365"/>
      <c r="F79" s="365"/>
      <c r="G79" s="365"/>
      <c r="H79" s="365"/>
      <c r="I79" s="452" t="s">
        <v>1293</v>
      </c>
      <c r="J79" s="363" t="s">
        <v>586</v>
      </c>
      <c r="K79" s="457">
        <f>450000+928700</f>
        <v>1378700</v>
      </c>
      <c r="L79" s="476"/>
      <c r="M79" s="445"/>
      <c r="N79" s="365"/>
      <c r="O79" s="1327"/>
    </row>
    <row r="80" spans="1:15" s="366" customFormat="1" ht="15.6" x14ac:dyDescent="0.3">
      <c r="A80" s="388"/>
      <c r="B80" s="459" t="s">
        <v>790</v>
      </c>
      <c r="C80" s="387" t="s">
        <v>1116</v>
      </c>
      <c r="D80" s="365"/>
      <c r="E80" s="365"/>
      <c r="F80" s="365"/>
      <c r="G80" s="365"/>
      <c r="H80" s="365"/>
      <c r="I80" s="452" t="s">
        <v>1296</v>
      </c>
      <c r="J80" s="363" t="s">
        <v>586</v>
      </c>
      <c r="K80" s="457">
        <v>529999</v>
      </c>
      <c r="L80" s="476"/>
      <c r="M80" s="445">
        <f>189150-107882+28785.7</f>
        <v>110053.7</v>
      </c>
      <c r="N80" s="365"/>
      <c r="O80" s="1327"/>
    </row>
    <row r="81" spans="1:15" s="366" customFormat="1" ht="31.2" x14ac:dyDescent="0.3">
      <c r="A81" s="388"/>
      <c r="B81" s="459" t="s">
        <v>784</v>
      </c>
      <c r="C81" s="387" t="s">
        <v>1115</v>
      </c>
      <c r="D81" s="365"/>
      <c r="E81" s="365"/>
      <c r="F81" s="365"/>
      <c r="G81" s="365"/>
      <c r="H81" s="365"/>
      <c r="I81" s="452" t="s">
        <v>1294</v>
      </c>
      <c r="J81" s="363" t="s">
        <v>586</v>
      </c>
      <c r="K81" s="457">
        <f>100000-50000</f>
        <v>50000</v>
      </c>
      <c r="L81" s="476"/>
      <c r="M81" s="445"/>
      <c r="N81" s="365"/>
      <c r="O81" s="1326"/>
    </row>
    <row r="82" spans="1:15" s="366" customFormat="1" ht="31.2" x14ac:dyDescent="0.3">
      <c r="A82" s="388"/>
      <c r="B82" s="521" t="s">
        <v>1297</v>
      </c>
      <c r="C82" s="387" t="s">
        <v>1116</v>
      </c>
      <c r="D82" s="365"/>
      <c r="E82" s="365"/>
      <c r="F82" s="365"/>
      <c r="G82" s="365"/>
      <c r="H82" s="365"/>
      <c r="I82" s="452" t="s">
        <v>1298</v>
      </c>
      <c r="J82" s="363" t="s">
        <v>700</v>
      </c>
      <c r="K82" s="464">
        <f>6000000-152000-1210622</f>
        <v>4637378</v>
      </c>
      <c r="L82" s="476"/>
      <c r="M82" s="445"/>
      <c r="N82" s="365"/>
      <c r="O82" s="730"/>
    </row>
    <row r="83" spans="1:15" s="366" customFormat="1" ht="70.2" x14ac:dyDescent="0.35">
      <c r="A83" s="446">
        <v>10</v>
      </c>
      <c r="B83" s="447" t="s">
        <v>562</v>
      </c>
      <c r="C83" s="365"/>
      <c r="D83" s="365"/>
      <c r="E83" s="365"/>
      <c r="F83" s="365"/>
      <c r="G83" s="365"/>
      <c r="H83" s="365"/>
      <c r="I83" s="429" t="s">
        <v>1345</v>
      </c>
      <c r="J83" s="430"/>
      <c r="K83" s="473">
        <f>K84+K88+K89+K90+K92+K96+K99+K105+K107+K109+K108+K106+K110+K91+K104+K103</f>
        <v>77912360.390000001</v>
      </c>
      <c r="L83" s="476"/>
      <c r="M83" s="473">
        <f>M84+M88+M89+M90+M92+M96+M99+M105+M107+M109+M108+M106+M110+M91+M104+M103</f>
        <v>24495894.670000002</v>
      </c>
      <c r="N83" s="365"/>
      <c r="O83" s="432" t="s">
        <v>1135</v>
      </c>
    </row>
    <row r="84" spans="1:15" s="366" customFormat="1" ht="15.6" x14ac:dyDescent="0.3">
      <c r="A84" s="1343"/>
      <c r="B84" s="1346" t="s">
        <v>796</v>
      </c>
      <c r="C84" s="387" t="s">
        <v>1131</v>
      </c>
      <c r="D84" s="388"/>
      <c r="E84" s="388"/>
      <c r="F84" s="388"/>
      <c r="G84" s="388"/>
      <c r="H84" s="388"/>
      <c r="I84" s="389" t="s">
        <v>1299</v>
      </c>
      <c r="J84" s="363"/>
      <c r="K84" s="457">
        <f>K85+K86+K87</f>
        <v>10546860.609999999</v>
      </c>
      <c r="L84" s="476"/>
      <c r="M84" s="457">
        <f>M85+M86+M87</f>
        <v>3055064.0200000005</v>
      </c>
      <c r="N84" s="365"/>
      <c r="O84" s="1350" t="s">
        <v>1136</v>
      </c>
    </row>
    <row r="85" spans="1:15" s="366" customFormat="1" ht="15.6" x14ac:dyDescent="0.3">
      <c r="A85" s="1344"/>
      <c r="B85" s="1298"/>
      <c r="C85" s="382"/>
      <c r="D85" s="386"/>
      <c r="E85" s="386"/>
      <c r="F85" s="386"/>
      <c r="G85" s="386"/>
      <c r="H85" s="386"/>
      <c r="I85" s="383"/>
      <c r="J85" s="363" t="s">
        <v>162</v>
      </c>
      <c r="K85" s="457">
        <v>9687260.6099999994</v>
      </c>
      <c r="L85" s="476"/>
      <c r="M85" s="445">
        <f>524429.57+75+158298.21+536955.67+75+192902.57+568054.78+75+162342.28+648114.12+75+198805.22</f>
        <v>2990202.4200000004</v>
      </c>
      <c r="N85" s="365"/>
      <c r="O85" s="1351"/>
    </row>
    <row r="86" spans="1:15" s="366" customFormat="1" ht="15.6" x14ac:dyDescent="0.3">
      <c r="A86" s="1344"/>
      <c r="B86" s="1298"/>
      <c r="C86" s="382"/>
      <c r="D86" s="362"/>
      <c r="E86" s="362"/>
      <c r="F86" s="362"/>
      <c r="G86" s="362"/>
      <c r="H86" s="362"/>
      <c r="I86" s="383"/>
      <c r="J86" s="363" t="s">
        <v>586</v>
      </c>
      <c r="K86" s="457">
        <v>847600</v>
      </c>
      <c r="L86" s="476"/>
      <c r="M86" s="445">
        <f>815.14+20591.29+30465.97+12189.2</f>
        <v>64061.600000000006</v>
      </c>
      <c r="N86" s="365"/>
      <c r="O86" s="1351"/>
    </row>
    <row r="87" spans="1:15" s="366" customFormat="1" ht="15.6" x14ac:dyDescent="0.3">
      <c r="A87" s="1345"/>
      <c r="B87" s="1299"/>
      <c r="C87" s="384"/>
      <c r="D87" s="362"/>
      <c r="E87" s="362"/>
      <c r="F87" s="362"/>
      <c r="G87" s="362"/>
      <c r="H87" s="362"/>
      <c r="I87" s="385"/>
      <c r="J87" s="363" t="s">
        <v>528</v>
      </c>
      <c r="K87" s="457">
        <v>12000</v>
      </c>
      <c r="L87" s="476"/>
      <c r="M87" s="445">
        <f>800</f>
        <v>800</v>
      </c>
      <c r="N87" s="365"/>
      <c r="O87" s="1351"/>
    </row>
    <row r="88" spans="1:15" s="366" customFormat="1" ht="78" x14ac:dyDescent="0.35">
      <c r="A88" s="446"/>
      <c r="B88" s="478" t="s">
        <v>810</v>
      </c>
      <c r="C88" s="387" t="s">
        <v>1133</v>
      </c>
      <c r="D88" s="365"/>
      <c r="E88" s="365"/>
      <c r="F88" s="365"/>
      <c r="G88" s="365"/>
      <c r="H88" s="365"/>
      <c r="I88" s="452" t="s">
        <v>1302</v>
      </c>
      <c r="J88" s="363" t="s">
        <v>813</v>
      </c>
      <c r="K88" s="457">
        <v>18000000</v>
      </c>
      <c r="L88" s="476"/>
      <c r="M88" s="445">
        <f>2126908+1469292+2403796</f>
        <v>5999996</v>
      </c>
      <c r="N88" s="365"/>
      <c r="O88" s="1351"/>
    </row>
    <row r="89" spans="1:15" s="366" customFormat="1" ht="31.2" x14ac:dyDescent="0.35">
      <c r="A89" s="446"/>
      <c r="B89" s="459" t="s">
        <v>805</v>
      </c>
      <c r="C89" s="387" t="s">
        <v>1132</v>
      </c>
      <c r="D89" s="365"/>
      <c r="E89" s="365"/>
      <c r="F89" s="365"/>
      <c r="G89" s="365"/>
      <c r="H89" s="365"/>
      <c r="I89" s="452" t="s">
        <v>1301</v>
      </c>
      <c r="J89" s="363" t="s">
        <v>808</v>
      </c>
      <c r="K89" s="457">
        <f>51963.84-51963.84</f>
        <v>0</v>
      </c>
      <c r="L89" s="476"/>
      <c r="M89" s="445"/>
      <c r="N89" s="365"/>
      <c r="O89" s="1351"/>
    </row>
    <row r="90" spans="1:15" s="366" customFormat="1" ht="49.5" customHeight="1" x14ac:dyDescent="0.35">
      <c r="A90" s="493"/>
      <c r="B90" s="1297" t="s">
        <v>801</v>
      </c>
      <c r="C90" s="1347" t="s">
        <v>1131</v>
      </c>
      <c r="D90" s="522"/>
      <c r="E90" s="522"/>
      <c r="F90" s="522"/>
      <c r="G90" s="522"/>
      <c r="H90" s="522"/>
      <c r="I90" s="1295" t="s">
        <v>1300</v>
      </c>
      <c r="J90" s="363" t="s">
        <v>162</v>
      </c>
      <c r="K90" s="457">
        <f>600000+10000</f>
        <v>610000</v>
      </c>
      <c r="L90" s="476"/>
      <c r="M90" s="445">
        <f>30041.46+9072.51+32340.46+8828.94+38624.73+10544.55+33976.9+10661.72</f>
        <v>174091.27000000002</v>
      </c>
      <c r="N90" s="365"/>
      <c r="O90" s="1352"/>
    </row>
    <row r="91" spans="1:15" s="366" customFormat="1" ht="27.75" hidden="1" customHeight="1" x14ac:dyDescent="0.35">
      <c r="A91" s="494"/>
      <c r="B91" s="1299"/>
      <c r="C91" s="1348"/>
      <c r="D91" s="522"/>
      <c r="E91" s="522"/>
      <c r="F91" s="522"/>
      <c r="G91" s="522"/>
      <c r="H91" s="522"/>
      <c r="I91" s="1285"/>
      <c r="J91" s="363" t="s">
        <v>586</v>
      </c>
      <c r="K91" s="457"/>
      <c r="L91" s="476"/>
      <c r="M91" s="745"/>
      <c r="N91" s="365"/>
      <c r="O91" s="738"/>
    </row>
    <row r="92" spans="1:15" s="366" customFormat="1" ht="15.6" x14ac:dyDescent="0.3">
      <c r="A92" s="1349"/>
      <c r="B92" s="1297" t="s">
        <v>904</v>
      </c>
      <c r="C92" s="387" t="s">
        <v>1134</v>
      </c>
      <c r="D92" s="388"/>
      <c r="E92" s="388"/>
      <c r="F92" s="388"/>
      <c r="G92" s="388"/>
      <c r="H92" s="388"/>
      <c r="I92" s="389" t="s">
        <v>1328</v>
      </c>
      <c r="J92" s="363"/>
      <c r="K92" s="457">
        <f>K93+K94+K95</f>
        <v>5332603.96</v>
      </c>
      <c r="L92" s="476"/>
      <c r="M92" s="457">
        <f>M93+M94+M95</f>
        <v>1642042.6099999999</v>
      </c>
      <c r="N92" s="365"/>
      <c r="O92" s="1288" t="s">
        <v>1097</v>
      </c>
    </row>
    <row r="93" spans="1:15" s="366" customFormat="1" ht="15.6" x14ac:dyDescent="0.3">
      <c r="A93" s="1344"/>
      <c r="B93" s="1298"/>
      <c r="C93" s="382"/>
      <c r="D93" s="386"/>
      <c r="E93" s="386"/>
      <c r="F93" s="386"/>
      <c r="G93" s="386"/>
      <c r="H93" s="386"/>
      <c r="I93" s="383"/>
      <c r="J93" s="363" t="s">
        <v>162</v>
      </c>
      <c r="K93" s="457">
        <v>5094348.96</v>
      </c>
      <c r="L93" s="476"/>
      <c r="M93" s="445">
        <f>267156.78+80681.33+323666.55+97747.31+286809.24+85408.41+372193.19+370.8+103763</f>
        <v>1617796.6099999999</v>
      </c>
      <c r="N93" s="365"/>
      <c r="O93" s="1289"/>
    </row>
    <row r="94" spans="1:15" s="366" customFormat="1" ht="15.6" x14ac:dyDescent="0.3">
      <c r="A94" s="1344"/>
      <c r="B94" s="1298"/>
      <c r="C94" s="382"/>
      <c r="D94" s="362"/>
      <c r="E94" s="362"/>
      <c r="F94" s="362"/>
      <c r="G94" s="362"/>
      <c r="H94" s="362"/>
      <c r="I94" s="383"/>
      <c r="J94" s="363" t="s">
        <v>586</v>
      </c>
      <c r="K94" s="464">
        <f>237874-2000-1000</f>
        <v>234874</v>
      </c>
      <c r="L94" s="476"/>
      <c r="M94" s="445">
        <f>2490+14256+5500</f>
        <v>22246</v>
      </c>
      <c r="N94" s="365"/>
      <c r="O94" s="1289"/>
    </row>
    <row r="95" spans="1:15" s="366" customFormat="1" ht="15.6" x14ac:dyDescent="0.3">
      <c r="A95" s="1345"/>
      <c r="B95" s="1299"/>
      <c r="C95" s="384"/>
      <c r="D95" s="362"/>
      <c r="E95" s="362"/>
      <c r="F95" s="362"/>
      <c r="G95" s="362"/>
      <c r="H95" s="362"/>
      <c r="I95" s="383"/>
      <c r="J95" s="363" t="s">
        <v>528</v>
      </c>
      <c r="K95" s="464">
        <f>381+2000+1000</f>
        <v>3381</v>
      </c>
      <c r="L95" s="476"/>
      <c r="M95" s="445">
        <v>2000</v>
      </c>
      <c r="N95" s="365"/>
      <c r="O95" s="1289"/>
    </row>
    <row r="96" spans="1:15" s="366" customFormat="1" ht="18" x14ac:dyDescent="0.35">
      <c r="A96" s="446"/>
      <c r="B96" s="1300" t="s">
        <v>909</v>
      </c>
      <c r="C96" s="732" t="s">
        <v>1134</v>
      </c>
      <c r="D96" s="479"/>
      <c r="E96" s="479"/>
      <c r="F96" s="479"/>
      <c r="G96" s="479"/>
      <c r="H96" s="479"/>
      <c r="I96" s="389" t="s">
        <v>1329</v>
      </c>
      <c r="J96" s="363"/>
      <c r="K96" s="457">
        <f>K97+K98</f>
        <v>1819282.1800000002</v>
      </c>
      <c r="L96" s="476"/>
      <c r="M96" s="457">
        <f>M97+M98</f>
        <v>644129.76</v>
      </c>
      <c r="N96" s="365"/>
      <c r="O96" s="1290"/>
    </row>
    <row r="97" spans="1:15" s="366" customFormat="1" ht="18" x14ac:dyDescent="0.35">
      <c r="A97" s="481"/>
      <c r="B97" s="1301"/>
      <c r="C97" s="1303"/>
      <c r="D97" s="482"/>
      <c r="E97" s="482"/>
      <c r="F97" s="482"/>
      <c r="G97" s="482"/>
      <c r="H97" s="482"/>
      <c r="I97" s="1305"/>
      <c r="J97" s="363" t="s">
        <v>586</v>
      </c>
      <c r="K97" s="650">
        <f>810750.26+771343.92+219062</f>
        <v>1801156.1800000002</v>
      </c>
      <c r="L97" s="476"/>
      <c r="M97" s="445">
        <f>26103.04+260144.02+193989.2+163893.5</f>
        <v>644129.76</v>
      </c>
      <c r="N97" s="365"/>
      <c r="O97" s="721"/>
    </row>
    <row r="98" spans="1:15" s="366" customFormat="1" ht="18" x14ac:dyDescent="0.35">
      <c r="A98" s="481"/>
      <c r="B98" s="1302"/>
      <c r="C98" s="1304"/>
      <c r="D98" s="482"/>
      <c r="E98" s="482"/>
      <c r="F98" s="482"/>
      <c r="G98" s="482"/>
      <c r="H98" s="482"/>
      <c r="I98" s="1306"/>
      <c r="J98" s="363" t="s">
        <v>528</v>
      </c>
      <c r="K98" s="372">
        <v>18126</v>
      </c>
      <c r="L98" s="476"/>
      <c r="M98" s="445"/>
      <c r="N98" s="365"/>
      <c r="O98" s="721"/>
    </row>
    <row r="99" spans="1:15" s="474" customFormat="1" ht="15.6" x14ac:dyDescent="0.3">
      <c r="A99" s="1357"/>
      <c r="B99" s="1360" t="s">
        <v>1230</v>
      </c>
      <c r="C99" s="395" t="s">
        <v>1093</v>
      </c>
      <c r="D99" s="475"/>
      <c r="E99" s="475"/>
      <c r="F99" s="475"/>
      <c r="G99" s="475"/>
      <c r="H99" s="475"/>
      <c r="I99" s="397" t="s">
        <v>1226</v>
      </c>
      <c r="J99" s="371"/>
      <c r="K99" s="372">
        <f>K100+K101+K102</f>
        <v>28501970.560000002</v>
      </c>
      <c r="L99" s="476"/>
      <c r="M99" s="372">
        <f>M100+M101+M102</f>
        <v>8612208.3399999999</v>
      </c>
      <c r="N99" s="476"/>
      <c r="O99" s="1280" t="s">
        <v>151</v>
      </c>
    </row>
    <row r="100" spans="1:15" s="474" customFormat="1" ht="15.6" x14ac:dyDescent="0.3">
      <c r="A100" s="1358"/>
      <c r="B100" s="1361"/>
      <c r="C100" s="390"/>
      <c r="D100" s="517"/>
      <c r="E100" s="517"/>
      <c r="F100" s="517"/>
      <c r="G100" s="517"/>
      <c r="H100" s="517"/>
      <c r="I100" s="391"/>
      <c r="J100" s="371" t="s">
        <v>162</v>
      </c>
      <c r="K100" s="650">
        <f>24557419.37-365566-80593.54</f>
        <v>24111259.830000002</v>
      </c>
      <c r="L100" s="476"/>
      <c r="M100" s="445">
        <f>1217872.51+88843.54+627345.62+1042801.37+36724.5+434017.63+1452587.28+18150+467538.72+1868313.96+17423.5+199936.57</f>
        <v>7471555.2000000002</v>
      </c>
      <c r="N100" s="476"/>
      <c r="O100" s="1282"/>
    </row>
    <row r="101" spans="1:15" s="474" customFormat="1" ht="15.6" x14ac:dyDescent="0.3">
      <c r="A101" s="1358"/>
      <c r="B101" s="1361"/>
      <c r="C101" s="390"/>
      <c r="D101" s="518"/>
      <c r="E101" s="518"/>
      <c r="F101" s="518"/>
      <c r="G101" s="518"/>
      <c r="H101" s="518"/>
      <c r="I101" s="391"/>
      <c r="J101" s="371" t="s">
        <v>586</v>
      </c>
      <c r="K101" s="650">
        <f>3678500+365566+80593.54</f>
        <v>4124659.54</v>
      </c>
      <c r="L101" s="476"/>
      <c r="M101" s="445">
        <f>101785.52+235044.2+480428.05+313585.37</f>
        <v>1130843.1400000001</v>
      </c>
      <c r="N101" s="476"/>
      <c r="O101" s="1282"/>
    </row>
    <row r="102" spans="1:15" s="474" customFormat="1" ht="15.6" x14ac:dyDescent="0.3">
      <c r="A102" s="1359"/>
      <c r="B102" s="1362"/>
      <c r="C102" s="392"/>
      <c r="D102" s="518"/>
      <c r="E102" s="518"/>
      <c r="F102" s="518"/>
      <c r="G102" s="518"/>
      <c r="H102" s="518"/>
      <c r="I102" s="393"/>
      <c r="J102" s="371" t="s">
        <v>528</v>
      </c>
      <c r="K102" s="372">
        <v>266051.19</v>
      </c>
      <c r="L102" s="476"/>
      <c r="M102" s="445">
        <f>3197+6613</f>
        <v>9810</v>
      </c>
      <c r="N102" s="476"/>
      <c r="O102" s="1282"/>
    </row>
    <row r="103" spans="1:15" s="474" customFormat="1" ht="62.4" x14ac:dyDescent="0.3">
      <c r="A103" s="708"/>
      <c r="B103" s="748" t="s">
        <v>1383</v>
      </c>
      <c r="C103" s="387" t="s">
        <v>1130</v>
      </c>
      <c r="D103" s="518"/>
      <c r="E103" s="518"/>
      <c r="F103" s="518"/>
      <c r="G103" s="518"/>
      <c r="H103" s="518"/>
      <c r="I103" s="397" t="s">
        <v>1384</v>
      </c>
      <c r="J103" s="371" t="s">
        <v>528</v>
      </c>
      <c r="K103" s="650">
        <v>494846.92</v>
      </c>
      <c r="L103" s="476"/>
      <c r="M103" s="445"/>
      <c r="N103" s="476"/>
      <c r="O103" s="1281"/>
    </row>
    <row r="104" spans="1:15" s="474" customFormat="1" ht="31.2" x14ac:dyDescent="0.3">
      <c r="A104" s="708"/>
      <c r="B104" s="709" t="s">
        <v>1353</v>
      </c>
      <c r="C104" s="395" t="s">
        <v>1093</v>
      </c>
      <c r="D104" s="475"/>
      <c r="E104" s="475"/>
      <c r="F104" s="475"/>
      <c r="G104" s="475"/>
      <c r="H104" s="475"/>
      <c r="I104" s="397" t="s">
        <v>1354</v>
      </c>
      <c r="J104" s="371" t="s">
        <v>528</v>
      </c>
      <c r="K104" s="372">
        <v>400000</v>
      </c>
      <c r="L104" s="476"/>
      <c r="M104" s="445"/>
      <c r="N104" s="476"/>
      <c r="O104" s="1281"/>
    </row>
    <row r="105" spans="1:15" s="366" customFormat="1" ht="46.8" x14ac:dyDescent="0.3">
      <c r="A105" s="388"/>
      <c r="B105" s="459" t="s">
        <v>610</v>
      </c>
      <c r="C105" s="387" t="s">
        <v>1130</v>
      </c>
      <c r="D105" s="365"/>
      <c r="E105" s="365"/>
      <c r="F105" s="365"/>
      <c r="G105" s="365"/>
      <c r="H105" s="365"/>
      <c r="I105" s="452" t="s">
        <v>1233</v>
      </c>
      <c r="J105" s="363" t="s">
        <v>613</v>
      </c>
      <c r="K105" s="457">
        <v>11822578.16</v>
      </c>
      <c r="L105" s="476"/>
      <c r="M105" s="445">
        <f>582207.78+1087559.96+1228848.09+1469746.84</f>
        <v>4368362.67</v>
      </c>
      <c r="N105" s="365"/>
      <c r="O105" s="1282"/>
    </row>
    <row r="106" spans="1:15" s="366" customFormat="1" ht="15.6" hidden="1" x14ac:dyDescent="0.3">
      <c r="A106" s="388"/>
      <c r="B106" s="459" t="s">
        <v>1174</v>
      </c>
      <c r="C106" s="387" t="s">
        <v>1130</v>
      </c>
      <c r="D106" s="365"/>
      <c r="E106" s="365"/>
      <c r="F106" s="365"/>
      <c r="G106" s="365"/>
      <c r="H106" s="365"/>
      <c r="I106" s="452" t="s">
        <v>1175</v>
      </c>
      <c r="J106" s="363" t="s">
        <v>528</v>
      </c>
      <c r="K106" s="457"/>
      <c r="L106" s="476"/>
      <c r="M106" s="445"/>
      <c r="N106" s="365"/>
      <c r="O106" s="1282"/>
    </row>
    <row r="107" spans="1:15" s="474" customFormat="1" ht="15.6" x14ac:dyDescent="0.3">
      <c r="A107" s="475"/>
      <c r="B107" s="423" t="s">
        <v>604</v>
      </c>
      <c r="C107" s="395" t="s">
        <v>1129</v>
      </c>
      <c r="D107" s="476"/>
      <c r="E107" s="476"/>
      <c r="F107" s="476"/>
      <c r="G107" s="476"/>
      <c r="H107" s="476"/>
      <c r="I107" s="477" t="s">
        <v>1229</v>
      </c>
      <c r="J107" s="371" t="s">
        <v>528</v>
      </c>
      <c r="K107" s="457">
        <v>334218</v>
      </c>
      <c r="L107" s="476"/>
      <c r="M107" s="445"/>
      <c r="N107" s="476"/>
      <c r="O107" s="1282"/>
    </row>
    <row r="108" spans="1:15" s="366" customFormat="1" ht="31.2" x14ac:dyDescent="0.3">
      <c r="A108" s="388"/>
      <c r="B108" s="459" t="s">
        <v>771</v>
      </c>
      <c r="C108" s="387" t="s">
        <v>1111</v>
      </c>
      <c r="D108" s="365"/>
      <c r="E108" s="365"/>
      <c r="F108" s="365"/>
      <c r="G108" s="365"/>
      <c r="H108" s="365"/>
      <c r="I108" s="452" t="s">
        <v>1290</v>
      </c>
      <c r="J108" s="363" t="s">
        <v>586</v>
      </c>
      <c r="K108" s="457">
        <v>50000</v>
      </c>
      <c r="L108" s="476"/>
      <c r="M108" s="445"/>
      <c r="N108" s="365"/>
      <c r="O108" s="1282"/>
    </row>
    <row r="109" spans="1:15" s="366" customFormat="1" ht="62.4" hidden="1" x14ac:dyDescent="0.3">
      <c r="A109" s="388"/>
      <c r="B109" s="483" t="s">
        <v>1187</v>
      </c>
      <c r="C109" s="387" t="s">
        <v>1161</v>
      </c>
      <c r="D109" s="365"/>
      <c r="E109" s="365"/>
      <c r="F109" s="365"/>
      <c r="G109" s="365"/>
      <c r="H109" s="365"/>
      <c r="I109" s="452" t="s">
        <v>1162</v>
      </c>
      <c r="J109" s="363" t="s">
        <v>528</v>
      </c>
      <c r="K109" s="372"/>
      <c r="L109" s="476"/>
      <c r="M109" s="445"/>
      <c r="N109" s="365"/>
      <c r="O109" s="1283"/>
    </row>
    <row r="110" spans="1:15" s="366" customFormat="1" ht="62.4" hidden="1" x14ac:dyDescent="0.3">
      <c r="A110" s="388"/>
      <c r="B110" s="423" t="s">
        <v>1188</v>
      </c>
      <c r="C110" s="387" t="s">
        <v>1185</v>
      </c>
      <c r="D110" s="365"/>
      <c r="E110" s="365"/>
      <c r="F110" s="365"/>
      <c r="G110" s="365"/>
      <c r="H110" s="365"/>
      <c r="I110" s="484" t="s">
        <v>1186</v>
      </c>
      <c r="J110" s="389" t="s">
        <v>528</v>
      </c>
      <c r="K110" s="559"/>
      <c r="L110" s="476"/>
      <c r="M110" s="661"/>
      <c r="N110" s="365"/>
      <c r="O110" s="719" t="s">
        <v>968</v>
      </c>
    </row>
    <row r="111" spans="1:15" s="366" customFormat="1" ht="72" x14ac:dyDescent="0.35">
      <c r="A111" s="425">
        <v>11</v>
      </c>
      <c r="B111" s="435" t="s">
        <v>563</v>
      </c>
      <c r="C111" s="428"/>
      <c r="D111" s="428"/>
      <c r="E111" s="428"/>
      <c r="F111" s="428"/>
      <c r="G111" s="428"/>
      <c r="H111" s="428"/>
      <c r="I111" s="429" t="s">
        <v>1346</v>
      </c>
      <c r="J111" s="430"/>
      <c r="K111" s="473">
        <f>K112+K113+K114+K115+K116+K117+K119+K120+K118</f>
        <v>5058249.99</v>
      </c>
      <c r="L111" s="568"/>
      <c r="M111" s="473">
        <f>M112+M113+M114+M115+M116+M117+M119+M120+M118</f>
        <v>709248.03</v>
      </c>
      <c r="N111" s="428"/>
      <c r="O111" s="432" t="s">
        <v>1147</v>
      </c>
    </row>
    <row r="112" spans="1:15" s="366" customFormat="1" ht="46.8" x14ac:dyDescent="0.35">
      <c r="A112" s="425"/>
      <c r="B112" s="459" t="s">
        <v>618</v>
      </c>
      <c r="C112" s="387" t="s">
        <v>1137</v>
      </c>
      <c r="D112" s="428"/>
      <c r="E112" s="428"/>
      <c r="F112" s="428"/>
      <c r="G112" s="428"/>
      <c r="H112" s="428"/>
      <c r="I112" s="452" t="s">
        <v>1235</v>
      </c>
      <c r="J112" s="363" t="s">
        <v>586</v>
      </c>
      <c r="K112" s="464">
        <f>515000-250000</f>
        <v>265000</v>
      </c>
      <c r="L112" s="568"/>
      <c r="M112" s="569">
        <f>30000-25141</f>
        <v>4859</v>
      </c>
      <c r="N112" s="428"/>
      <c r="O112" s="1288" t="s">
        <v>151</v>
      </c>
    </row>
    <row r="113" spans="1:15" s="366" customFormat="1" ht="18" x14ac:dyDescent="0.35">
      <c r="A113" s="425"/>
      <c r="B113" s="459" t="s">
        <v>621</v>
      </c>
      <c r="C113" s="387" t="s">
        <v>1137</v>
      </c>
      <c r="D113" s="428"/>
      <c r="E113" s="428"/>
      <c r="F113" s="428"/>
      <c r="G113" s="428"/>
      <c r="H113" s="428"/>
      <c r="I113" s="452" t="s">
        <v>1236</v>
      </c>
      <c r="J113" s="363" t="s">
        <v>586</v>
      </c>
      <c r="K113" s="457">
        <v>212500</v>
      </c>
      <c r="L113" s="568"/>
      <c r="M113" s="569">
        <v>20531.04</v>
      </c>
      <c r="N113" s="428"/>
      <c r="O113" s="1289"/>
    </row>
    <row r="114" spans="1:15" s="366" customFormat="1" ht="31.2" x14ac:dyDescent="0.35">
      <c r="A114" s="425"/>
      <c r="B114" s="459" t="s">
        <v>731</v>
      </c>
      <c r="C114" s="387" t="s">
        <v>1107</v>
      </c>
      <c r="D114" s="428"/>
      <c r="E114" s="428"/>
      <c r="F114" s="428"/>
      <c r="G114" s="428"/>
      <c r="H114" s="428"/>
      <c r="I114" s="452" t="s">
        <v>1274</v>
      </c>
      <c r="J114" s="363" t="s">
        <v>586</v>
      </c>
      <c r="K114" s="457">
        <v>50000</v>
      </c>
      <c r="L114" s="568"/>
      <c r="M114" s="569"/>
      <c r="N114" s="428"/>
      <c r="O114" s="1289"/>
    </row>
    <row r="115" spans="1:15" s="515" customFormat="1" ht="31.2" x14ac:dyDescent="0.35">
      <c r="A115" s="567"/>
      <c r="B115" s="423" t="s">
        <v>736</v>
      </c>
      <c r="C115" s="395" t="s">
        <v>1107</v>
      </c>
      <c r="D115" s="568"/>
      <c r="E115" s="568"/>
      <c r="F115" s="568"/>
      <c r="G115" s="568"/>
      <c r="H115" s="568"/>
      <c r="I115" s="477" t="s">
        <v>1275</v>
      </c>
      <c r="J115" s="371" t="s">
        <v>586</v>
      </c>
      <c r="K115" s="457">
        <v>53000</v>
      </c>
      <c r="L115" s="568"/>
      <c r="M115" s="569"/>
      <c r="N115" s="570"/>
      <c r="O115" s="1290"/>
    </row>
    <row r="116" spans="1:15" s="366" customFormat="1" ht="31.2" x14ac:dyDescent="0.35">
      <c r="A116" s="425"/>
      <c r="B116" s="459" t="s">
        <v>834</v>
      </c>
      <c r="C116" s="387" t="s">
        <v>1105</v>
      </c>
      <c r="D116" s="428"/>
      <c r="E116" s="428"/>
      <c r="F116" s="428"/>
      <c r="G116" s="428"/>
      <c r="H116" s="428"/>
      <c r="I116" s="452" t="s">
        <v>1308</v>
      </c>
      <c r="J116" s="363" t="s">
        <v>613</v>
      </c>
      <c r="K116" s="457">
        <v>1650000</v>
      </c>
      <c r="L116" s="568"/>
      <c r="M116" s="569"/>
      <c r="N116" s="428"/>
      <c r="O116" s="1291" t="s">
        <v>968</v>
      </c>
    </row>
    <row r="117" spans="1:15" s="366" customFormat="1" ht="31.5" customHeight="1" x14ac:dyDescent="0.35">
      <c r="A117" s="425"/>
      <c r="B117" s="1293" t="s">
        <v>831</v>
      </c>
      <c r="C117" s="387" t="s">
        <v>1105</v>
      </c>
      <c r="D117" s="428"/>
      <c r="E117" s="428"/>
      <c r="F117" s="428"/>
      <c r="G117" s="428"/>
      <c r="H117" s="428"/>
      <c r="I117" s="1295" t="s">
        <v>1307</v>
      </c>
      <c r="J117" s="363" t="s">
        <v>613</v>
      </c>
      <c r="K117" s="457">
        <v>300000</v>
      </c>
      <c r="L117" s="568"/>
      <c r="M117" s="569"/>
      <c r="N117" s="428"/>
      <c r="O117" s="1292"/>
    </row>
    <row r="118" spans="1:15" s="366" customFormat="1" ht="18" hidden="1" x14ac:dyDescent="0.35">
      <c r="A118" s="425"/>
      <c r="B118" s="1294"/>
      <c r="C118" s="387" t="s">
        <v>1142</v>
      </c>
      <c r="D118" s="428"/>
      <c r="E118" s="428"/>
      <c r="F118" s="428"/>
      <c r="G118" s="428"/>
      <c r="H118" s="428"/>
      <c r="I118" s="1296"/>
      <c r="J118" s="363" t="s">
        <v>613</v>
      </c>
      <c r="K118" s="372"/>
      <c r="L118" s="568"/>
      <c r="M118" s="569"/>
      <c r="N118" s="428"/>
      <c r="O118" s="723"/>
    </row>
    <row r="119" spans="1:15" s="366" customFormat="1" ht="31.2" x14ac:dyDescent="0.35">
      <c r="A119" s="425"/>
      <c r="B119" s="459" t="s">
        <v>912</v>
      </c>
      <c r="C119" s="387" t="s">
        <v>1138</v>
      </c>
      <c r="D119" s="428"/>
      <c r="E119" s="428"/>
      <c r="F119" s="428"/>
      <c r="G119" s="428"/>
      <c r="H119" s="428"/>
      <c r="I119" s="452" t="s">
        <v>1330</v>
      </c>
      <c r="J119" s="363" t="s">
        <v>613</v>
      </c>
      <c r="K119" s="372">
        <v>2497749.9900000002</v>
      </c>
      <c r="L119" s="568"/>
      <c r="M119" s="569">
        <f>156868.34+144625.25+188115.22+194249.18</f>
        <v>683857.99</v>
      </c>
      <c r="N119" s="428"/>
      <c r="O119" s="495" t="s">
        <v>1097</v>
      </c>
    </row>
    <row r="120" spans="1:15" s="366" customFormat="1" ht="51" customHeight="1" x14ac:dyDescent="0.35">
      <c r="A120" s="425"/>
      <c r="B120" s="521" t="s">
        <v>1198</v>
      </c>
      <c r="C120" s="387" t="s">
        <v>1107</v>
      </c>
      <c r="D120" s="428"/>
      <c r="E120" s="428"/>
      <c r="F120" s="428"/>
      <c r="G120" s="428"/>
      <c r="H120" s="428"/>
      <c r="I120" s="484" t="s">
        <v>1276</v>
      </c>
      <c r="J120" s="389" t="s">
        <v>586</v>
      </c>
      <c r="K120" s="559">
        <v>30000</v>
      </c>
      <c r="L120" s="568"/>
      <c r="M120" s="554"/>
      <c r="N120" s="428"/>
      <c r="O120" s="495"/>
    </row>
    <row r="121" spans="1:15" s="366" customFormat="1" ht="52.8" x14ac:dyDescent="0.35">
      <c r="A121" s="425">
        <v>12</v>
      </c>
      <c r="B121" s="435" t="s">
        <v>558</v>
      </c>
      <c r="C121" s="428"/>
      <c r="D121" s="428"/>
      <c r="E121" s="428"/>
      <c r="F121" s="428"/>
      <c r="G121" s="428"/>
      <c r="H121" s="428"/>
      <c r="I121" s="429" t="s">
        <v>1347</v>
      </c>
      <c r="J121" s="430"/>
      <c r="K121" s="473">
        <f>K122+K123+K124+K125+K126+K127+K128+K129+K130+K131+K132+K134+K135+K136+K137+K141+K145+K133</f>
        <v>207065614.59000006</v>
      </c>
      <c r="L121" s="568"/>
      <c r="M121" s="473">
        <f>M122+M123+M124+M125+M126+M127+M128+M129+M130+M131+M132+M134+M135+M136+M137+M141+M145+M133</f>
        <v>60536223.979999997</v>
      </c>
      <c r="N121" s="428"/>
      <c r="O121" s="432" t="s">
        <v>1147</v>
      </c>
    </row>
    <row r="122" spans="1:15" s="366" customFormat="1" ht="18" hidden="1" x14ac:dyDescent="0.35">
      <c r="A122" s="425"/>
      <c r="B122" s="423" t="s">
        <v>1153</v>
      </c>
      <c r="C122" s="387" t="s">
        <v>1139</v>
      </c>
      <c r="D122" s="428"/>
      <c r="E122" s="428"/>
      <c r="F122" s="428"/>
      <c r="G122" s="428"/>
      <c r="H122" s="428"/>
      <c r="I122" s="452" t="s">
        <v>818</v>
      </c>
      <c r="J122" s="363" t="s">
        <v>586</v>
      </c>
      <c r="K122" s="457">
        <v>0</v>
      </c>
      <c r="L122" s="568"/>
      <c r="M122" s="569"/>
      <c r="N122" s="428"/>
      <c r="O122" s="1288" t="s">
        <v>151</v>
      </c>
    </row>
    <row r="123" spans="1:15" s="366" customFormat="1" ht="18" x14ac:dyDescent="0.35">
      <c r="A123" s="425"/>
      <c r="B123" s="459" t="s">
        <v>725</v>
      </c>
      <c r="C123" s="387" t="s">
        <v>1140</v>
      </c>
      <c r="D123" s="428"/>
      <c r="E123" s="428"/>
      <c r="F123" s="428"/>
      <c r="G123" s="428"/>
      <c r="H123" s="428"/>
      <c r="I123" s="452" t="s">
        <v>1272</v>
      </c>
      <c r="J123" s="363" t="s">
        <v>586</v>
      </c>
      <c r="K123" s="457">
        <v>8000000</v>
      </c>
      <c r="L123" s="568"/>
      <c r="M123" s="569"/>
      <c r="N123" s="428"/>
      <c r="O123" s="1289"/>
    </row>
    <row r="124" spans="1:15" s="366" customFormat="1" ht="31.2" x14ac:dyDescent="0.35">
      <c r="A124" s="425"/>
      <c r="B124" s="459" t="s">
        <v>1278</v>
      </c>
      <c r="C124" s="387" t="s">
        <v>1107</v>
      </c>
      <c r="D124" s="428"/>
      <c r="E124" s="428"/>
      <c r="F124" s="428"/>
      <c r="G124" s="428"/>
      <c r="H124" s="428"/>
      <c r="I124" s="452" t="s">
        <v>1277</v>
      </c>
      <c r="J124" s="363" t="s">
        <v>586</v>
      </c>
      <c r="K124" s="457">
        <v>114734.39999999999</v>
      </c>
      <c r="L124" s="568"/>
      <c r="M124" s="569">
        <f>1100+10234+53656.71</f>
        <v>64990.71</v>
      </c>
      <c r="N124" s="428"/>
      <c r="O124" s="1290"/>
    </row>
    <row r="125" spans="1:15" s="366" customFormat="1" ht="31.2" x14ac:dyDescent="0.35">
      <c r="A125" s="425"/>
      <c r="B125" s="459" t="s">
        <v>915</v>
      </c>
      <c r="C125" s="387" t="s">
        <v>1146</v>
      </c>
      <c r="D125" s="428"/>
      <c r="E125" s="428"/>
      <c r="F125" s="428"/>
      <c r="G125" s="428"/>
      <c r="H125" s="428"/>
      <c r="I125" s="452" t="s">
        <v>1331</v>
      </c>
      <c r="J125" s="363" t="s">
        <v>613</v>
      </c>
      <c r="K125" s="457">
        <v>7636834.5599999996</v>
      </c>
      <c r="L125" s="568"/>
      <c r="M125" s="569">
        <f>363230.85+492151.88+489303.4+384974.99</f>
        <v>1729661.1199999999</v>
      </c>
      <c r="N125" s="428"/>
      <c r="O125" s="722" t="s">
        <v>1097</v>
      </c>
    </row>
    <row r="126" spans="1:15" s="366" customFormat="1" ht="18" x14ac:dyDescent="0.35">
      <c r="A126" s="425"/>
      <c r="B126" s="459" t="s">
        <v>817</v>
      </c>
      <c r="C126" s="387" t="s">
        <v>1142</v>
      </c>
      <c r="D126" s="428"/>
      <c r="E126" s="428"/>
      <c r="F126" s="428"/>
      <c r="G126" s="428"/>
      <c r="H126" s="428"/>
      <c r="I126" s="452" t="s">
        <v>1304</v>
      </c>
      <c r="J126" s="363" t="s">
        <v>613</v>
      </c>
      <c r="K126" s="464">
        <f>1200000+36882185.35-36300000</f>
        <v>1782185.3500000015</v>
      </c>
      <c r="L126" s="568"/>
      <c r="M126" s="569">
        <f>585817.49+80129.95+50000+99000+28788</f>
        <v>843735.44</v>
      </c>
      <c r="N126" s="428"/>
      <c r="O126" s="1288" t="s">
        <v>968</v>
      </c>
    </row>
    <row r="127" spans="1:15" s="366" customFormat="1" ht="31.2" x14ac:dyDescent="0.35">
      <c r="A127" s="425"/>
      <c r="B127" s="459" t="s">
        <v>814</v>
      </c>
      <c r="C127" s="387" t="s">
        <v>1142</v>
      </c>
      <c r="D127" s="428"/>
      <c r="E127" s="428"/>
      <c r="F127" s="428"/>
      <c r="G127" s="428"/>
      <c r="H127" s="428"/>
      <c r="I127" s="452" t="s">
        <v>1303</v>
      </c>
      <c r="J127" s="363" t="s">
        <v>613</v>
      </c>
      <c r="K127" s="457">
        <f>34085991.49+3149000+14433000</f>
        <v>51667991.490000002</v>
      </c>
      <c r="L127" s="568"/>
      <c r="M127" s="569">
        <f>2356160.12+452255.67+3660357.99+873532.27+21680+65980+4123273.33+883777.74+3586455.13+32990+710340.32+10840</f>
        <v>16777642.57</v>
      </c>
      <c r="N127" s="428"/>
      <c r="O127" s="1289"/>
    </row>
    <row r="128" spans="1:15" s="366" customFormat="1" ht="31.2" x14ac:dyDescent="0.35">
      <c r="A128" s="425"/>
      <c r="B128" s="459" t="s">
        <v>837</v>
      </c>
      <c r="C128" s="387" t="s">
        <v>1105</v>
      </c>
      <c r="D128" s="428"/>
      <c r="E128" s="428"/>
      <c r="F128" s="428"/>
      <c r="G128" s="428"/>
      <c r="H128" s="428"/>
      <c r="I128" s="452" t="s">
        <v>1309</v>
      </c>
      <c r="J128" s="363" t="s">
        <v>613</v>
      </c>
      <c r="K128" s="464">
        <f>95155748.66+5078000-14769460.99-500000</f>
        <v>84964287.670000002</v>
      </c>
      <c r="L128" s="568"/>
      <c r="M128" s="569">
        <f>4290134.18+215001.81+6724002.5+346703.2+245656.77+23755+8882268.11+288534.14+6866405.26+180487+233607.5+11877.5</f>
        <v>28308432.969999999</v>
      </c>
      <c r="N128" s="428"/>
      <c r="O128" s="1289"/>
    </row>
    <row r="129" spans="1:15" s="366" customFormat="1" ht="31.2" x14ac:dyDescent="0.35">
      <c r="A129" s="425"/>
      <c r="B129" s="459" t="s">
        <v>840</v>
      </c>
      <c r="C129" s="387" t="s">
        <v>1105</v>
      </c>
      <c r="D129" s="428"/>
      <c r="E129" s="428"/>
      <c r="F129" s="428"/>
      <c r="G129" s="428"/>
      <c r="H129" s="428"/>
      <c r="I129" s="452" t="s">
        <v>1310</v>
      </c>
      <c r="J129" s="363" t="s">
        <v>613</v>
      </c>
      <c r="K129" s="457">
        <f>6355514.52+25000</f>
        <v>6380514.5199999996</v>
      </c>
      <c r="L129" s="568"/>
      <c r="M129" s="569">
        <f>588256.75+563774.2+525742.9+562037.94</f>
        <v>2239811.79</v>
      </c>
      <c r="N129" s="428"/>
      <c r="O129" s="1289"/>
    </row>
    <row r="130" spans="1:15" s="366" customFormat="1" ht="18" x14ac:dyDescent="0.35">
      <c r="A130" s="425"/>
      <c r="B130" s="459" t="s">
        <v>725</v>
      </c>
      <c r="C130" s="387" t="s">
        <v>1105</v>
      </c>
      <c r="D130" s="428"/>
      <c r="E130" s="428"/>
      <c r="F130" s="428"/>
      <c r="G130" s="428"/>
      <c r="H130" s="428"/>
      <c r="I130" s="452" t="s">
        <v>1272</v>
      </c>
      <c r="J130" s="363" t="s">
        <v>613</v>
      </c>
      <c r="K130" s="457">
        <f>17174500+1467814.65</f>
        <v>18642314.649999999</v>
      </c>
      <c r="L130" s="568"/>
      <c r="M130" s="569">
        <f>2307366.72+54716.15+53834+411162.21</f>
        <v>2827079.08</v>
      </c>
      <c r="N130" s="428"/>
      <c r="O130" s="1289"/>
    </row>
    <row r="131" spans="1:15" s="366" customFormat="1" ht="15.6" x14ac:dyDescent="0.3">
      <c r="A131" s="388"/>
      <c r="B131" s="459" t="s">
        <v>844</v>
      </c>
      <c r="C131" s="387" t="s">
        <v>1105</v>
      </c>
      <c r="D131" s="365"/>
      <c r="E131" s="365"/>
      <c r="F131" s="365"/>
      <c r="G131" s="365"/>
      <c r="H131" s="365"/>
      <c r="I131" s="452" t="s">
        <v>1311</v>
      </c>
      <c r="J131" s="363" t="s">
        <v>613</v>
      </c>
      <c r="K131" s="457">
        <v>483000</v>
      </c>
      <c r="L131" s="476"/>
      <c r="M131" s="569">
        <f>36608.7+1260.6</f>
        <v>37869.299999999996</v>
      </c>
      <c r="N131" s="365"/>
      <c r="O131" s="1289"/>
    </row>
    <row r="132" spans="1:15" s="366" customFormat="1" ht="46.8" x14ac:dyDescent="0.3">
      <c r="A132" s="388"/>
      <c r="B132" s="459" t="s">
        <v>847</v>
      </c>
      <c r="C132" s="387" t="s">
        <v>1105</v>
      </c>
      <c r="D132" s="365"/>
      <c r="E132" s="365"/>
      <c r="F132" s="365"/>
      <c r="G132" s="365"/>
      <c r="H132" s="365"/>
      <c r="I132" s="452" t="s">
        <v>1312</v>
      </c>
      <c r="J132" s="363" t="s">
        <v>613</v>
      </c>
      <c r="K132" s="457">
        <v>50000</v>
      </c>
      <c r="L132" s="476"/>
      <c r="M132" s="569"/>
      <c r="N132" s="365"/>
      <c r="O132" s="1289"/>
    </row>
    <row r="133" spans="1:15" s="366" customFormat="1" ht="15.6" x14ac:dyDescent="0.3">
      <c r="A133" s="1307"/>
      <c r="B133" s="1297" t="s">
        <v>864</v>
      </c>
      <c r="C133" s="1354" t="s">
        <v>1143</v>
      </c>
      <c r="D133" s="365"/>
      <c r="E133" s="365"/>
      <c r="F133" s="365"/>
      <c r="G133" s="365"/>
      <c r="H133" s="365"/>
      <c r="I133" s="1355" t="s">
        <v>1317</v>
      </c>
      <c r="J133" s="363" t="s">
        <v>764</v>
      </c>
      <c r="K133" s="457"/>
      <c r="L133" s="476"/>
      <c r="M133" s="569"/>
      <c r="N133" s="365"/>
      <c r="O133" s="1317"/>
    </row>
    <row r="134" spans="1:15" s="366" customFormat="1" ht="15.6" x14ac:dyDescent="0.3">
      <c r="A134" s="1308"/>
      <c r="B134" s="1299"/>
      <c r="C134" s="1304"/>
      <c r="D134" s="365"/>
      <c r="E134" s="365"/>
      <c r="F134" s="365"/>
      <c r="G134" s="365"/>
      <c r="H134" s="365"/>
      <c r="I134" s="1356"/>
      <c r="J134" s="363" t="s">
        <v>613</v>
      </c>
      <c r="K134" s="464">
        <f>1900000+500000</f>
        <v>2400000</v>
      </c>
      <c r="L134" s="476"/>
      <c r="M134" s="569">
        <f>405934.4+14760+30982.8</f>
        <v>451677.2</v>
      </c>
      <c r="N134" s="365"/>
      <c r="O134" s="1289"/>
    </row>
    <row r="135" spans="1:15" s="366" customFormat="1" ht="31.2" x14ac:dyDescent="0.3">
      <c r="A135" s="388"/>
      <c r="B135" s="459" t="s">
        <v>867</v>
      </c>
      <c r="C135" s="387" t="s">
        <v>1143</v>
      </c>
      <c r="D135" s="365"/>
      <c r="E135" s="365"/>
      <c r="F135" s="365"/>
      <c r="G135" s="365"/>
      <c r="H135" s="365"/>
      <c r="I135" s="452" t="s">
        <v>1318</v>
      </c>
      <c r="J135" s="363" t="s">
        <v>613</v>
      </c>
      <c r="K135" s="457">
        <v>100000</v>
      </c>
      <c r="L135" s="476"/>
      <c r="M135" s="569"/>
      <c r="N135" s="365"/>
      <c r="O135" s="1289"/>
    </row>
    <row r="136" spans="1:15" s="366" customFormat="1" ht="15.6" hidden="1" x14ac:dyDescent="0.3">
      <c r="A136" s="388"/>
      <c r="B136" s="459" t="s">
        <v>870</v>
      </c>
      <c r="C136" s="732" t="s">
        <v>1143</v>
      </c>
      <c r="D136" s="479"/>
      <c r="E136" s="479"/>
      <c r="F136" s="479"/>
      <c r="G136" s="479"/>
      <c r="H136" s="479"/>
      <c r="I136" s="480" t="s">
        <v>871</v>
      </c>
      <c r="J136" s="363" t="s">
        <v>613</v>
      </c>
      <c r="K136" s="457">
        <v>0</v>
      </c>
      <c r="L136" s="476"/>
      <c r="M136" s="569"/>
      <c r="N136" s="365"/>
      <c r="O136" s="1289"/>
    </row>
    <row r="137" spans="1:15" s="366" customFormat="1" ht="15.6" x14ac:dyDescent="0.3">
      <c r="A137" s="1307"/>
      <c r="B137" s="1297" t="s">
        <v>877</v>
      </c>
      <c r="C137" s="387" t="s">
        <v>1144</v>
      </c>
      <c r="D137" s="388"/>
      <c r="E137" s="388"/>
      <c r="F137" s="388"/>
      <c r="G137" s="388"/>
      <c r="H137" s="388"/>
      <c r="I137" s="389" t="s">
        <v>1320</v>
      </c>
      <c r="J137" s="363"/>
      <c r="K137" s="457">
        <f>K138+K139+K140</f>
        <v>5523184.1100000003</v>
      </c>
      <c r="L137" s="476"/>
      <c r="M137" s="457">
        <f>M138+M139+M140</f>
        <v>1739058.9400000002</v>
      </c>
      <c r="N137" s="365"/>
      <c r="O137" s="1289"/>
    </row>
    <row r="138" spans="1:15" s="366" customFormat="1" ht="15.6" x14ac:dyDescent="0.3">
      <c r="A138" s="1336"/>
      <c r="B138" s="1298"/>
      <c r="C138" s="1337"/>
      <c r="D138" s="386"/>
      <c r="E138" s="386"/>
      <c r="F138" s="386"/>
      <c r="G138" s="386"/>
      <c r="H138" s="386"/>
      <c r="I138" s="1340"/>
      <c r="J138" s="363" t="s">
        <v>162</v>
      </c>
      <c r="K138" s="457">
        <v>5429984.1100000003</v>
      </c>
      <c r="L138" s="476"/>
      <c r="M138" s="569">
        <f>267903.28+3600+367432.83+1840+187591.01+312722.84+1715+86278.38+380556.18+112813.98</f>
        <v>1722453.5000000002</v>
      </c>
      <c r="N138" s="365"/>
      <c r="O138" s="1289"/>
    </row>
    <row r="139" spans="1:15" s="366" customFormat="1" ht="15.6" x14ac:dyDescent="0.3">
      <c r="A139" s="1336"/>
      <c r="B139" s="1298"/>
      <c r="C139" s="1338"/>
      <c r="D139" s="362"/>
      <c r="E139" s="362"/>
      <c r="F139" s="362"/>
      <c r="G139" s="362"/>
      <c r="H139" s="362"/>
      <c r="I139" s="1341"/>
      <c r="J139" s="363" t="s">
        <v>586</v>
      </c>
      <c r="K139" s="457">
        <v>93200</v>
      </c>
      <c r="L139" s="476"/>
      <c r="M139" s="569">
        <f>6475.39+5003.42+5126.63</f>
        <v>16605.440000000002</v>
      </c>
      <c r="N139" s="365"/>
      <c r="O139" s="1289"/>
    </row>
    <row r="140" spans="1:15" s="366" customFormat="1" ht="15.6" x14ac:dyDescent="0.3">
      <c r="A140" s="1308"/>
      <c r="B140" s="1299"/>
      <c r="C140" s="1338"/>
      <c r="D140" s="488"/>
      <c r="E140" s="488"/>
      <c r="F140" s="488"/>
      <c r="G140" s="488"/>
      <c r="H140" s="488"/>
      <c r="I140" s="1341"/>
      <c r="J140" s="363" t="s">
        <v>528</v>
      </c>
      <c r="K140" s="457">
        <f>6000-6000</f>
        <v>0</v>
      </c>
      <c r="L140" s="476"/>
      <c r="M140" s="569"/>
      <c r="N140" s="365"/>
      <c r="O140" s="1289"/>
    </row>
    <row r="141" spans="1:15" s="366" customFormat="1" ht="15.6" x14ac:dyDescent="0.3">
      <c r="A141" s="1307"/>
      <c r="B141" s="1297" t="s">
        <v>882</v>
      </c>
      <c r="C141" s="387" t="s">
        <v>1144</v>
      </c>
      <c r="D141" s="388"/>
      <c r="E141" s="388"/>
      <c r="F141" s="388"/>
      <c r="G141" s="388"/>
      <c r="H141" s="388"/>
      <c r="I141" s="389" t="s">
        <v>1321</v>
      </c>
      <c r="J141" s="363"/>
      <c r="K141" s="457">
        <f>K142+K143+K144</f>
        <v>16641770.050000001</v>
      </c>
      <c r="L141" s="476"/>
      <c r="M141" s="457">
        <f>M142+M143+M144</f>
        <v>4634316.7800000012</v>
      </c>
      <c r="N141" s="365"/>
      <c r="O141" s="1289"/>
    </row>
    <row r="142" spans="1:15" s="366" customFormat="1" ht="15.6" x14ac:dyDescent="0.3">
      <c r="A142" s="1336"/>
      <c r="B142" s="1298"/>
      <c r="C142" s="1337"/>
      <c r="D142" s="386"/>
      <c r="E142" s="386"/>
      <c r="F142" s="386"/>
      <c r="G142" s="386"/>
      <c r="H142" s="386"/>
      <c r="I142" s="1340"/>
      <c r="J142" s="363" t="s">
        <v>162</v>
      </c>
      <c r="K142" s="457">
        <v>12358242.65</v>
      </c>
      <c r="L142" s="476"/>
      <c r="M142" s="569">
        <f>641319.57+6605.75+854663.7+4600+442773.64+706630.5+212830.71+2982353.46+4600+889773.06-2202613.77-4600-662210.1</f>
        <v>3876726.5200000009</v>
      </c>
      <c r="N142" s="365"/>
      <c r="O142" s="1289"/>
    </row>
    <row r="143" spans="1:15" s="366" customFormat="1" ht="15.6" x14ac:dyDescent="0.3">
      <c r="A143" s="1336"/>
      <c r="B143" s="1298"/>
      <c r="C143" s="1338"/>
      <c r="D143" s="362"/>
      <c r="E143" s="362"/>
      <c r="F143" s="362"/>
      <c r="G143" s="362"/>
      <c r="H143" s="362"/>
      <c r="I143" s="1341"/>
      <c r="J143" s="363" t="s">
        <v>586</v>
      </c>
      <c r="K143" s="457">
        <v>4275140.4000000004</v>
      </c>
      <c r="L143" s="476"/>
      <c r="M143" s="569">
        <f>37923.85+226540.51+208735.04+279803.86</f>
        <v>753003.26</v>
      </c>
      <c r="N143" s="365"/>
      <c r="O143" s="1289"/>
    </row>
    <row r="144" spans="1:15" s="366" customFormat="1" ht="15.6" x14ac:dyDescent="0.3">
      <c r="A144" s="1308"/>
      <c r="B144" s="1299"/>
      <c r="C144" s="1339"/>
      <c r="D144" s="362"/>
      <c r="E144" s="362"/>
      <c r="F144" s="362"/>
      <c r="G144" s="362"/>
      <c r="H144" s="362"/>
      <c r="I144" s="1342"/>
      <c r="J144" s="363" t="s">
        <v>528</v>
      </c>
      <c r="K144" s="457">
        <v>8387</v>
      </c>
      <c r="L144" s="476"/>
      <c r="M144" s="569">
        <f>2652+45+38+1852</f>
        <v>4587</v>
      </c>
      <c r="N144" s="365"/>
      <c r="O144" s="1289"/>
    </row>
    <row r="145" spans="1:15" s="366" customFormat="1" ht="31.2" x14ac:dyDescent="0.3">
      <c r="A145" s="388"/>
      <c r="B145" s="459" t="s">
        <v>887</v>
      </c>
      <c r="C145" s="725" t="s">
        <v>1144</v>
      </c>
      <c r="D145" s="489"/>
      <c r="E145" s="489"/>
      <c r="F145" s="489"/>
      <c r="G145" s="489"/>
      <c r="H145" s="489"/>
      <c r="I145" s="490" t="s">
        <v>1322</v>
      </c>
      <c r="J145" s="363" t="s">
        <v>613</v>
      </c>
      <c r="K145" s="457">
        <v>2678797.79</v>
      </c>
      <c r="L145" s="476"/>
      <c r="M145" s="569">
        <f>170122.74+204050.19+272354.51+235420.64</f>
        <v>881948.08</v>
      </c>
      <c r="N145" s="365"/>
      <c r="O145" s="1290"/>
    </row>
    <row r="146" spans="1:15" s="366" customFormat="1" ht="52.8" x14ac:dyDescent="0.35">
      <c r="A146" s="446">
        <v>13</v>
      </c>
      <c r="B146" s="447" t="s">
        <v>564</v>
      </c>
      <c r="C146" s="448"/>
      <c r="D146" s="448"/>
      <c r="E146" s="448"/>
      <c r="F146" s="448"/>
      <c r="G146" s="448"/>
      <c r="H146" s="448"/>
      <c r="I146" s="429" t="s">
        <v>1348</v>
      </c>
      <c r="J146" s="430"/>
      <c r="K146" s="449">
        <f>K147+K149+K151+K152+K153+K154+K155+K156+K157+K158+K162+K163+K164+K148+K150+K159</f>
        <v>17713934.920000002</v>
      </c>
      <c r="L146" s="470"/>
      <c r="M146" s="449">
        <f>M147+M149+M151+M152+M153+M154+M155+M156+M157+M158+M162+M163+M164+M148+M150+M159</f>
        <v>810661.51</v>
      </c>
      <c r="N146" s="448"/>
      <c r="O146" s="432" t="s">
        <v>1083</v>
      </c>
    </row>
    <row r="147" spans="1:15" s="366" customFormat="1" ht="15.6" x14ac:dyDescent="0.3">
      <c r="A147" s="388"/>
      <c r="B147" s="459" t="s">
        <v>654</v>
      </c>
      <c r="C147" s="387" t="s">
        <v>1148</v>
      </c>
      <c r="D147" s="365"/>
      <c r="E147" s="365"/>
      <c r="F147" s="365"/>
      <c r="G147" s="365"/>
      <c r="H147" s="365"/>
      <c r="I147" s="452" t="s">
        <v>1251</v>
      </c>
      <c r="J147" s="363" t="s">
        <v>586</v>
      </c>
      <c r="K147" s="457">
        <f>300000+1938000</f>
        <v>2238000</v>
      </c>
      <c r="L147" s="476"/>
      <c r="M147" s="445"/>
      <c r="N147" s="365"/>
      <c r="O147" s="1280" t="s">
        <v>151</v>
      </c>
    </row>
    <row r="148" spans="1:15" s="366" customFormat="1" ht="15.6" x14ac:dyDescent="0.3">
      <c r="A148" s="388"/>
      <c r="B148" s="459" t="s">
        <v>1357</v>
      </c>
      <c r="C148" s="387" t="s">
        <v>1148</v>
      </c>
      <c r="D148" s="365"/>
      <c r="E148" s="365"/>
      <c r="F148" s="365"/>
      <c r="G148" s="365"/>
      <c r="H148" s="365"/>
      <c r="I148" s="452" t="s">
        <v>1356</v>
      </c>
      <c r="J148" s="363" t="s">
        <v>586</v>
      </c>
      <c r="K148" s="457">
        <v>5400000</v>
      </c>
      <c r="L148" s="476"/>
      <c r="M148" s="445"/>
      <c r="N148" s="365"/>
      <c r="O148" s="1281"/>
    </row>
    <row r="149" spans="1:15" s="366" customFormat="1" ht="31.2" x14ac:dyDescent="0.3">
      <c r="A149" s="388"/>
      <c r="B149" s="459" t="s">
        <v>657</v>
      </c>
      <c r="C149" s="387" t="s">
        <v>1148</v>
      </c>
      <c r="D149" s="365"/>
      <c r="E149" s="365"/>
      <c r="F149" s="365"/>
      <c r="G149" s="365"/>
      <c r="H149" s="365"/>
      <c r="I149" s="452" t="s">
        <v>1252</v>
      </c>
      <c r="J149" s="363" t="s">
        <v>586</v>
      </c>
      <c r="K149" s="457">
        <f>59000+351000</f>
        <v>410000</v>
      </c>
      <c r="L149" s="476"/>
      <c r="M149" s="445"/>
      <c r="N149" s="365"/>
      <c r="O149" s="1282"/>
    </row>
    <row r="150" spans="1:15" s="366" customFormat="1" ht="31.2" x14ac:dyDescent="0.3">
      <c r="A150" s="388"/>
      <c r="B150" s="459" t="s">
        <v>666</v>
      </c>
      <c r="C150" s="387" t="s">
        <v>1148</v>
      </c>
      <c r="D150" s="365"/>
      <c r="E150" s="365"/>
      <c r="F150" s="365"/>
      <c r="G150" s="365"/>
      <c r="H150" s="365"/>
      <c r="I150" s="452" t="s">
        <v>1358</v>
      </c>
      <c r="J150" s="363" t="s">
        <v>586</v>
      </c>
      <c r="K150" s="457">
        <f>50000+51000</f>
        <v>101000</v>
      </c>
      <c r="L150" s="476"/>
      <c r="M150" s="445">
        <v>47090</v>
      </c>
      <c r="N150" s="365"/>
      <c r="O150" s="1281"/>
    </row>
    <row r="151" spans="1:15" s="366" customFormat="1" ht="31.2" hidden="1" x14ac:dyDescent="0.3">
      <c r="A151" s="388"/>
      <c r="B151" s="459" t="s">
        <v>660</v>
      </c>
      <c r="C151" s="387" t="s">
        <v>1148</v>
      </c>
      <c r="D151" s="365"/>
      <c r="E151" s="365"/>
      <c r="F151" s="365"/>
      <c r="G151" s="365"/>
      <c r="H151" s="365"/>
      <c r="I151" s="452" t="s">
        <v>661</v>
      </c>
      <c r="J151" s="363" t="s">
        <v>586</v>
      </c>
      <c r="K151" s="457"/>
      <c r="L151" s="476"/>
      <c r="M151" s="445"/>
      <c r="N151" s="365"/>
      <c r="O151" s="1282"/>
    </row>
    <row r="152" spans="1:15" s="366" customFormat="1" ht="15.6" x14ac:dyDescent="0.3">
      <c r="A152" s="388"/>
      <c r="B152" s="459" t="s">
        <v>663</v>
      </c>
      <c r="C152" s="387" t="s">
        <v>1148</v>
      </c>
      <c r="D152" s="365"/>
      <c r="E152" s="365"/>
      <c r="F152" s="365"/>
      <c r="G152" s="365"/>
      <c r="H152" s="365"/>
      <c r="I152" s="452" t="s">
        <v>1253</v>
      </c>
      <c r="J152" s="363" t="s">
        <v>586</v>
      </c>
      <c r="K152" s="457">
        <f>360000+206000</f>
        <v>566000</v>
      </c>
      <c r="L152" s="476"/>
      <c r="M152" s="445">
        <f>171000+390000</f>
        <v>561000</v>
      </c>
      <c r="N152" s="365"/>
      <c r="O152" s="1282"/>
    </row>
    <row r="153" spans="1:15" s="366" customFormat="1" ht="31.2" x14ac:dyDescent="0.3">
      <c r="A153" s="388"/>
      <c r="B153" s="459" t="s">
        <v>666</v>
      </c>
      <c r="C153" s="387" t="s">
        <v>1148</v>
      </c>
      <c r="D153" s="365"/>
      <c r="E153" s="365"/>
      <c r="F153" s="365"/>
      <c r="G153" s="365"/>
      <c r="H153" s="365"/>
      <c r="I153" s="452" t="s">
        <v>1254</v>
      </c>
      <c r="J153" s="363" t="s">
        <v>528</v>
      </c>
      <c r="K153" s="457">
        <f>500000-50000</f>
        <v>450000</v>
      </c>
      <c r="L153" s="476"/>
      <c r="M153" s="445"/>
      <c r="N153" s="365"/>
      <c r="O153" s="1282"/>
    </row>
    <row r="154" spans="1:15" s="366" customFormat="1" ht="15.6" x14ac:dyDescent="0.3">
      <c r="A154" s="388"/>
      <c r="B154" s="459" t="s">
        <v>669</v>
      </c>
      <c r="C154" s="387" t="s">
        <v>1148</v>
      </c>
      <c r="D154" s="365"/>
      <c r="E154" s="365"/>
      <c r="F154" s="365"/>
      <c r="G154" s="365"/>
      <c r="H154" s="365"/>
      <c r="I154" s="452" t="s">
        <v>1255</v>
      </c>
      <c r="J154" s="363" t="s">
        <v>586</v>
      </c>
      <c r="K154" s="457">
        <v>150000</v>
      </c>
      <c r="L154" s="476"/>
      <c r="M154" s="445"/>
      <c r="N154" s="365"/>
      <c r="O154" s="1282"/>
    </row>
    <row r="155" spans="1:15" s="366" customFormat="1" ht="46.8" x14ac:dyDescent="0.3">
      <c r="A155" s="388"/>
      <c r="B155" s="459" t="s">
        <v>672</v>
      </c>
      <c r="C155" s="387" t="s">
        <v>1148</v>
      </c>
      <c r="D155" s="365"/>
      <c r="E155" s="365"/>
      <c r="F155" s="365"/>
      <c r="G155" s="365"/>
      <c r="H155" s="365"/>
      <c r="I155" s="452" t="s">
        <v>1256</v>
      </c>
      <c r="J155" s="363" t="s">
        <v>586</v>
      </c>
      <c r="K155" s="457">
        <v>106000</v>
      </c>
      <c r="L155" s="476"/>
      <c r="M155" s="445"/>
      <c r="N155" s="365"/>
      <c r="O155" s="1282"/>
    </row>
    <row r="156" spans="1:15" s="366" customFormat="1" ht="31.2" hidden="1" x14ac:dyDescent="0.3">
      <c r="A156" s="388"/>
      <c r="B156" s="519" t="s">
        <v>675</v>
      </c>
      <c r="C156" s="724" t="s">
        <v>1148</v>
      </c>
      <c r="D156" s="482"/>
      <c r="E156" s="482"/>
      <c r="F156" s="482"/>
      <c r="G156" s="482"/>
      <c r="H156" s="482"/>
      <c r="I156" s="480" t="s">
        <v>1257</v>
      </c>
      <c r="J156" s="363" t="s">
        <v>586</v>
      </c>
      <c r="K156" s="372"/>
      <c r="L156" s="476"/>
      <c r="M156" s="445">
        <f>183800-183800</f>
        <v>0</v>
      </c>
      <c r="N156" s="365"/>
      <c r="O156" s="1282"/>
    </row>
    <row r="157" spans="1:15" s="532" customFormat="1" ht="31.2" x14ac:dyDescent="0.3">
      <c r="A157" s="572"/>
      <c r="B157" s="573" t="s">
        <v>675</v>
      </c>
      <c r="C157" s="724" t="s">
        <v>1163</v>
      </c>
      <c r="D157" s="574"/>
      <c r="E157" s="574"/>
      <c r="F157" s="574"/>
      <c r="G157" s="574"/>
      <c r="H157" s="574"/>
      <c r="I157" s="575" t="s">
        <v>1257</v>
      </c>
      <c r="J157" s="576" t="s">
        <v>586</v>
      </c>
      <c r="K157" s="372">
        <v>4966877.4000000004</v>
      </c>
      <c r="L157" s="476"/>
      <c r="M157" s="445">
        <v>182571.51</v>
      </c>
      <c r="N157" s="368"/>
      <c r="O157" s="1282"/>
    </row>
    <row r="158" spans="1:15" s="366" customFormat="1" ht="46.8" hidden="1" x14ac:dyDescent="0.3">
      <c r="A158" s="388"/>
      <c r="B158" s="459" t="s">
        <v>681</v>
      </c>
      <c r="C158" s="724" t="s">
        <v>1148</v>
      </c>
      <c r="D158" s="365"/>
      <c r="E158" s="365"/>
      <c r="F158" s="365"/>
      <c r="G158" s="365"/>
      <c r="H158" s="365"/>
      <c r="I158" s="452" t="s">
        <v>682</v>
      </c>
      <c r="J158" s="363" t="s">
        <v>586</v>
      </c>
      <c r="K158" s="457">
        <v>0</v>
      </c>
      <c r="L158" s="476"/>
      <c r="M158" s="445"/>
      <c r="N158" s="365"/>
      <c r="O158" s="1282"/>
    </row>
    <row r="159" spans="1:15" s="366" customFormat="1" ht="24.75" customHeight="1" x14ac:dyDescent="0.3">
      <c r="A159" s="388"/>
      <c r="B159" s="1369" t="s">
        <v>681</v>
      </c>
      <c r="C159" s="1372" t="s">
        <v>1163</v>
      </c>
      <c r="D159" s="365"/>
      <c r="E159" s="365"/>
      <c r="F159" s="365"/>
      <c r="G159" s="365"/>
      <c r="H159" s="365"/>
      <c r="I159" s="1295" t="s">
        <v>1258</v>
      </c>
      <c r="J159" s="363"/>
      <c r="K159" s="457">
        <f>K160+K161</f>
        <v>3176057.52</v>
      </c>
      <c r="L159" s="476"/>
      <c r="M159" s="445"/>
      <c r="N159" s="365"/>
      <c r="O159" s="1281"/>
    </row>
    <row r="160" spans="1:15" s="366" customFormat="1" ht="20.25" customHeight="1" x14ac:dyDescent="0.3">
      <c r="A160" s="388"/>
      <c r="B160" s="1370"/>
      <c r="C160" s="1373"/>
      <c r="D160" s="658"/>
      <c r="E160" s="658"/>
      <c r="F160" s="658"/>
      <c r="G160" s="658"/>
      <c r="H160" s="658"/>
      <c r="I160" s="1374"/>
      <c r="J160" s="363" t="s">
        <v>586</v>
      </c>
      <c r="K160" s="457">
        <f>3176057.52-2000000</f>
        <v>1176057.52</v>
      </c>
      <c r="L160" s="476"/>
      <c r="M160" s="445">
        <v>0</v>
      </c>
      <c r="N160" s="365"/>
      <c r="O160" s="1283"/>
    </row>
    <row r="161" spans="1:15" s="366" customFormat="1" ht="20.25" customHeight="1" x14ac:dyDescent="0.3">
      <c r="A161" s="388"/>
      <c r="B161" s="1371"/>
      <c r="C161" s="1348"/>
      <c r="D161" s="658"/>
      <c r="E161" s="658"/>
      <c r="F161" s="658"/>
      <c r="G161" s="658"/>
      <c r="H161" s="658"/>
      <c r="I161" s="1296"/>
      <c r="J161" s="363" t="s">
        <v>813</v>
      </c>
      <c r="K161" s="457">
        <v>2000000</v>
      </c>
      <c r="L161" s="476"/>
      <c r="M161" s="445"/>
      <c r="N161" s="365"/>
      <c r="O161" s="718"/>
    </row>
    <row r="162" spans="1:15" s="366" customFormat="1" ht="15.6" x14ac:dyDescent="0.3">
      <c r="A162" s="388"/>
      <c r="B162" s="459" t="s">
        <v>852</v>
      </c>
      <c r="C162" s="387" t="s">
        <v>1105</v>
      </c>
      <c r="D162" s="365"/>
      <c r="E162" s="365"/>
      <c r="F162" s="365"/>
      <c r="G162" s="365"/>
      <c r="H162" s="365"/>
      <c r="I162" s="452" t="s">
        <v>1314</v>
      </c>
      <c r="J162" s="363" t="s">
        <v>613</v>
      </c>
      <c r="K162" s="457">
        <v>80000</v>
      </c>
      <c r="L162" s="476"/>
      <c r="M162" s="445"/>
      <c r="N162" s="365"/>
      <c r="O162" s="1280" t="s">
        <v>968</v>
      </c>
    </row>
    <row r="163" spans="1:15" s="366" customFormat="1" ht="15.6" x14ac:dyDescent="0.3">
      <c r="A163" s="388"/>
      <c r="B163" s="459" t="s">
        <v>855</v>
      </c>
      <c r="C163" s="387" t="s">
        <v>1105</v>
      </c>
      <c r="D163" s="365"/>
      <c r="E163" s="365"/>
      <c r="F163" s="365"/>
      <c r="G163" s="365"/>
      <c r="H163" s="365"/>
      <c r="I163" s="452" t="s">
        <v>1315</v>
      </c>
      <c r="J163" s="363" t="s">
        <v>613</v>
      </c>
      <c r="K163" s="457">
        <v>50000</v>
      </c>
      <c r="L163" s="476"/>
      <c r="M163" s="445"/>
      <c r="N163" s="365"/>
      <c r="O163" s="1282"/>
    </row>
    <row r="164" spans="1:15" s="366" customFormat="1" ht="15.6" x14ac:dyDescent="0.3">
      <c r="A164" s="388"/>
      <c r="B164" s="459" t="s">
        <v>858</v>
      </c>
      <c r="C164" s="387" t="s">
        <v>1105</v>
      </c>
      <c r="D164" s="365"/>
      <c r="E164" s="365"/>
      <c r="F164" s="365"/>
      <c r="G164" s="365"/>
      <c r="H164" s="365"/>
      <c r="I164" s="452" t="s">
        <v>1316</v>
      </c>
      <c r="J164" s="363" t="s">
        <v>613</v>
      </c>
      <c r="K164" s="457">
        <v>20000</v>
      </c>
      <c r="L164" s="476"/>
      <c r="M164" s="445">
        <v>20000</v>
      </c>
      <c r="N164" s="365"/>
      <c r="O164" s="1283"/>
    </row>
    <row r="165" spans="1:15" s="433" customFormat="1" ht="18" x14ac:dyDescent="0.35">
      <c r="A165" s="425">
        <v>14</v>
      </c>
      <c r="B165" s="426" t="s">
        <v>559</v>
      </c>
      <c r="C165" s="427"/>
      <c r="D165" s="428"/>
      <c r="E165" s="428"/>
      <c r="F165" s="428"/>
      <c r="G165" s="428"/>
      <c r="H165" s="428"/>
      <c r="I165" s="429" t="s">
        <v>1349</v>
      </c>
      <c r="J165" s="430"/>
      <c r="K165" s="746">
        <f>K168+K169+K171+K170+K166+K167</f>
        <v>2510229</v>
      </c>
      <c r="L165" s="568"/>
      <c r="M165" s="746">
        <f>M168+M169+M171+M170+M166+M167</f>
        <v>1826518.98</v>
      </c>
      <c r="N165" s="428"/>
      <c r="O165" s="432"/>
    </row>
    <row r="166" spans="1:15" s="433" customFormat="1" ht="18" x14ac:dyDescent="0.35">
      <c r="A166" s="425"/>
      <c r="B166" s="521" t="s">
        <v>709</v>
      </c>
      <c r="C166" s="724" t="s">
        <v>1101</v>
      </c>
      <c r="D166" s="365"/>
      <c r="E166" s="365"/>
      <c r="F166" s="365"/>
      <c r="G166" s="365"/>
      <c r="H166" s="365"/>
      <c r="I166" s="452" t="s">
        <v>1268</v>
      </c>
      <c r="J166" s="363" t="s">
        <v>586</v>
      </c>
      <c r="K166" s="457">
        <v>100000</v>
      </c>
      <c r="L166" s="568"/>
      <c r="M166" s="746"/>
      <c r="N166" s="428"/>
      <c r="O166" s="520"/>
    </row>
    <row r="167" spans="1:15" s="433" customFormat="1" ht="18" x14ac:dyDescent="0.35">
      <c r="A167" s="425"/>
      <c r="B167" s="466" t="s">
        <v>712</v>
      </c>
      <c r="C167" s="724" t="s">
        <v>1101</v>
      </c>
      <c r="D167" s="365"/>
      <c r="E167" s="365"/>
      <c r="F167" s="365"/>
      <c r="G167" s="365"/>
      <c r="H167" s="365"/>
      <c r="I167" s="452" t="s">
        <v>1361</v>
      </c>
      <c r="J167" s="363" t="s">
        <v>586</v>
      </c>
      <c r="K167" s="457">
        <f>3500000-1429771</f>
        <v>2070229</v>
      </c>
      <c r="L167" s="568"/>
      <c r="M167" s="740">
        <v>1826518.98</v>
      </c>
      <c r="N167" s="428"/>
      <c r="O167" s="520"/>
    </row>
    <row r="168" spans="1:15" s="366" customFormat="1" ht="15.6" x14ac:dyDescent="0.3">
      <c r="A168" s="388"/>
      <c r="B168" s="534" t="s">
        <v>715</v>
      </c>
      <c r="C168" s="724" t="s">
        <v>1101</v>
      </c>
      <c r="D168" s="365"/>
      <c r="E168" s="365"/>
      <c r="F168" s="365"/>
      <c r="G168" s="365"/>
      <c r="H168" s="365"/>
      <c r="I168" s="452" t="s">
        <v>1269</v>
      </c>
      <c r="J168" s="363" t="s">
        <v>586</v>
      </c>
      <c r="K168" s="457">
        <v>200000</v>
      </c>
      <c r="L168" s="476"/>
      <c r="M168" s="476"/>
      <c r="N168" s="365"/>
      <c r="O168" s="1380" t="s">
        <v>151</v>
      </c>
    </row>
    <row r="169" spans="1:15" s="366" customFormat="1" ht="15.6" x14ac:dyDescent="0.3">
      <c r="A169" s="388"/>
      <c r="B169" s="459" t="s">
        <v>718</v>
      </c>
      <c r="C169" s="724" t="s">
        <v>1101</v>
      </c>
      <c r="D169" s="365"/>
      <c r="E169" s="365"/>
      <c r="F169" s="365"/>
      <c r="G169" s="365"/>
      <c r="H169" s="365"/>
      <c r="I169" s="452" t="s">
        <v>1270</v>
      </c>
      <c r="J169" s="363" t="s">
        <v>586</v>
      </c>
      <c r="K169" s="372">
        <v>40000</v>
      </c>
      <c r="L169" s="476"/>
      <c r="M169" s="476"/>
      <c r="N169" s="365"/>
      <c r="O169" s="1381"/>
    </row>
    <row r="170" spans="1:15" s="366" customFormat="1" ht="15.6" x14ac:dyDescent="0.3">
      <c r="A170" s="388"/>
      <c r="B170" s="521" t="s">
        <v>1205</v>
      </c>
      <c r="C170" s="724" t="s">
        <v>1101</v>
      </c>
      <c r="D170" s="365"/>
      <c r="E170" s="365"/>
      <c r="F170" s="365"/>
      <c r="G170" s="365"/>
      <c r="H170" s="365"/>
      <c r="I170" s="484" t="s">
        <v>1271</v>
      </c>
      <c r="J170" s="389" t="s">
        <v>586</v>
      </c>
      <c r="K170" s="559">
        <v>100000</v>
      </c>
      <c r="L170" s="476"/>
      <c r="M170" s="747"/>
      <c r="N170" s="365"/>
      <c r="O170" s="581"/>
    </row>
    <row r="171" spans="1:15" s="366" customFormat="1" ht="15.6" hidden="1" x14ac:dyDescent="0.3">
      <c r="A171" s="388"/>
      <c r="B171" s="521" t="s">
        <v>1205</v>
      </c>
      <c r="C171" s="724" t="s">
        <v>1159</v>
      </c>
      <c r="D171" s="365"/>
      <c r="E171" s="365"/>
      <c r="F171" s="365"/>
      <c r="G171" s="365"/>
      <c r="H171" s="365"/>
      <c r="I171" s="389" t="s">
        <v>1206</v>
      </c>
      <c r="J171" s="389" t="s">
        <v>813</v>
      </c>
      <c r="K171" s="582"/>
      <c r="L171" s="365"/>
      <c r="M171" s="486"/>
      <c r="N171" s="365"/>
      <c r="O171" s="718" t="s">
        <v>1136</v>
      </c>
    </row>
    <row r="172" spans="1:15" ht="21" x14ac:dyDescent="0.4">
      <c r="A172" s="401"/>
      <c r="B172" s="402" t="s">
        <v>1149</v>
      </c>
      <c r="C172" s="403"/>
      <c r="D172" s="401"/>
      <c r="E172" s="401"/>
      <c r="F172" s="401"/>
      <c r="G172" s="401"/>
      <c r="H172" s="401"/>
      <c r="I172" s="404"/>
      <c r="J172" s="405"/>
      <c r="K172" s="671">
        <f>K21+K34+K36+K47+K58+K65+K67+K71+K77+K83+K111+K121+K146+K165</f>
        <v>377069047.89000005</v>
      </c>
      <c r="L172" s="401"/>
      <c r="M172" s="406">
        <f>M21+M34+M36+M47+M58+M65+M67+M71+M77+M83+M111+M121+M146+M165</f>
        <v>97218425.939999998</v>
      </c>
      <c r="N172" s="400"/>
      <c r="O172" s="400"/>
    </row>
    <row r="173" spans="1:15" ht="15.6" x14ac:dyDescent="0.3">
      <c r="A173" s="146"/>
      <c r="B173" s="146"/>
      <c r="C173" s="146"/>
      <c r="D173" s="146"/>
      <c r="E173" s="146"/>
      <c r="F173" s="146"/>
      <c r="G173" s="146"/>
      <c r="H173" s="146"/>
      <c r="I173" s="358"/>
      <c r="J173" s="360"/>
      <c r="K173" s="672"/>
      <c r="L173" s="146"/>
      <c r="M173" s="146"/>
      <c r="N173" s="146"/>
      <c r="O173" s="146"/>
    </row>
    <row r="174" spans="1:15" s="375" customFormat="1" ht="31.2" x14ac:dyDescent="0.3">
      <c r="A174" s="1382">
        <v>1</v>
      </c>
      <c r="B174" s="1366" t="s">
        <v>1355</v>
      </c>
      <c r="C174" s="395" t="s">
        <v>1110</v>
      </c>
      <c r="D174" s="396"/>
      <c r="E174" s="396"/>
      <c r="F174" s="396"/>
      <c r="G174" s="396"/>
      <c r="H174" s="396"/>
      <c r="I174" s="397" t="s">
        <v>1287</v>
      </c>
      <c r="J174" s="371"/>
      <c r="K174" s="421">
        <f>K175+K176</f>
        <v>573397.05000000005</v>
      </c>
      <c r="L174" s="373"/>
      <c r="M174" s="421">
        <f>M175+M176</f>
        <v>162973.56000000003</v>
      </c>
      <c r="N174" s="373"/>
      <c r="O174" s="374" t="s">
        <v>151</v>
      </c>
    </row>
    <row r="175" spans="1:15" s="375" customFormat="1" ht="15.6" x14ac:dyDescent="0.3">
      <c r="A175" s="1383"/>
      <c r="B175" s="1367"/>
      <c r="C175" s="390"/>
      <c r="D175" s="394"/>
      <c r="E175" s="394"/>
      <c r="F175" s="394"/>
      <c r="G175" s="394"/>
      <c r="H175" s="394"/>
      <c r="I175" s="391"/>
      <c r="J175" s="371" t="s">
        <v>162</v>
      </c>
      <c r="K175" s="372">
        <f>541284-2.95</f>
        <v>541281.05000000005</v>
      </c>
      <c r="L175" s="378"/>
      <c r="M175" s="379">
        <f>18151.56+5481.77+24149.77+5376.57+8916.96+27412.56+8278.59+51009.05+14196.73</f>
        <v>162973.56000000003</v>
      </c>
      <c r="N175" s="378"/>
      <c r="O175" s="380"/>
    </row>
    <row r="176" spans="1:15" s="375" customFormat="1" ht="76.5" customHeight="1" x14ac:dyDescent="0.3">
      <c r="A176" s="1384"/>
      <c r="B176" s="1368"/>
      <c r="C176" s="392"/>
      <c r="D176" s="377"/>
      <c r="E176" s="377"/>
      <c r="F176" s="377"/>
      <c r="G176" s="377"/>
      <c r="H176" s="377"/>
      <c r="I176" s="393"/>
      <c r="J176" s="371" t="s">
        <v>586</v>
      </c>
      <c r="K176" s="372">
        <v>32116</v>
      </c>
      <c r="L176" s="378"/>
      <c r="M176" s="379"/>
      <c r="N176" s="378"/>
      <c r="O176" s="380"/>
    </row>
    <row r="177" spans="1:16" s="375" customFormat="1" ht="55.5" customHeight="1" x14ac:dyDescent="0.3">
      <c r="A177" s="749">
        <v>2</v>
      </c>
      <c r="B177" s="750" t="s">
        <v>1385</v>
      </c>
      <c r="C177" s="751" t="s">
        <v>1386</v>
      </c>
      <c r="D177" s="752"/>
      <c r="E177" s="752"/>
      <c r="F177" s="752"/>
      <c r="G177" s="752"/>
      <c r="H177" s="752"/>
      <c r="I177" s="753" t="s">
        <v>1387</v>
      </c>
      <c r="J177" s="371" t="s">
        <v>813</v>
      </c>
      <c r="K177" s="659">
        <v>11787484</v>
      </c>
      <c r="L177" s="588"/>
      <c r="M177" s="601"/>
      <c r="N177" s="588"/>
      <c r="O177" s="374"/>
    </row>
    <row r="178" spans="1:16" s="375" customFormat="1" ht="46.8" x14ac:dyDescent="0.3">
      <c r="A178" s="734">
        <v>3</v>
      </c>
      <c r="B178" s="584" t="s">
        <v>1104</v>
      </c>
      <c r="C178" s="736" t="s">
        <v>1103</v>
      </c>
      <c r="D178" s="586"/>
      <c r="E178" s="586"/>
      <c r="F178" s="586"/>
      <c r="G178" s="586"/>
      <c r="H178" s="586"/>
      <c r="I178" s="587" t="s">
        <v>1265</v>
      </c>
      <c r="J178" s="371" t="s">
        <v>528</v>
      </c>
      <c r="K178" s="421">
        <f>87107200-24.78</f>
        <v>87107175.219999999</v>
      </c>
      <c r="L178" s="588"/>
      <c r="M178" s="589">
        <f>14417772.06+7298261.36</f>
        <v>21716033.420000002</v>
      </c>
      <c r="N178" s="588"/>
      <c r="O178" s="374" t="s">
        <v>151</v>
      </c>
    </row>
    <row r="179" spans="1:16" s="366" customFormat="1" ht="49.5" customHeight="1" x14ac:dyDescent="0.3">
      <c r="A179" s="734">
        <v>4</v>
      </c>
      <c r="B179" s="590" t="s">
        <v>645</v>
      </c>
      <c r="C179" s="395" t="s">
        <v>1086</v>
      </c>
      <c r="D179" s="591"/>
      <c r="E179" s="592"/>
      <c r="F179" s="592"/>
      <c r="G179" s="592"/>
      <c r="H179" s="593"/>
      <c r="I179" s="594" t="s">
        <v>1245</v>
      </c>
      <c r="J179" s="371" t="s">
        <v>586</v>
      </c>
      <c r="K179" s="421">
        <f>147000+58.82-130391.82</f>
        <v>16667</v>
      </c>
      <c r="L179" s="375"/>
      <c r="M179" s="361"/>
      <c r="N179" s="373"/>
      <c r="O179" s="595" t="s">
        <v>151</v>
      </c>
    </row>
    <row r="180" spans="1:16" s="375" customFormat="1" ht="33" customHeight="1" x14ac:dyDescent="0.3">
      <c r="A180" s="596">
        <v>5</v>
      </c>
      <c r="B180" s="423" t="s">
        <v>893</v>
      </c>
      <c r="C180" s="395" t="s">
        <v>1090</v>
      </c>
      <c r="D180" s="597"/>
      <c r="E180" s="597"/>
      <c r="F180" s="597"/>
      <c r="G180" s="597"/>
      <c r="H180" s="597"/>
      <c r="I180" s="477" t="s">
        <v>1323</v>
      </c>
      <c r="J180" s="371" t="s">
        <v>764</v>
      </c>
      <c r="K180" s="453">
        <f>1241900-44</f>
        <v>1241856</v>
      </c>
      <c r="M180" s="598"/>
      <c r="N180" s="373"/>
      <c r="O180" s="595" t="s">
        <v>1084</v>
      </c>
      <c r="P180" s="599"/>
    </row>
    <row r="181" spans="1:16" s="375" customFormat="1" ht="46.8" x14ac:dyDescent="0.3">
      <c r="A181" s="596">
        <v>6</v>
      </c>
      <c r="B181" s="423" t="s">
        <v>896</v>
      </c>
      <c r="C181" s="395" t="s">
        <v>1091</v>
      </c>
      <c r="D181" s="597"/>
      <c r="E181" s="597"/>
      <c r="F181" s="597"/>
      <c r="G181" s="597"/>
      <c r="H181" s="597"/>
      <c r="I181" s="477" t="s">
        <v>1324</v>
      </c>
      <c r="J181" s="371" t="s">
        <v>764</v>
      </c>
      <c r="K181" s="453">
        <f>55100-2.48</f>
        <v>55097.52</v>
      </c>
      <c r="M181" s="598"/>
      <c r="N181" s="373"/>
      <c r="O181" s="595" t="s">
        <v>1084</v>
      </c>
      <c r="P181" s="599"/>
    </row>
    <row r="182" spans="1:16" s="375" customFormat="1" ht="15.6" x14ac:dyDescent="0.3">
      <c r="A182" s="1375">
        <v>7</v>
      </c>
      <c r="B182" s="1385" t="s">
        <v>873</v>
      </c>
      <c r="C182" s="736" t="s">
        <v>1090</v>
      </c>
      <c r="D182" s="597"/>
      <c r="E182" s="597"/>
      <c r="F182" s="597"/>
      <c r="G182" s="597"/>
      <c r="H182" s="597"/>
      <c r="I182" s="477" t="s">
        <v>1327</v>
      </c>
      <c r="J182" s="371"/>
      <c r="K182" s="453">
        <f>K183+K184</f>
        <v>1750191.15</v>
      </c>
      <c r="M182" s="453">
        <f>M183+M184</f>
        <v>431504.57</v>
      </c>
      <c r="N182" s="588"/>
      <c r="O182" s="595" t="s">
        <v>1084</v>
      </c>
      <c r="P182" s="600"/>
    </row>
    <row r="183" spans="1:16" s="375" customFormat="1" ht="15.6" x14ac:dyDescent="0.3">
      <c r="A183" s="1364"/>
      <c r="B183" s="1386"/>
      <c r="C183" s="1388"/>
      <c r="D183" s="597"/>
      <c r="E183" s="597"/>
      <c r="F183" s="597"/>
      <c r="G183" s="597"/>
      <c r="H183" s="597"/>
      <c r="I183" s="1389"/>
      <c r="J183" s="371" t="s">
        <v>162</v>
      </c>
      <c r="K183" s="464">
        <f>1635414-8.85-350</f>
        <v>1635055.15</v>
      </c>
      <c r="M183" s="601">
        <f>71790.37+2972.2+22971.77+43749.18+352.62+26090+4450+14249.64+13428.56+119347.71+44706.09</f>
        <v>364108.14</v>
      </c>
      <c r="N183" s="588"/>
      <c r="O183" s="595"/>
      <c r="P183" s="600"/>
    </row>
    <row r="184" spans="1:16" s="375" customFormat="1" ht="15.6" x14ac:dyDescent="0.3">
      <c r="A184" s="1365"/>
      <c r="B184" s="1387"/>
      <c r="C184" s="1379"/>
      <c r="D184" s="597"/>
      <c r="E184" s="597"/>
      <c r="F184" s="597"/>
      <c r="G184" s="597"/>
      <c r="H184" s="597"/>
      <c r="I184" s="1390"/>
      <c r="J184" s="371" t="s">
        <v>586</v>
      </c>
      <c r="K184" s="464">
        <f>114786+350</f>
        <v>115136</v>
      </c>
      <c r="M184" s="601">
        <f>26250+4000+28801.64+8344.79</f>
        <v>67396.429999999993</v>
      </c>
      <c r="N184" s="588"/>
      <c r="O184" s="595"/>
      <c r="P184" s="600"/>
    </row>
    <row r="185" spans="1:16" s="375" customFormat="1" ht="46.8" x14ac:dyDescent="0.3">
      <c r="A185" s="596">
        <v>8</v>
      </c>
      <c r="B185" s="602" t="s">
        <v>899</v>
      </c>
      <c r="C185" s="736" t="s">
        <v>1090</v>
      </c>
      <c r="D185" s="603"/>
      <c r="E185" s="586"/>
      <c r="F185" s="586"/>
      <c r="G185" s="586"/>
      <c r="H185" s="604"/>
      <c r="I185" s="477" t="s">
        <v>1325</v>
      </c>
      <c r="J185" s="371" t="s">
        <v>764</v>
      </c>
      <c r="K185" s="453">
        <f>15024600+54.55</f>
        <v>15024654.550000001</v>
      </c>
      <c r="M185" s="589">
        <f>1902501+372964.26+186482.16+1933297+186482.1</f>
        <v>4581726.5199999996</v>
      </c>
      <c r="N185" s="588"/>
      <c r="O185" s="595" t="s">
        <v>1084</v>
      </c>
      <c r="P185" s="599"/>
    </row>
    <row r="186" spans="1:16" s="366" customFormat="1" ht="31.2" hidden="1" x14ac:dyDescent="0.3">
      <c r="A186" s="596">
        <v>8</v>
      </c>
      <c r="B186" s="605" t="s">
        <v>1032</v>
      </c>
      <c r="C186" s="395" t="s">
        <v>1111</v>
      </c>
      <c r="D186" s="592"/>
      <c r="E186" s="592"/>
      <c r="F186" s="592"/>
      <c r="G186" s="592"/>
      <c r="H186" s="592"/>
      <c r="I186" s="477" t="s">
        <v>1112</v>
      </c>
      <c r="J186" s="371" t="s">
        <v>586</v>
      </c>
      <c r="K186" s="453"/>
      <c r="M186" s="598"/>
      <c r="O186" s="595" t="s">
        <v>151</v>
      </c>
    </row>
    <row r="187" spans="1:16" s="366" customFormat="1" ht="31.2" hidden="1" x14ac:dyDescent="0.3">
      <c r="A187" s="596">
        <v>8</v>
      </c>
      <c r="B187" s="423"/>
      <c r="C187" s="395"/>
      <c r="D187" s="592"/>
      <c r="E187" s="592"/>
      <c r="F187" s="592"/>
      <c r="G187" s="592"/>
      <c r="H187" s="592"/>
      <c r="I187" s="477"/>
      <c r="J187" s="371"/>
      <c r="K187" s="453"/>
      <c r="M187" s="598"/>
      <c r="O187" s="595" t="s">
        <v>151</v>
      </c>
    </row>
    <row r="188" spans="1:16" s="366" customFormat="1" ht="31.2" x14ac:dyDescent="0.3">
      <c r="A188" s="734">
        <v>9</v>
      </c>
      <c r="B188" s="606" t="s">
        <v>1365</v>
      </c>
      <c r="C188" s="736" t="s">
        <v>1103</v>
      </c>
      <c r="D188" s="586"/>
      <c r="E188" s="586"/>
      <c r="F188" s="586"/>
      <c r="G188" s="586"/>
      <c r="H188" s="586"/>
      <c r="I188" s="587" t="s">
        <v>1366</v>
      </c>
      <c r="J188" s="371" t="s">
        <v>586</v>
      </c>
      <c r="K188" s="421">
        <v>2300000</v>
      </c>
      <c r="M188" s="598">
        <f>2300000</f>
        <v>2300000</v>
      </c>
      <c r="O188" s="595"/>
    </row>
    <row r="189" spans="1:16" s="366" customFormat="1" ht="62.4" x14ac:dyDescent="0.3">
      <c r="A189" s="734">
        <v>10</v>
      </c>
      <c r="B189" s="754" t="s">
        <v>1388</v>
      </c>
      <c r="C189" s="736" t="s">
        <v>1111</v>
      </c>
      <c r="D189" s="586"/>
      <c r="E189" s="586"/>
      <c r="F189" s="586"/>
      <c r="G189" s="586"/>
      <c r="H189" s="586"/>
      <c r="I189" s="587" t="s">
        <v>1389</v>
      </c>
      <c r="J189" s="371" t="s">
        <v>764</v>
      </c>
      <c r="K189" s="659">
        <v>471100</v>
      </c>
      <c r="M189" s="598"/>
      <c r="O189" s="595"/>
    </row>
    <row r="190" spans="1:16" s="366" customFormat="1" ht="62.4" x14ac:dyDescent="0.3">
      <c r="A190" s="734">
        <v>11</v>
      </c>
      <c r="B190" s="606" t="s">
        <v>514</v>
      </c>
      <c r="C190" s="736" t="s">
        <v>1113</v>
      </c>
      <c r="D190" s="586"/>
      <c r="E190" s="586"/>
      <c r="F190" s="586"/>
      <c r="G190" s="586"/>
      <c r="H190" s="586"/>
      <c r="I190" s="587" t="s">
        <v>1292</v>
      </c>
      <c r="J190" s="371" t="s">
        <v>700</v>
      </c>
      <c r="K190" s="421">
        <v>2178000</v>
      </c>
      <c r="M190" s="598"/>
      <c r="O190" s="595" t="s">
        <v>151</v>
      </c>
    </row>
    <row r="191" spans="1:16" s="366" customFormat="1" ht="31.2" x14ac:dyDescent="0.3">
      <c r="A191" s="1363">
        <v>12</v>
      </c>
      <c r="B191" s="1366" t="s">
        <v>1150</v>
      </c>
      <c r="C191" s="395" t="s">
        <v>1130</v>
      </c>
      <c r="D191" s="396"/>
      <c r="E191" s="396"/>
      <c r="F191" s="396"/>
      <c r="G191" s="396"/>
      <c r="H191" s="396"/>
      <c r="I191" s="397" t="s">
        <v>1234</v>
      </c>
      <c r="J191" s="371"/>
      <c r="K191" s="422">
        <f>K192+K193</f>
        <v>584381.05000000005</v>
      </c>
      <c r="L191" s="365"/>
      <c r="M191" s="422">
        <f>M192+M193</f>
        <v>182905.43</v>
      </c>
      <c r="N191" s="365"/>
      <c r="O191" s="374" t="s">
        <v>151</v>
      </c>
    </row>
    <row r="192" spans="1:16" s="366" customFormat="1" ht="15.6" x14ac:dyDescent="0.3">
      <c r="A192" s="1364"/>
      <c r="B192" s="1367"/>
      <c r="C192" s="390"/>
      <c r="D192" s="399"/>
      <c r="E192" s="399"/>
      <c r="F192" s="399"/>
      <c r="G192" s="399"/>
      <c r="H192" s="399"/>
      <c r="I192" s="391"/>
      <c r="J192" s="371" t="s">
        <v>162</v>
      </c>
      <c r="K192" s="381">
        <f>538299.94-18.95</f>
        <v>538280.99</v>
      </c>
      <c r="L192" s="365"/>
      <c r="M192" s="361">
        <f>25979.4+7845.78+10481.82+35807.18+13979.28+20153.79+6086.43+33773.22+10199.53</f>
        <v>164306.43</v>
      </c>
      <c r="N192" s="365"/>
      <c r="O192" s="380"/>
    </row>
    <row r="193" spans="1:15" s="366" customFormat="1" ht="15.6" x14ac:dyDescent="0.3">
      <c r="A193" s="1365"/>
      <c r="B193" s="1368"/>
      <c r="C193" s="392"/>
      <c r="D193" s="370"/>
      <c r="E193" s="370"/>
      <c r="F193" s="370"/>
      <c r="G193" s="370"/>
      <c r="H193" s="370"/>
      <c r="I193" s="398"/>
      <c r="J193" s="371" t="s">
        <v>586</v>
      </c>
      <c r="K193" s="381">
        <v>46100.06</v>
      </c>
      <c r="L193" s="365"/>
      <c r="M193" s="361">
        <f>8599+10000</f>
        <v>18599</v>
      </c>
      <c r="N193" s="365"/>
      <c r="O193" s="380"/>
    </row>
    <row r="194" spans="1:15" s="366" customFormat="1" ht="34.799999999999997" x14ac:dyDescent="0.3">
      <c r="A194" s="1375">
        <v>13</v>
      </c>
      <c r="B194" s="607" t="s">
        <v>1215</v>
      </c>
      <c r="C194" s="392"/>
      <c r="D194" s="370"/>
      <c r="E194" s="370"/>
      <c r="F194" s="370"/>
      <c r="G194" s="370"/>
      <c r="H194" s="370"/>
      <c r="I194" s="497"/>
      <c r="J194" s="371"/>
      <c r="K194" s="381"/>
      <c r="L194" s="365"/>
      <c r="M194" s="486"/>
      <c r="N194" s="365"/>
      <c r="O194" s="374"/>
    </row>
    <row r="195" spans="1:15" s="366" customFormat="1" ht="31.2" x14ac:dyDescent="0.3">
      <c r="A195" s="1376"/>
      <c r="B195" s="1377" t="s">
        <v>1216</v>
      </c>
      <c r="C195" s="395" t="s">
        <v>1141</v>
      </c>
      <c r="D195" s="592"/>
      <c r="E195" s="592"/>
      <c r="F195" s="592"/>
      <c r="G195" s="592"/>
      <c r="H195" s="592"/>
      <c r="I195" s="594" t="s">
        <v>1279</v>
      </c>
      <c r="J195" s="371"/>
      <c r="K195" s="422">
        <f>K196+K197</f>
        <v>573397.1</v>
      </c>
      <c r="L195" s="365"/>
      <c r="M195" s="422">
        <f>M196+M197</f>
        <v>181230.09000000003</v>
      </c>
      <c r="N195" s="365"/>
      <c r="O195" s="374" t="s">
        <v>151</v>
      </c>
    </row>
    <row r="196" spans="1:15" s="366" customFormat="1" ht="15.6" x14ac:dyDescent="0.3">
      <c r="A196" s="1376"/>
      <c r="B196" s="1377"/>
      <c r="C196" s="1378"/>
      <c r="D196" s="592"/>
      <c r="E196" s="592"/>
      <c r="F196" s="592"/>
      <c r="G196" s="592"/>
      <c r="H196" s="592"/>
      <c r="I196" s="1392"/>
      <c r="J196" s="371" t="s">
        <v>162</v>
      </c>
      <c r="K196" s="381">
        <f>539686.9-2.9</f>
        <v>539684</v>
      </c>
      <c r="L196" s="365"/>
      <c r="M196" s="361">
        <f>29652.04+8954.91+3932.34+57670.74+5700+18604.14+38547.65+11641.39</f>
        <v>174703.21000000002</v>
      </c>
      <c r="N196" s="365"/>
      <c r="O196" s="380"/>
    </row>
    <row r="197" spans="1:15" s="366" customFormat="1" ht="15.6" x14ac:dyDescent="0.3">
      <c r="A197" s="1376"/>
      <c r="B197" s="1377"/>
      <c r="C197" s="1379"/>
      <c r="D197" s="592"/>
      <c r="E197" s="592"/>
      <c r="F197" s="592"/>
      <c r="G197" s="592"/>
      <c r="H197" s="592"/>
      <c r="I197" s="1393"/>
      <c r="J197" s="371" t="s">
        <v>586</v>
      </c>
      <c r="K197" s="381">
        <v>33713.1</v>
      </c>
      <c r="L197" s="365"/>
      <c r="M197" s="361">
        <f>1767.46+3423.81+1335.61</f>
        <v>6526.88</v>
      </c>
      <c r="N197" s="365"/>
      <c r="O197" s="380"/>
    </row>
    <row r="198" spans="1:15" s="366" customFormat="1" ht="62.4" x14ac:dyDescent="0.3">
      <c r="A198" s="1376"/>
      <c r="B198" s="608" t="s">
        <v>1217</v>
      </c>
      <c r="C198" s="395" t="s">
        <v>1142</v>
      </c>
      <c r="D198" s="592"/>
      <c r="E198" s="592"/>
      <c r="F198" s="592"/>
      <c r="G198" s="592"/>
      <c r="H198" s="592"/>
      <c r="I198" s="594" t="s">
        <v>1305</v>
      </c>
      <c r="J198" s="371" t="s">
        <v>613</v>
      </c>
      <c r="K198" s="422">
        <f>43977400-56.79</f>
        <v>43977343.210000001</v>
      </c>
      <c r="L198" s="365"/>
      <c r="M198" s="598">
        <f>2619427.54+595333.96+2415772.19+683972.58+2501762.64+714093.95+2735760.22+679286.64</f>
        <v>12945409.720000001</v>
      </c>
      <c r="N198" s="365"/>
      <c r="O198" s="1350" t="s">
        <v>968</v>
      </c>
    </row>
    <row r="199" spans="1:15" s="366" customFormat="1" ht="15.6" x14ac:dyDescent="0.3">
      <c r="A199" s="1376"/>
      <c r="B199" s="1377" t="s">
        <v>1218</v>
      </c>
      <c r="C199" s="395" t="s">
        <v>1105</v>
      </c>
      <c r="D199" s="592"/>
      <c r="E199" s="592"/>
      <c r="F199" s="592"/>
      <c r="G199" s="592"/>
      <c r="H199" s="592"/>
      <c r="I199" s="594" t="s">
        <v>1313</v>
      </c>
      <c r="J199" s="371"/>
      <c r="K199" s="422">
        <f>K200+K201</f>
        <v>155831249.56999999</v>
      </c>
      <c r="L199" s="365"/>
      <c r="M199" s="422">
        <f>M200+M201</f>
        <v>48114931.380000003</v>
      </c>
      <c r="N199" s="365"/>
      <c r="O199" s="1394"/>
    </row>
    <row r="200" spans="1:15" s="366" customFormat="1" ht="15.6" x14ac:dyDescent="0.3">
      <c r="A200" s="1376"/>
      <c r="B200" s="1377"/>
      <c r="C200" s="1388"/>
      <c r="D200" s="592"/>
      <c r="E200" s="592"/>
      <c r="F200" s="592"/>
      <c r="G200" s="592"/>
      <c r="H200" s="592"/>
      <c r="I200" s="1395"/>
      <c r="J200" s="371" t="s">
        <v>586</v>
      </c>
      <c r="K200" s="381"/>
      <c r="L200" s="365"/>
      <c r="M200" s="361"/>
      <c r="N200" s="365"/>
      <c r="O200" s="1394"/>
    </row>
    <row r="201" spans="1:15" s="366" customFormat="1" ht="15.6" x14ac:dyDescent="0.3">
      <c r="A201" s="1376"/>
      <c r="B201" s="1377"/>
      <c r="C201" s="1379"/>
      <c r="D201" s="592"/>
      <c r="E201" s="592"/>
      <c r="F201" s="592"/>
      <c r="G201" s="592"/>
      <c r="H201" s="592"/>
      <c r="I201" s="1393"/>
      <c r="J201" s="371" t="s">
        <v>613</v>
      </c>
      <c r="K201" s="381">
        <f>155831300-50.43</f>
        <v>155831249.56999999</v>
      </c>
      <c r="L201" s="365"/>
      <c r="M201" s="361">
        <f>9004508.92+591141.05+12556560.11+488552.18+11893748.58+540298.1+12499910.88+540211.56</f>
        <v>48114931.380000003</v>
      </c>
      <c r="N201" s="365"/>
      <c r="O201" s="1394"/>
    </row>
    <row r="202" spans="1:15" s="366" customFormat="1" ht="15.6" x14ac:dyDescent="0.3">
      <c r="A202" s="1376"/>
      <c r="B202" s="1377" t="s">
        <v>1368</v>
      </c>
      <c r="C202" s="395" t="s">
        <v>1145</v>
      </c>
      <c r="D202" s="592"/>
      <c r="E202" s="592"/>
      <c r="F202" s="592"/>
      <c r="G202" s="592"/>
      <c r="H202" s="592"/>
      <c r="I202" s="594" t="s">
        <v>1326</v>
      </c>
      <c r="J202" s="371"/>
      <c r="K202" s="422">
        <f>K203+K204</f>
        <v>7075422.9199999999</v>
      </c>
      <c r="L202" s="365"/>
      <c r="M202" s="422">
        <f>M203+M204</f>
        <v>2786218.33</v>
      </c>
      <c r="N202" s="365"/>
      <c r="O202" s="1394"/>
    </row>
    <row r="203" spans="1:15" s="366" customFormat="1" ht="15.6" x14ac:dyDescent="0.3">
      <c r="A203" s="1376"/>
      <c r="B203" s="1377"/>
      <c r="C203" s="1388"/>
      <c r="D203" s="592"/>
      <c r="E203" s="592"/>
      <c r="F203" s="592"/>
      <c r="G203" s="592"/>
      <c r="H203" s="592"/>
      <c r="I203" s="1395"/>
      <c r="J203" s="371" t="s">
        <v>764</v>
      </c>
      <c r="K203" s="381">
        <f>7075400+22.92-4825000</f>
        <v>2250422.92</v>
      </c>
      <c r="L203" s="365"/>
      <c r="M203" s="361">
        <f>615180.58+275872.01</f>
        <v>891052.59</v>
      </c>
      <c r="N203" s="365"/>
      <c r="O203" s="1394"/>
    </row>
    <row r="204" spans="1:15" s="366" customFormat="1" ht="15.6" x14ac:dyDescent="0.3">
      <c r="A204" s="1376"/>
      <c r="B204" s="1377"/>
      <c r="C204" s="1379"/>
      <c r="D204" s="592"/>
      <c r="E204" s="592"/>
      <c r="F204" s="592"/>
      <c r="G204" s="592"/>
      <c r="H204" s="592"/>
      <c r="I204" s="1393"/>
      <c r="J204" s="371" t="s">
        <v>613</v>
      </c>
      <c r="K204" s="381">
        <v>4825000</v>
      </c>
      <c r="L204" s="365"/>
      <c r="M204" s="361">
        <f>1295117.99+274734.8+136154.6+189158.35</f>
        <v>1895165.7400000002</v>
      </c>
      <c r="N204" s="365"/>
      <c r="O204" s="1394"/>
    </row>
    <row r="205" spans="1:15" s="366" customFormat="1" ht="46.8" hidden="1" x14ac:dyDescent="0.3">
      <c r="A205" s="1376"/>
      <c r="B205" s="608" t="s">
        <v>1220</v>
      </c>
      <c r="C205" s="735" t="s">
        <v>1105</v>
      </c>
      <c r="D205" s="592"/>
      <c r="E205" s="592"/>
      <c r="F205" s="592"/>
      <c r="G205" s="592"/>
      <c r="H205" s="592"/>
      <c r="I205" s="610" t="s">
        <v>1189</v>
      </c>
      <c r="J205" s="371" t="s">
        <v>613</v>
      </c>
      <c r="K205" s="422"/>
      <c r="L205" s="365"/>
      <c r="M205" s="598"/>
      <c r="N205" s="365"/>
      <c r="O205" s="1394"/>
    </row>
    <row r="206" spans="1:15" s="366" customFormat="1" ht="15.6" x14ac:dyDescent="0.3">
      <c r="A206" s="1376"/>
      <c r="B206" s="1377" t="s">
        <v>1221</v>
      </c>
      <c r="C206" s="735" t="s">
        <v>1143</v>
      </c>
      <c r="D206" s="592"/>
      <c r="E206" s="592"/>
      <c r="F206" s="592"/>
      <c r="G206" s="592"/>
      <c r="H206" s="592"/>
      <c r="I206" s="610" t="s">
        <v>1319</v>
      </c>
      <c r="J206" s="371"/>
      <c r="K206" s="422">
        <f>K207+K208</f>
        <v>1361130</v>
      </c>
      <c r="L206" s="365"/>
      <c r="M206" s="422">
        <f>M207+M208</f>
        <v>0</v>
      </c>
      <c r="N206" s="365"/>
      <c r="O206" s="1394"/>
    </row>
    <row r="207" spans="1:15" s="366" customFormat="1" ht="15.6" x14ac:dyDescent="0.3">
      <c r="A207" s="1376"/>
      <c r="B207" s="1377"/>
      <c r="C207" s="735"/>
      <c r="D207" s="592"/>
      <c r="E207" s="592"/>
      <c r="F207" s="592"/>
      <c r="G207" s="592"/>
      <c r="H207" s="592"/>
      <c r="I207" s="610"/>
      <c r="J207" s="371" t="s">
        <v>764</v>
      </c>
      <c r="K207" s="381"/>
      <c r="L207" s="365"/>
      <c r="M207" s="361"/>
      <c r="N207" s="365"/>
      <c r="O207" s="1394"/>
    </row>
    <row r="208" spans="1:15" s="366" customFormat="1" ht="15.6" x14ac:dyDescent="0.3">
      <c r="A208" s="1376"/>
      <c r="B208" s="1377"/>
      <c r="C208" s="735"/>
      <c r="D208" s="592"/>
      <c r="E208" s="592"/>
      <c r="F208" s="592"/>
      <c r="G208" s="592"/>
      <c r="H208" s="592"/>
      <c r="I208" s="610"/>
      <c r="J208" s="371" t="s">
        <v>613</v>
      </c>
      <c r="K208" s="381">
        <f>1361000+130</f>
        <v>1361130</v>
      </c>
      <c r="L208" s="365"/>
      <c r="M208" s="361"/>
      <c r="N208" s="365"/>
      <c r="O208" s="1394"/>
    </row>
    <row r="209" spans="1:15" s="366" customFormat="1" ht="15.6" hidden="1" x14ac:dyDescent="0.3">
      <c r="A209" s="1376"/>
      <c r="B209" s="608" t="s">
        <v>1222</v>
      </c>
      <c r="C209" s="550" t="s">
        <v>1190</v>
      </c>
      <c r="D209" s="592"/>
      <c r="E209" s="592"/>
      <c r="F209" s="592"/>
      <c r="G209" s="592"/>
      <c r="H209" s="592"/>
      <c r="I209" s="611" t="s">
        <v>1191</v>
      </c>
      <c r="J209" s="397" t="s">
        <v>613</v>
      </c>
      <c r="K209" s="612"/>
      <c r="L209" s="365"/>
      <c r="M209" s="613"/>
      <c r="N209" s="365"/>
      <c r="O209" s="1394"/>
    </row>
    <row r="210" spans="1:15" s="713" customFormat="1" ht="46.8" x14ac:dyDescent="0.3">
      <c r="A210" s="1376"/>
      <c r="B210" s="608" t="s">
        <v>1223</v>
      </c>
      <c r="C210" s="550" t="s">
        <v>1142</v>
      </c>
      <c r="D210" s="592"/>
      <c r="E210" s="592"/>
      <c r="F210" s="592"/>
      <c r="G210" s="592"/>
      <c r="H210" s="592"/>
      <c r="I210" s="611" t="s">
        <v>1371</v>
      </c>
      <c r="J210" s="397" t="s">
        <v>700</v>
      </c>
      <c r="K210" s="612">
        <f>1929041.48+80226.97</f>
        <v>2009268.45</v>
      </c>
      <c r="L210" s="365"/>
      <c r="M210" s="613">
        <f>1929041.48+80226.97</f>
        <v>2009268.45</v>
      </c>
      <c r="N210" s="712"/>
      <c r="O210" s="1394"/>
    </row>
    <row r="211" spans="1:15" s="366" customFormat="1" ht="46.8" hidden="1" x14ac:dyDescent="0.3">
      <c r="A211" s="1376"/>
      <c r="B211" s="608" t="s">
        <v>1224</v>
      </c>
      <c r="C211" s="550" t="s">
        <v>1105</v>
      </c>
      <c r="D211" s="592"/>
      <c r="E211" s="592"/>
      <c r="F211" s="592"/>
      <c r="G211" s="592"/>
      <c r="H211" s="592"/>
      <c r="I211" s="611" t="s">
        <v>1193</v>
      </c>
      <c r="J211" s="397" t="s">
        <v>613</v>
      </c>
      <c r="K211" s="612"/>
      <c r="L211" s="365"/>
      <c r="M211" s="613"/>
      <c r="N211" s="365"/>
      <c r="O211" s="1352"/>
    </row>
    <row r="212" spans="1:15" s="366" customFormat="1" ht="17.399999999999999" x14ac:dyDescent="0.3">
      <c r="A212" s="1365"/>
      <c r="B212" s="614" t="s">
        <v>483</v>
      </c>
      <c r="C212" s="615"/>
      <c r="D212" s="616"/>
      <c r="E212" s="616"/>
      <c r="F212" s="616"/>
      <c r="G212" s="616"/>
      <c r="H212" s="616"/>
      <c r="I212" s="617"/>
      <c r="J212" s="371"/>
      <c r="K212" s="422">
        <f>K195+K198+K199+K202+K205+K206+K209+K210+K211</f>
        <v>210827811.24999997</v>
      </c>
      <c r="L212" s="618"/>
      <c r="M212" s="422">
        <f>M195+M198+M199+M202+M205+M206+M209+M210+M211</f>
        <v>66037057.970000006</v>
      </c>
      <c r="N212" s="365"/>
      <c r="O212" s="619"/>
    </row>
    <row r="213" spans="1:15" s="366" customFormat="1" ht="36" hidden="1" x14ac:dyDescent="0.35">
      <c r="A213" s="733">
        <v>13</v>
      </c>
      <c r="B213" s="620" t="s">
        <v>1164</v>
      </c>
      <c r="C213" s="395" t="s">
        <v>1109</v>
      </c>
      <c r="D213" s="592"/>
      <c r="E213" s="592"/>
      <c r="F213" s="592"/>
      <c r="G213" s="592"/>
      <c r="H213" s="592"/>
      <c r="I213" s="611"/>
      <c r="J213" s="397"/>
      <c r="K213" s="612">
        <f>K214+K215+K216</f>
        <v>0</v>
      </c>
      <c r="L213" s="618"/>
      <c r="M213" s="612"/>
      <c r="N213" s="365"/>
      <c r="O213" s="432" t="s">
        <v>151</v>
      </c>
    </row>
    <row r="214" spans="1:15" s="366" customFormat="1" ht="46.8" hidden="1" x14ac:dyDescent="0.3">
      <c r="A214" s="733">
        <v>14</v>
      </c>
      <c r="B214" s="621" t="s">
        <v>1165</v>
      </c>
      <c r="C214" s="395" t="s">
        <v>1109</v>
      </c>
      <c r="D214" s="592"/>
      <c r="E214" s="592"/>
      <c r="F214" s="592"/>
      <c r="G214" s="592"/>
      <c r="H214" s="592"/>
      <c r="I214" s="611" t="s">
        <v>1166</v>
      </c>
      <c r="J214" s="397" t="s">
        <v>700</v>
      </c>
      <c r="K214" s="612"/>
      <c r="L214" s="618"/>
      <c r="M214" s="622"/>
      <c r="N214" s="365"/>
      <c r="O214" s="619"/>
    </row>
    <row r="215" spans="1:15" s="366" customFormat="1" ht="31.2" hidden="1" x14ac:dyDescent="0.3">
      <c r="A215" s="733">
        <v>15</v>
      </c>
      <c r="B215" s="466" t="s">
        <v>1176</v>
      </c>
      <c r="C215" s="451" t="s">
        <v>1109</v>
      </c>
      <c r="I215" s="531" t="s">
        <v>1177</v>
      </c>
      <c r="J215" s="397" t="s">
        <v>700</v>
      </c>
      <c r="K215" s="612"/>
      <c r="L215" s="618"/>
      <c r="M215" s="622"/>
      <c r="N215" s="365"/>
      <c r="O215" s="619"/>
    </row>
    <row r="216" spans="1:15" s="366" customFormat="1" ht="15.6" hidden="1" x14ac:dyDescent="0.3">
      <c r="A216" s="733">
        <v>16</v>
      </c>
      <c r="B216" s="521" t="s">
        <v>1207</v>
      </c>
      <c r="C216" s="451" t="s">
        <v>1111</v>
      </c>
      <c r="I216" s="531" t="s">
        <v>1208</v>
      </c>
      <c r="J216" s="397" t="s">
        <v>764</v>
      </c>
      <c r="K216" s="612"/>
      <c r="L216" s="618"/>
      <c r="M216" s="612"/>
      <c r="N216" s="365"/>
      <c r="O216" s="619"/>
    </row>
    <row r="217" spans="1:15" s="366" customFormat="1" ht="16.5" hidden="1" customHeight="1" x14ac:dyDescent="0.35">
      <c r="A217" s="733">
        <v>17</v>
      </c>
      <c r="B217" s="623" t="s">
        <v>322</v>
      </c>
      <c r="C217" s="451" t="s">
        <v>1159</v>
      </c>
      <c r="I217" s="531" t="s">
        <v>1178</v>
      </c>
      <c r="J217" s="397" t="s">
        <v>813</v>
      </c>
      <c r="K217" s="612"/>
      <c r="L217" s="618"/>
      <c r="M217" s="612"/>
      <c r="N217" s="365"/>
      <c r="O217" s="448" t="s">
        <v>1179</v>
      </c>
    </row>
    <row r="218" spans="1:15" s="366" customFormat="1" ht="46.5" hidden="1" customHeight="1" x14ac:dyDescent="0.3">
      <c r="A218" s="733">
        <v>18</v>
      </c>
      <c r="B218" s="466" t="s">
        <v>1199</v>
      </c>
      <c r="C218" s="451" t="s">
        <v>1103</v>
      </c>
      <c r="I218" s="531" t="s">
        <v>1200</v>
      </c>
      <c r="J218" s="397" t="s">
        <v>586</v>
      </c>
      <c r="K218" s="612"/>
      <c r="L218" s="618"/>
      <c r="M218" s="612"/>
      <c r="N218" s="365"/>
      <c r="O218" s="432" t="s">
        <v>151</v>
      </c>
    </row>
    <row r="219" spans="1:15" s="474" customFormat="1" ht="46.5" customHeight="1" x14ac:dyDescent="0.3">
      <c r="A219" s="624">
        <v>14</v>
      </c>
      <c r="B219" s="423" t="s">
        <v>601</v>
      </c>
      <c r="C219" s="550" t="s">
        <v>1227</v>
      </c>
      <c r="I219" s="611" t="s">
        <v>1228</v>
      </c>
      <c r="J219" s="397" t="s">
        <v>586</v>
      </c>
      <c r="K219" s="612">
        <f>24200-13.73</f>
        <v>24186.27</v>
      </c>
      <c r="L219" s="625"/>
      <c r="M219" s="612"/>
      <c r="N219" s="476"/>
      <c r="O219" s="432"/>
    </row>
    <row r="220" spans="1:15" s="474" customFormat="1" ht="46.5" customHeight="1" x14ac:dyDescent="0.3">
      <c r="A220" s="624">
        <v>15</v>
      </c>
      <c r="B220" s="416" t="s">
        <v>1369</v>
      </c>
      <c r="C220" s="550" t="s">
        <v>1109</v>
      </c>
      <c r="I220" s="611" t="s">
        <v>1370</v>
      </c>
      <c r="J220" s="397" t="s">
        <v>700</v>
      </c>
      <c r="K220" s="612">
        <v>7065202.5899999999</v>
      </c>
      <c r="L220" s="625"/>
      <c r="M220" s="612">
        <f>2660770.7</f>
        <v>2660770.7000000002</v>
      </c>
      <c r="N220" s="476"/>
      <c r="O220" s="432"/>
    </row>
    <row r="221" spans="1:15" ht="21" x14ac:dyDescent="0.4">
      <c r="A221" s="410"/>
      <c r="B221" s="402" t="s">
        <v>1151</v>
      </c>
      <c r="C221" s="411"/>
      <c r="D221" s="411"/>
      <c r="E221" s="411"/>
      <c r="F221" s="411"/>
      <c r="G221" s="411"/>
      <c r="H221" s="411"/>
      <c r="I221" s="412"/>
      <c r="J221" s="413"/>
      <c r="K221" s="676">
        <f>K174+K178+K179+K180+K181+K182+K185+K186+K187+K190+K191+K212+K213+K215+K217+K218+K219+K188+K220+K177+K189</f>
        <v>341007203.64999992</v>
      </c>
      <c r="L221" s="408"/>
      <c r="M221" s="676">
        <f>M174+M178+M179+M180+M181+M182+M185+M186+M187+M190+M191+M212+M213+M215+M217+M218+M219+M188+M220+M177+M189</f>
        <v>98072972.170000002</v>
      </c>
      <c r="N221" s="354"/>
      <c r="O221" s="354"/>
    </row>
    <row r="222" spans="1:15" ht="46.8" x14ac:dyDescent="0.3">
      <c r="A222" s="444">
        <v>1</v>
      </c>
      <c r="B222" s="423" t="s">
        <v>513</v>
      </c>
      <c r="C222" s="395" t="s">
        <v>1113</v>
      </c>
      <c r="D222" s="592"/>
      <c r="E222" s="592"/>
      <c r="F222" s="592"/>
      <c r="G222" s="592"/>
      <c r="H222" s="592"/>
      <c r="I222" s="477" t="s">
        <v>1291</v>
      </c>
      <c r="J222" s="371" t="s">
        <v>700</v>
      </c>
      <c r="K222" s="453">
        <f>4356000+1089000</f>
        <v>5445000</v>
      </c>
      <c r="L222" s="366"/>
      <c r="M222" s="598"/>
      <c r="N222" s="366"/>
      <c r="O222" s="595" t="s">
        <v>151</v>
      </c>
    </row>
    <row r="223" spans="1:15" ht="62.4" x14ac:dyDescent="0.3">
      <c r="A223" s="444">
        <v>2</v>
      </c>
      <c r="B223" s="348" t="s">
        <v>1390</v>
      </c>
      <c r="C223" s="395" t="s">
        <v>1111</v>
      </c>
      <c r="D223" s="755"/>
      <c r="E223" s="755"/>
      <c r="F223" s="755"/>
      <c r="G223" s="755"/>
      <c r="H223" s="755"/>
      <c r="I223" s="753" t="s">
        <v>1391</v>
      </c>
      <c r="J223" s="397" t="s">
        <v>764</v>
      </c>
      <c r="K223" s="756">
        <v>400000</v>
      </c>
      <c r="L223" s="366"/>
      <c r="M223" s="598"/>
      <c r="N223" s="366"/>
      <c r="O223" s="595"/>
    </row>
    <row r="224" spans="1:15" ht="35.25" customHeight="1" x14ac:dyDescent="0.4">
      <c r="A224" s="444">
        <v>3</v>
      </c>
      <c r="B224" s="348" t="s">
        <v>1378</v>
      </c>
      <c r="C224" s="351" t="s">
        <v>1130</v>
      </c>
      <c r="I224" s="357" t="s">
        <v>1379</v>
      </c>
      <c r="J224" s="415" t="s">
        <v>586</v>
      </c>
      <c r="K224" s="711">
        <f>638410.08-95763.09</f>
        <v>542646.99</v>
      </c>
      <c r="L224" s="408"/>
      <c r="M224" s="443"/>
      <c r="N224" s="354"/>
      <c r="O224" s="342" t="s">
        <v>151</v>
      </c>
    </row>
    <row r="225" spans="1:15" ht="1.5" hidden="1" customHeight="1" x14ac:dyDescent="0.4">
      <c r="A225" s="444">
        <v>2</v>
      </c>
      <c r="B225" s="115" t="s">
        <v>1210</v>
      </c>
      <c r="C225" s="351" t="s">
        <v>1105</v>
      </c>
      <c r="I225" s="357" t="s">
        <v>1211</v>
      </c>
      <c r="J225" s="415" t="s">
        <v>613</v>
      </c>
      <c r="K225" s="679"/>
      <c r="L225" s="408"/>
      <c r="M225" s="440"/>
      <c r="N225" s="354"/>
      <c r="O225" s="342" t="s">
        <v>1152</v>
      </c>
    </row>
    <row r="226" spans="1:15" ht="32.25" customHeight="1" x14ac:dyDescent="0.4">
      <c r="A226" s="410"/>
      <c r="B226" s="402" t="s">
        <v>1212</v>
      </c>
      <c r="C226" s="411"/>
      <c r="D226" s="411"/>
      <c r="E226" s="411"/>
      <c r="F226" s="411"/>
      <c r="G226" s="411"/>
      <c r="H226" s="411"/>
      <c r="I226" s="413"/>
      <c r="J226" s="413"/>
      <c r="K226" s="680">
        <f>K222+K224+K223</f>
        <v>6387646.9900000002</v>
      </c>
      <c r="L226" s="408"/>
      <c r="M226" s="680">
        <f>M222+M224+M223</f>
        <v>0</v>
      </c>
      <c r="N226" s="354"/>
      <c r="O226" s="354"/>
    </row>
    <row r="229" spans="1:15" ht="18" x14ac:dyDescent="0.35">
      <c r="A229" s="331" t="s">
        <v>1380</v>
      </c>
      <c r="B229" s="331"/>
      <c r="C229" s="331"/>
      <c r="D229" s="331"/>
      <c r="E229" s="331"/>
      <c r="F229" s="331"/>
      <c r="G229" s="331"/>
      <c r="H229" s="331"/>
      <c r="I229" s="355"/>
      <c r="J229" s="355"/>
      <c r="K229" s="681"/>
      <c r="L229" s="355"/>
      <c r="M229" s="331"/>
      <c r="N229" s="331"/>
      <c r="O229" s="331"/>
    </row>
    <row r="230" spans="1:15" ht="18" x14ac:dyDescent="0.35">
      <c r="A230" s="331" t="s">
        <v>1155</v>
      </c>
      <c r="B230" s="331"/>
      <c r="C230" s="331"/>
      <c r="D230" s="331"/>
      <c r="E230" s="331"/>
      <c r="F230" s="331"/>
      <c r="G230" s="331"/>
      <c r="H230" s="331"/>
      <c r="I230" s="355"/>
      <c r="J230" s="355"/>
      <c r="K230" s="681"/>
      <c r="L230" s="355"/>
      <c r="M230" s="331"/>
      <c r="N230" s="1391" t="s">
        <v>958</v>
      </c>
      <c r="O230" s="1391"/>
    </row>
    <row r="231" spans="1:15" ht="18" x14ac:dyDescent="0.35">
      <c r="A231" s="331"/>
      <c r="B231" s="331"/>
      <c r="C231" s="331"/>
      <c r="D231" s="331"/>
      <c r="E231" s="331"/>
      <c r="F231" s="331"/>
      <c r="G231" s="331"/>
      <c r="H231" s="331"/>
      <c r="I231" s="355"/>
      <c r="J231" s="355"/>
      <c r="K231" s="681"/>
      <c r="L231" s="355"/>
      <c r="M231" s="331"/>
      <c r="N231" s="331"/>
      <c r="O231" s="331"/>
    </row>
    <row r="232" spans="1:15" ht="18" x14ac:dyDescent="0.35">
      <c r="A232" s="331" t="s">
        <v>1156</v>
      </c>
      <c r="B232" s="331" t="s">
        <v>1157</v>
      </c>
      <c r="C232" s="331"/>
      <c r="D232" s="331"/>
      <c r="E232" s="331"/>
      <c r="F232" s="331"/>
      <c r="G232" s="331"/>
      <c r="H232" s="331"/>
      <c r="I232" s="355"/>
      <c r="J232" s="355"/>
      <c r="K232" s="681"/>
      <c r="L232" s="355"/>
      <c r="M232" s="331"/>
      <c r="N232" s="331"/>
      <c r="O232" s="331"/>
    </row>
    <row r="233" spans="1:15" ht="18" x14ac:dyDescent="0.35">
      <c r="A233" s="331"/>
      <c r="B233" s="331" t="s">
        <v>960</v>
      </c>
      <c r="C233" s="331"/>
      <c r="D233" s="331"/>
      <c r="E233" s="331"/>
      <c r="F233" s="331"/>
      <c r="G233" s="331"/>
      <c r="H233" s="331"/>
      <c r="I233" s="355"/>
      <c r="J233" s="355"/>
      <c r="K233" s="681"/>
      <c r="L233" s="355"/>
      <c r="M233" s="331"/>
      <c r="N233" s="331"/>
      <c r="O233" s="331"/>
    </row>
    <row r="235" spans="1:15" ht="15.6" x14ac:dyDescent="0.3">
      <c r="A235" s="420"/>
      <c r="B235" s="414"/>
      <c r="C235" s="417"/>
      <c r="D235" s="336"/>
      <c r="E235" s="336"/>
      <c r="F235" s="336"/>
      <c r="G235" s="336"/>
      <c r="H235" s="336"/>
      <c r="I235" s="418"/>
      <c r="J235" s="418"/>
      <c r="K235" s="367"/>
    </row>
    <row r="238" spans="1:15" ht="15.6" x14ac:dyDescent="0.3">
      <c r="B238" s="414"/>
      <c r="C238" s="417"/>
      <c r="D238" s="336"/>
      <c r="E238" s="336"/>
      <c r="F238" s="336"/>
      <c r="G238" s="336"/>
      <c r="H238" s="336"/>
      <c r="I238" s="418"/>
      <c r="J238" s="418"/>
      <c r="K238" s="582"/>
      <c r="L238" s="336"/>
      <c r="M238" s="336"/>
    </row>
    <row r="239" spans="1:15" x14ac:dyDescent="0.3">
      <c r="B239" s="336"/>
      <c r="C239" s="336"/>
      <c r="D239" s="336"/>
      <c r="E239" s="336"/>
      <c r="F239" s="336"/>
      <c r="G239" s="336"/>
      <c r="H239" s="336"/>
      <c r="I239" s="336"/>
      <c r="J239" s="336"/>
      <c r="K239" s="367"/>
      <c r="L239" s="336"/>
      <c r="M239" s="336"/>
    </row>
  </sheetData>
  <mergeCells count="109">
    <mergeCell ref="A29:A30"/>
    <mergeCell ref="B29:B30"/>
    <mergeCell ref="I29:I30"/>
    <mergeCell ref="O31:O32"/>
    <mergeCell ref="O37:O40"/>
    <mergeCell ref="O17:P17"/>
    <mergeCell ref="O18:O20"/>
    <mergeCell ref="P18:P20"/>
    <mergeCell ref="O22:O29"/>
    <mergeCell ref="A11:B11"/>
    <mergeCell ref="I11:O11"/>
    <mergeCell ref="A12:B12"/>
    <mergeCell ref="A14:O14"/>
    <mergeCell ref="A17:A20"/>
    <mergeCell ref="B17:B20"/>
    <mergeCell ref="C17:C20"/>
    <mergeCell ref="I17:I20"/>
    <mergeCell ref="J17:J20"/>
    <mergeCell ref="K17:K20"/>
    <mergeCell ref="A2:B2"/>
    <mergeCell ref="A3:B3"/>
    <mergeCell ref="A4:B4"/>
    <mergeCell ref="A5:B5"/>
    <mergeCell ref="A6:B6"/>
    <mergeCell ref="M2:O2"/>
    <mergeCell ref="M3:O3"/>
    <mergeCell ref="A8:B8"/>
    <mergeCell ref="I8:O8"/>
    <mergeCell ref="A9:B9"/>
    <mergeCell ref="I9:O9"/>
    <mergeCell ref="A10:B10"/>
    <mergeCell ref="I10:O10"/>
    <mergeCell ref="A7:B7"/>
    <mergeCell ref="A84:A87"/>
    <mergeCell ref="B84:B87"/>
    <mergeCell ref="O84:O90"/>
    <mergeCell ref="B90:B91"/>
    <mergeCell ref="C90:C91"/>
    <mergeCell ref="I90:I91"/>
    <mergeCell ref="B51:B52"/>
    <mergeCell ref="I51:I52"/>
    <mergeCell ref="O62:O64"/>
    <mergeCell ref="O68:O69"/>
    <mergeCell ref="O72:O74"/>
    <mergeCell ref="B22:B23"/>
    <mergeCell ref="C22:C23"/>
    <mergeCell ref="I22:I23"/>
    <mergeCell ref="L17:L19"/>
    <mergeCell ref="M17:M20"/>
    <mergeCell ref="N17:N19"/>
    <mergeCell ref="O43:O46"/>
    <mergeCell ref="O49:O55"/>
    <mergeCell ref="A99:A102"/>
    <mergeCell ref="B99:B102"/>
    <mergeCell ref="O99:O109"/>
    <mergeCell ref="O112:O115"/>
    <mergeCell ref="O116:O117"/>
    <mergeCell ref="B117:B118"/>
    <mergeCell ref="I117:I118"/>
    <mergeCell ref="A92:A95"/>
    <mergeCell ref="B92:B95"/>
    <mergeCell ref="O92:O96"/>
    <mergeCell ref="B96:B98"/>
    <mergeCell ref="C97:C98"/>
    <mergeCell ref="I97:I98"/>
    <mergeCell ref="A133:A134"/>
    <mergeCell ref="B133:B134"/>
    <mergeCell ref="C133:C134"/>
    <mergeCell ref="I133:I134"/>
    <mergeCell ref="A137:A140"/>
    <mergeCell ref="B137:B140"/>
    <mergeCell ref="C138:C140"/>
    <mergeCell ref="I138:I140"/>
    <mergeCell ref="A141:A144"/>
    <mergeCell ref="B141:B144"/>
    <mergeCell ref="C142:C144"/>
    <mergeCell ref="I142:I144"/>
    <mergeCell ref="A191:A193"/>
    <mergeCell ref="B191:B193"/>
    <mergeCell ref="A194:A212"/>
    <mergeCell ref="B195:B197"/>
    <mergeCell ref="C196:C197"/>
    <mergeCell ref="O168:O169"/>
    <mergeCell ref="A174:A176"/>
    <mergeCell ref="B174:B176"/>
    <mergeCell ref="A182:A184"/>
    <mergeCell ref="B182:B184"/>
    <mergeCell ref="C183:C184"/>
    <mergeCell ref="I183:I184"/>
    <mergeCell ref="N230:O230"/>
    <mergeCell ref="C59:C60"/>
    <mergeCell ref="I59:I60"/>
    <mergeCell ref="I196:I197"/>
    <mergeCell ref="O198:O211"/>
    <mergeCell ref="B199:B201"/>
    <mergeCell ref="C200:C201"/>
    <mergeCell ref="I200:I201"/>
    <mergeCell ref="B202:B204"/>
    <mergeCell ref="C203:C204"/>
    <mergeCell ref="I203:I204"/>
    <mergeCell ref="B206:B208"/>
    <mergeCell ref="O147:O160"/>
    <mergeCell ref="B159:B161"/>
    <mergeCell ref="C159:C161"/>
    <mergeCell ref="I159:I161"/>
    <mergeCell ref="O162:O164"/>
    <mergeCell ref="O126:O145"/>
    <mergeCell ref="O78:O81"/>
    <mergeCell ref="O122:O124"/>
  </mergeCells>
  <hyperlinks>
    <hyperlink ref="A8" r:id="rId1" display="mailto:rfo-skv@mail.ru"/>
  </hyperlinks>
  <pageMargins left="0.70866141732283472" right="0.70866141732283472" top="0.74803149606299213" bottom="0.74803149606299213" header="0.31496062992125984" footer="0.31496062992125984"/>
  <pageSetup paperSize="9" scale="49" fitToHeight="6" orientation="landscape"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0"/>
  <sheetViews>
    <sheetView view="pageBreakPreview" topLeftCell="A120" zoomScaleNormal="100" zoomScaleSheetLayoutView="100" workbookViewId="0">
      <selection activeCell="K128" sqref="K128"/>
    </sheetView>
  </sheetViews>
  <sheetFormatPr defaultRowHeight="14.4" x14ac:dyDescent="0.3"/>
  <cols>
    <col min="1" max="1" width="8.6640625" customWidth="1"/>
    <col min="2" max="2" width="75.6640625" customWidth="1"/>
    <col min="3" max="3" width="21" customWidth="1"/>
    <col min="4" max="7" width="9.109375" hidden="1" customWidth="1"/>
    <col min="8" max="8" width="5.44140625" hidden="1" customWidth="1"/>
    <col min="9" max="9" width="19.109375" customWidth="1"/>
    <col min="10" max="10" width="12" customWidth="1"/>
    <col min="11" max="11" width="23.5546875" style="366" customWidth="1"/>
    <col min="12" max="12" width="0.33203125" hidden="1" customWidth="1"/>
    <col min="13" max="13" width="26.88671875" customWidth="1"/>
    <col min="14" max="14" width="3" hidden="1" customWidth="1"/>
    <col min="15" max="15" width="37.109375" customWidth="1"/>
    <col min="16" max="16" width="25" hidden="1" customWidth="1"/>
  </cols>
  <sheetData>
    <row r="1" spans="1:15" ht="18" hidden="1" x14ac:dyDescent="0.35">
      <c r="A1" s="331"/>
      <c r="B1" s="757"/>
      <c r="C1" s="330"/>
      <c r="D1" s="330"/>
      <c r="E1" s="771"/>
      <c r="F1" s="331"/>
      <c r="G1" s="331"/>
      <c r="H1" s="331"/>
      <c r="I1" s="352"/>
      <c r="J1" s="352"/>
      <c r="K1" s="666"/>
      <c r="L1" s="352"/>
      <c r="M1" s="352"/>
      <c r="N1" s="352"/>
      <c r="O1" s="353"/>
    </row>
    <row r="2" spans="1:15" ht="18" x14ac:dyDescent="0.35">
      <c r="A2" s="1268" t="s">
        <v>1117</v>
      </c>
      <c r="B2" s="1268"/>
      <c r="C2" s="330"/>
      <c r="D2" s="330"/>
      <c r="E2" s="771"/>
      <c r="F2" s="331"/>
      <c r="G2" s="331"/>
      <c r="H2" s="331"/>
      <c r="I2" s="352"/>
      <c r="J2" s="352"/>
      <c r="K2" s="666"/>
      <c r="L2" s="352" t="s">
        <v>1118</v>
      </c>
      <c r="M2" s="1330" t="s">
        <v>151</v>
      </c>
      <c r="N2" s="1330"/>
      <c r="O2" s="1330"/>
    </row>
    <row r="3" spans="1:15" ht="18" x14ac:dyDescent="0.35">
      <c r="A3" s="1268" t="s">
        <v>1119</v>
      </c>
      <c r="B3" s="1268"/>
      <c r="C3" s="330"/>
      <c r="D3" s="330"/>
      <c r="E3" s="771"/>
      <c r="F3" s="331"/>
      <c r="G3" s="331"/>
      <c r="H3" s="331"/>
      <c r="I3" s="352"/>
      <c r="J3" s="352"/>
      <c r="K3" s="666"/>
      <c r="L3" s="352" t="s">
        <v>1120</v>
      </c>
      <c r="M3" s="1330" t="s">
        <v>1202</v>
      </c>
      <c r="N3" s="1330"/>
      <c r="O3" s="1330"/>
    </row>
    <row r="4" spans="1:15" ht="18" x14ac:dyDescent="0.35">
      <c r="A4" s="1353" t="s">
        <v>1121</v>
      </c>
      <c r="B4" s="1353"/>
      <c r="C4" s="330"/>
      <c r="D4" s="330"/>
      <c r="E4" s="771"/>
      <c r="F4" s="331"/>
      <c r="G4" s="331"/>
      <c r="H4" s="331"/>
      <c r="I4" s="352"/>
      <c r="J4" s="352"/>
      <c r="K4" s="666"/>
      <c r="L4" s="352"/>
      <c r="M4" s="352"/>
      <c r="N4" s="352"/>
      <c r="O4" s="353"/>
    </row>
    <row r="5" spans="1:15" ht="18" x14ac:dyDescent="0.35">
      <c r="A5" s="1353" t="s">
        <v>1122</v>
      </c>
      <c r="B5" s="1353"/>
      <c r="C5" s="330"/>
      <c r="D5" s="330"/>
      <c r="E5" s="771"/>
      <c r="F5" s="331"/>
      <c r="G5" s="331"/>
      <c r="H5" s="331"/>
      <c r="I5" s="352"/>
      <c r="J5" s="352"/>
      <c r="K5" s="666"/>
      <c r="L5" s="352"/>
      <c r="M5" s="352"/>
      <c r="N5" s="352"/>
      <c r="O5" s="353"/>
    </row>
    <row r="6" spans="1:15" ht="21.75" customHeight="1" x14ac:dyDescent="0.35">
      <c r="A6" s="1268" t="s">
        <v>1123</v>
      </c>
      <c r="B6" s="1268"/>
      <c r="C6" s="330"/>
      <c r="D6" s="330"/>
      <c r="E6" s="771"/>
      <c r="F6" s="331"/>
      <c r="G6" s="331"/>
      <c r="H6" s="331"/>
      <c r="I6" s="352"/>
      <c r="J6" s="352"/>
      <c r="K6" s="666"/>
      <c r="L6" s="352"/>
      <c r="M6" s="352"/>
      <c r="N6" s="352"/>
      <c r="O6" s="353"/>
    </row>
    <row r="7" spans="1:15" ht="23.25" customHeight="1" x14ac:dyDescent="0.35">
      <c r="A7" s="1268" t="s">
        <v>1124</v>
      </c>
      <c r="B7" s="1268"/>
      <c r="C7" s="330"/>
      <c r="D7" s="330"/>
      <c r="E7" s="771"/>
      <c r="F7" s="331"/>
      <c r="G7" s="331"/>
      <c r="H7" s="331"/>
      <c r="I7" s="352"/>
      <c r="J7" s="352"/>
      <c r="K7" s="666"/>
      <c r="L7" s="352"/>
      <c r="M7" s="352"/>
      <c r="N7" s="352"/>
      <c r="O7" s="353"/>
    </row>
    <row r="8" spans="1:15" ht="18" x14ac:dyDescent="0.35">
      <c r="A8" s="1309" t="s">
        <v>1125</v>
      </c>
      <c r="B8" s="1309"/>
      <c r="C8" s="330"/>
      <c r="D8" s="330"/>
      <c r="E8" s="771"/>
      <c r="F8" s="331"/>
      <c r="G8" s="331"/>
      <c r="H8" s="331"/>
      <c r="I8" s="1310"/>
      <c r="J8" s="1310"/>
      <c r="K8" s="1310"/>
      <c r="L8" s="1310"/>
      <c r="M8" s="1310"/>
      <c r="N8" s="1310"/>
      <c r="O8" s="1310"/>
    </row>
    <row r="9" spans="1:15" ht="18" x14ac:dyDescent="0.35">
      <c r="A9" s="1268" t="s">
        <v>1126</v>
      </c>
      <c r="B9" s="1268"/>
      <c r="C9" s="330"/>
      <c r="D9" s="330"/>
      <c r="E9" s="771"/>
      <c r="F9" s="331"/>
      <c r="G9" s="331"/>
      <c r="H9" s="331"/>
      <c r="I9" s="1310"/>
      <c r="J9" s="1310"/>
      <c r="K9" s="1310"/>
      <c r="L9" s="1310"/>
      <c r="M9" s="1310"/>
      <c r="N9" s="1310"/>
      <c r="O9" s="1310"/>
    </row>
    <row r="10" spans="1:15" ht="18" x14ac:dyDescent="0.35">
      <c r="A10" s="1268" t="s">
        <v>1127</v>
      </c>
      <c r="B10" s="1268"/>
      <c r="C10" s="330"/>
      <c r="D10" s="330"/>
      <c r="E10" s="771"/>
      <c r="F10" s="331"/>
      <c r="G10" s="331"/>
      <c r="H10" s="331"/>
      <c r="I10" s="1310"/>
      <c r="J10" s="1310"/>
      <c r="K10" s="1310"/>
      <c r="L10" s="1310"/>
      <c r="M10" s="1310"/>
      <c r="N10" s="1310"/>
      <c r="O10" s="1310"/>
    </row>
    <row r="11" spans="1:15" ht="18" x14ac:dyDescent="0.35">
      <c r="A11" s="1268" t="s">
        <v>1394</v>
      </c>
      <c r="B11" s="1268"/>
      <c r="C11" s="330"/>
      <c r="D11" s="330"/>
      <c r="E11" s="771"/>
      <c r="F11" s="331"/>
      <c r="G11" s="331"/>
      <c r="H11" s="331"/>
      <c r="I11" s="1310"/>
      <c r="J11" s="1310"/>
      <c r="K11" s="1310"/>
      <c r="L11" s="1310"/>
      <c r="M11" s="1310"/>
      <c r="N11" s="1310"/>
      <c r="O11" s="1310"/>
    </row>
    <row r="12" spans="1:15" ht="18" x14ac:dyDescent="0.35">
      <c r="A12" s="1268" t="s">
        <v>1128</v>
      </c>
      <c r="B12" s="1268"/>
      <c r="C12" s="330"/>
      <c r="D12" s="330"/>
      <c r="E12" s="771"/>
      <c r="F12" s="331"/>
      <c r="G12" s="331"/>
      <c r="H12" s="331"/>
      <c r="I12" s="769"/>
      <c r="J12" s="769"/>
      <c r="K12" s="667"/>
      <c r="L12" s="769"/>
      <c r="M12" s="769"/>
      <c r="N12" s="769"/>
      <c r="O12" s="769"/>
    </row>
    <row r="13" spans="1:15" ht="12.75" customHeight="1" x14ac:dyDescent="0.35">
      <c r="A13" s="331"/>
      <c r="B13" s="330"/>
      <c r="C13" s="330"/>
      <c r="D13" s="330"/>
      <c r="E13" s="771"/>
      <c r="F13" s="331"/>
      <c r="G13" s="331"/>
      <c r="H13" s="331"/>
      <c r="I13" s="352"/>
      <c r="J13" s="352"/>
      <c r="K13" s="666"/>
      <c r="L13" s="352"/>
      <c r="M13" s="352"/>
      <c r="N13" s="352"/>
      <c r="O13" s="353"/>
    </row>
    <row r="14" spans="1:15" ht="18" x14ac:dyDescent="0.35">
      <c r="A14" s="1315" t="s">
        <v>1335</v>
      </c>
      <c r="B14" s="1315"/>
      <c r="C14" s="1315"/>
      <c r="D14" s="1315"/>
      <c r="E14" s="1315"/>
      <c r="F14" s="1315"/>
      <c r="G14" s="1315"/>
      <c r="H14" s="1315"/>
      <c r="I14" s="1315"/>
      <c r="J14" s="1315"/>
      <c r="K14" s="1315"/>
      <c r="L14" s="1315"/>
      <c r="M14" s="1315"/>
      <c r="N14" s="1315"/>
      <c r="O14" s="1315"/>
    </row>
    <row r="15" spans="1:15" ht="18" x14ac:dyDescent="0.35">
      <c r="A15" s="331"/>
      <c r="B15" s="330"/>
      <c r="C15" s="330"/>
      <c r="D15" s="330"/>
      <c r="E15" s="771"/>
      <c r="F15" s="331"/>
      <c r="G15" s="331"/>
      <c r="H15" s="331"/>
      <c r="I15" s="352"/>
      <c r="J15" s="352"/>
      <c r="K15" s="666"/>
      <c r="L15" s="352"/>
      <c r="M15" s="352"/>
      <c r="N15" s="352"/>
      <c r="O15" s="780" t="s">
        <v>478</v>
      </c>
    </row>
    <row r="16" spans="1:15" hidden="1" x14ac:dyDescent="0.3"/>
    <row r="17" spans="1:16" ht="18.75" customHeight="1" x14ac:dyDescent="0.35">
      <c r="A17" s="1313" t="s">
        <v>407</v>
      </c>
      <c r="B17" s="1269" t="s">
        <v>479</v>
      </c>
      <c r="C17" s="1274" t="s">
        <v>281</v>
      </c>
      <c r="D17" s="333"/>
      <c r="E17" s="770"/>
      <c r="F17" s="334"/>
      <c r="G17" s="335"/>
      <c r="H17" s="335"/>
      <c r="I17" s="1277" t="s">
        <v>1085</v>
      </c>
      <c r="J17" s="1277" t="s">
        <v>510</v>
      </c>
      <c r="K17" s="1401" t="s">
        <v>1350</v>
      </c>
      <c r="L17" s="1271" t="s">
        <v>1079</v>
      </c>
      <c r="M17" s="1270" t="s">
        <v>1393</v>
      </c>
      <c r="N17" s="1270" t="s">
        <v>1080</v>
      </c>
      <c r="O17" s="1311" t="s">
        <v>480</v>
      </c>
      <c r="P17" s="1311"/>
    </row>
    <row r="18" spans="1:16" ht="18" x14ac:dyDescent="0.35">
      <c r="A18" s="1313"/>
      <c r="B18" s="1269"/>
      <c r="C18" s="1275"/>
      <c r="D18" s="333"/>
      <c r="E18" s="770"/>
      <c r="F18" s="334"/>
      <c r="G18" s="335"/>
      <c r="H18" s="335"/>
      <c r="I18" s="1278"/>
      <c r="J18" s="1278"/>
      <c r="K18" s="1401"/>
      <c r="L18" s="1272"/>
      <c r="M18" s="1270"/>
      <c r="N18" s="1270"/>
      <c r="O18" s="1270" t="s">
        <v>481</v>
      </c>
      <c r="P18" s="1312"/>
    </row>
    <row r="19" spans="1:16" ht="18" x14ac:dyDescent="0.35">
      <c r="A19" s="1313"/>
      <c r="B19" s="1269"/>
      <c r="C19" s="1275"/>
      <c r="D19" s="333"/>
      <c r="E19" s="770"/>
      <c r="F19" s="335"/>
      <c r="G19" s="335"/>
      <c r="H19" s="335"/>
      <c r="I19" s="1278"/>
      <c r="J19" s="1278"/>
      <c r="K19" s="1401"/>
      <c r="L19" s="1273"/>
      <c r="M19" s="1270"/>
      <c r="N19" s="1270"/>
      <c r="O19" s="1270"/>
      <c r="P19" s="1312"/>
    </row>
    <row r="20" spans="1:16" ht="18" x14ac:dyDescent="0.35">
      <c r="A20" s="1314"/>
      <c r="B20" s="1398"/>
      <c r="C20" s="1399"/>
      <c r="D20" s="332"/>
      <c r="E20" s="759"/>
      <c r="F20" s="344"/>
      <c r="G20" s="344"/>
      <c r="H20" s="344"/>
      <c r="I20" s="1400"/>
      <c r="J20" s="1400"/>
      <c r="K20" s="1402"/>
      <c r="L20" s="758"/>
      <c r="M20" s="1271"/>
      <c r="N20" s="758"/>
      <c r="O20" s="1271"/>
      <c r="P20" s="1312"/>
    </row>
    <row r="21" spans="1:16" s="336" customFormat="1" ht="42" customHeight="1" x14ac:dyDescent="0.35">
      <c r="A21" s="347">
        <v>1</v>
      </c>
      <c r="B21" s="343" t="s">
        <v>1081</v>
      </c>
      <c r="C21" s="346"/>
      <c r="D21" s="664"/>
      <c r="E21" s="338"/>
      <c r="F21" s="339"/>
      <c r="G21" s="339"/>
      <c r="H21" s="339"/>
      <c r="I21" s="345" t="s">
        <v>1337</v>
      </c>
      <c r="J21" s="498"/>
      <c r="K21" s="782">
        <f>K22+K24+K25+K26+K27+K28+K30+K31+K32+K29+K33+K23</f>
        <v>9463336</v>
      </c>
      <c r="L21" s="783"/>
      <c r="M21" s="784">
        <f>M22+M24+M25+M26+M27+M28+M30+M31+M32+M29+M33+M23</f>
        <v>3591524.87</v>
      </c>
      <c r="N21" s="341"/>
      <c r="O21" s="342" t="s">
        <v>151</v>
      </c>
      <c r="P21" s="663"/>
    </row>
    <row r="22" spans="1:16" s="366" customFormat="1" ht="31.5" customHeight="1" x14ac:dyDescent="0.3">
      <c r="A22" s="774"/>
      <c r="B22" s="1396" t="s">
        <v>627</v>
      </c>
      <c r="C22" s="1397" t="s">
        <v>1086</v>
      </c>
      <c r="D22" s="524"/>
      <c r="E22" s="524"/>
      <c r="F22" s="524"/>
      <c r="G22" s="524"/>
      <c r="H22" s="524"/>
      <c r="I22" s="1374" t="s">
        <v>1239</v>
      </c>
      <c r="J22" s="662" t="s">
        <v>586</v>
      </c>
      <c r="K22" s="525">
        <v>73140</v>
      </c>
      <c r="L22" s="532"/>
      <c r="M22" s="526"/>
      <c r="N22" s="489"/>
      <c r="O22" s="1335" t="s">
        <v>151</v>
      </c>
      <c r="P22" s="662"/>
    </row>
    <row r="23" spans="1:16" s="366" customFormat="1" ht="15.6" hidden="1" x14ac:dyDescent="0.3">
      <c r="A23" s="774"/>
      <c r="B23" s="1294"/>
      <c r="C23" s="1333"/>
      <c r="D23" s="524"/>
      <c r="E23" s="524"/>
      <c r="F23" s="524"/>
      <c r="G23" s="524"/>
      <c r="H23" s="524"/>
      <c r="I23" s="1285"/>
      <c r="J23" s="363" t="s">
        <v>528</v>
      </c>
      <c r="K23" s="525"/>
      <c r="L23" s="532"/>
      <c r="M23" s="526"/>
      <c r="N23" s="489"/>
      <c r="O23" s="1335"/>
      <c r="P23" s="363"/>
    </row>
    <row r="24" spans="1:16" s="366" customFormat="1" ht="36" customHeight="1" x14ac:dyDescent="0.3">
      <c r="A24" s="388"/>
      <c r="B24" s="527" t="s">
        <v>630</v>
      </c>
      <c r="C24" s="451" t="s">
        <v>1086</v>
      </c>
      <c r="I24" s="528" t="s">
        <v>1240</v>
      </c>
      <c r="J24" s="363" t="s">
        <v>586</v>
      </c>
      <c r="K24" s="785">
        <v>106000</v>
      </c>
      <c r="L24" s="532"/>
      <c r="M24" s="361"/>
      <c r="N24" s="365"/>
      <c r="O24" s="1335"/>
      <c r="P24" s="363"/>
    </row>
    <row r="25" spans="1:16" s="366" customFormat="1" ht="46.5" customHeight="1" x14ac:dyDescent="0.3">
      <c r="A25" s="388"/>
      <c r="B25" s="527" t="s">
        <v>633</v>
      </c>
      <c r="C25" s="451" t="s">
        <v>1086</v>
      </c>
      <c r="I25" s="528" t="s">
        <v>1241</v>
      </c>
      <c r="J25" s="363" t="s">
        <v>586</v>
      </c>
      <c r="K25" s="785">
        <v>181000</v>
      </c>
      <c r="L25" s="532"/>
      <c r="M25" s="361"/>
      <c r="N25" s="365"/>
      <c r="O25" s="1335"/>
      <c r="P25" s="363"/>
    </row>
    <row r="26" spans="1:16" s="366" customFormat="1" ht="33.75" customHeight="1" x14ac:dyDescent="0.3">
      <c r="A26" s="388"/>
      <c r="B26" s="527" t="s">
        <v>636</v>
      </c>
      <c r="C26" s="451" t="s">
        <v>1087</v>
      </c>
      <c r="I26" s="528" t="s">
        <v>1242</v>
      </c>
      <c r="J26" s="363" t="s">
        <v>586</v>
      </c>
      <c r="K26" s="785">
        <v>25000</v>
      </c>
      <c r="L26" s="532"/>
      <c r="M26" s="361"/>
      <c r="N26" s="365"/>
      <c r="O26" s="1335"/>
      <c r="P26" s="363"/>
    </row>
    <row r="27" spans="1:16" s="366" customFormat="1" ht="35.25" customHeight="1" x14ac:dyDescent="0.3">
      <c r="A27" s="388"/>
      <c r="B27" s="527" t="s">
        <v>639</v>
      </c>
      <c r="C27" s="451" t="s">
        <v>1086</v>
      </c>
      <c r="I27" s="528" t="s">
        <v>1243</v>
      </c>
      <c r="J27" s="363" t="s">
        <v>586</v>
      </c>
      <c r="K27" s="785">
        <v>30000</v>
      </c>
      <c r="L27" s="532"/>
      <c r="M27" s="361"/>
      <c r="N27" s="365"/>
      <c r="O27" s="1335"/>
      <c r="P27" s="363"/>
    </row>
    <row r="28" spans="1:16" s="366" customFormat="1" ht="30.75" customHeight="1" x14ac:dyDescent="0.3">
      <c r="A28" s="388"/>
      <c r="B28" s="527" t="s">
        <v>642</v>
      </c>
      <c r="C28" s="451" t="s">
        <v>1087</v>
      </c>
      <c r="I28" s="528" t="s">
        <v>1244</v>
      </c>
      <c r="J28" s="363" t="s">
        <v>586</v>
      </c>
      <c r="K28" s="785">
        <v>30000</v>
      </c>
      <c r="L28" s="532"/>
      <c r="M28" s="361"/>
      <c r="N28" s="365"/>
      <c r="O28" s="1335"/>
      <c r="P28" s="363"/>
    </row>
    <row r="29" spans="1:16" s="366" customFormat="1" ht="30.75" customHeight="1" x14ac:dyDescent="0.3">
      <c r="A29" s="1328"/>
      <c r="B29" s="1293" t="s">
        <v>607</v>
      </c>
      <c r="C29" s="451" t="s">
        <v>1088</v>
      </c>
      <c r="I29" s="1284" t="s">
        <v>1232</v>
      </c>
      <c r="J29" s="363" t="s">
        <v>586</v>
      </c>
      <c r="K29" s="577">
        <v>800000</v>
      </c>
      <c r="L29" s="532"/>
      <c r="M29" s="361"/>
      <c r="N29" s="365"/>
      <c r="O29" s="1287"/>
      <c r="P29" s="363"/>
    </row>
    <row r="30" spans="1:16" s="366" customFormat="1" ht="50.25" hidden="1" customHeight="1" x14ac:dyDescent="0.3">
      <c r="A30" s="1329"/>
      <c r="B30" s="1294"/>
      <c r="C30" s="451" t="s">
        <v>1159</v>
      </c>
      <c r="I30" s="1285"/>
      <c r="J30" s="363" t="s">
        <v>813</v>
      </c>
      <c r="K30" s="577"/>
      <c r="L30" s="532"/>
      <c r="M30" s="361"/>
      <c r="N30" s="365"/>
      <c r="O30" s="529" t="s">
        <v>1179</v>
      </c>
      <c r="P30" s="363"/>
    </row>
    <row r="31" spans="1:16" s="366" customFormat="1" ht="50.25" customHeight="1" x14ac:dyDescent="0.3">
      <c r="A31" s="530"/>
      <c r="B31" s="527" t="s">
        <v>1264</v>
      </c>
      <c r="C31" s="451" t="s">
        <v>1103</v>
      </c>
      <c r="I31" s="531" t="s">
        <v>1263</v>
      </c>
      <c r="J31" s="389" t="s">
        <v>586</v>
      </c>
      <c r="K31" s="669">
        <f>500000+3500000+1429771+788425+1000000+1000000</f>
        <v>8218196</v>
      </c>
      <c r="L31" s="532"/>
      <c r="M31" s="533">
        <v>3591524.87</v>
      </c>
      <c r="N31" s="365"/>
      <c r="O31" s="1286" t="s">
        <v>151</v>
      </c>
      <c r="P31" s="389"/>
    </row>
    <row r="32" spans="1:16" s="366" customFormat="1" ht="30.75" hidden="1" customHeight="1" x14ac:dyDescent="0.3">
      <c r="A32" s="530"/>
      <c r="B32" s="534" t="s">
        <v>1168</v>
      </c>
      <c r="C32" s="451" t="s">
        <v>1130</v>
      </c>
      <c r="I32" s="531" t="s">
        <v>1169</v>
      </c>
      <c r="J32" s="389" t="s">
        <v>586</v>
      </c>
      <c r="K32" s="787"/>
      <c r="L32" s="532"/>
      <c r="M32" s="486"/>
      <c r="N32" s="365"/>
      <c r="O32" s="1287"/>
      <c r="P32" s="389"/>
    </row>
    <row r="33" spans="1:16" s="366" customFormat="1" ht="49.5" hidden="1" customHeight="1" x14ac:dyDescent="0.3">
      <c r="A33" s="530"/>
      <c r="B33" s="521" t="s">
        <v>1201</v>
      </c>
      <c r="C33" s="451"/>
      <c r="I33" s="531"/>
      <c r="J33" s="389"/>
      <c r="K33" s="536">
        <v>0</v>
      </c>
      <c r="L33" s="532"/>
      <c r="M33" s="486"/>
      <c r="N33" s="365"/>
      <c r="O33" s="763"/>
      <c r="P33" s="389"/>
    </row>
    <row r="34" spans="1:16" s="366" customFormat="1" ht="44.25" customHeight="1" x14ac:dyDescent="0.35">
      <c r="A34" s="446">
        <v>2</v>
      </c>
      <c r="B34" s="538" t="s">
        <v>1082</v>
      </c>
      <c r="C34" s="539"/>
      <c r="D34" s="540"/>
      <c r="E34" s="540"/>
      <c r="F34" s="540"/>
      <c r="G34" s="540"/>
      <c r="H34" s="540"/>
      <c r="I34" s="541" t="s">
        <v>1336</v>
      </c>
      <c r="J34" s="542"/>
      <c r="K34" s="788">
        <f>K35</f>
        <v>53000</v>
      </c>
      <c r="L34" s="540"/>
      <c r="M34" s="788">
        <f>M35</f>
        <v>6732</v>
      </c>
      <c r="N34" s="448"/>
      <c r="O34" s="432" t="s">
        <v>151</v>
      </c>
      <c r="P34" s="544"/>
    </row>
    <row r="35" spans="1:16" s="366" customFormat="1" ht="42.75" customHeight="1" x14ac:dyDescent="0.3">
      <c r="A35" s="388"/>
      <c r="B35" s="459" t="s">
        <v>765</v>
      </c>
      <c r="C35" s="545" t="s">
        <v>1089</v>
      </c>
      <c r="I35" s="452" t="s">
        <v>1288</v>
      </c>
      <c r="J35" s="363" t="s">
        <v>586</v>
      </c>
      <c r="K35" s="785">
        <v>53000</v>
      </c>
      <c r="L35" s="532"/>
      <c r="M35" s="361">
        <v>6732</v>
      </c>
      <c r="N35" s="365"/>
      <c r="O35" s="450"/>
      <c r="P35" s="546"/>
    </row>
    <row r="36" spans="1:16" s="366" customFormat="1" ht="52.8" x14ac:dyDescent="0.35">
      <c r="A36" s="446">
        <v>3</v>
      </c>
      <c r="B36" s="447" t="s">
        <v>1092</v>
      </c>
      <c r="C36" s="448"/>
      <c r="D36" s="448"/>
      <c r="E36" s="448"/>
      <c r="F36" s="448"/>
      <c r="G36" s="448"/>
      <c r="H36" s="547"/>
      <c r="I36" s="429" t="s">
        <v>1338</v>
      </c>
      <c r="J36" s="430"/>
      <c r="K36" s="548">
        <f>K37+K38+K39+K40+K43+K44+K45+K41+K46+K42</f>
        <v>13438936.620000001</v>
      </c>
      <c r="L36" s="448"/>
      <c r="M36" s="548">
        <f>M37+M38+M39+M40+M43+M44+M45+M41+M46+M42</f>
        <v>4832984.7300000004</v>
      </c>
      <c r="N36" s="448"/>
      <c r="O36" s="432" t="s">
        <v>1096</v>
      </c>
      <c r="P36" s="365"/>
    </row>
    <row r="37" spans="1:16" s="474" customFormat="1" ht="31.2" x14ac:dyDescent="0.35">
      <c r="A37" s="467"/>
      <c r="B37" s="549" t="s">
        <v>1231</v>
      </c>
      <c r="C37" s="550" t="s">
        <v>1093</v>
      </c>
      <c r="D37" s="476"/>
      <c r="E37" s="476"/>
      <c r="F37" s="476"/>
      <c r="G37" s="476"/>
      <c r="H37" s="551"/>
      <c r="I37" s="552" t="s">
        <v>1225</v>
      </c>
      <c r="J37" s="371" t="s">
        <v>586</v>
      </c>
      <c r="K37" s="525">
        <v>106000</v>
      </c>
      <c r="L37" s="448"/>
      <c r="M37" s="533"/>
      <c r="N37" s="470"/>
      <c r="O37" s="1280" t="s">
        <v>151</v>
      </c>
      <c r="P37" s="476"/>
    </row>
    <row r="38" spans="1:16" s="366" customFormat="1" ht="31.2" x14ac:dyDescent="0.35">
      <c r="A38" s="446"/>
      <c r="B38" s="459" t="s">
        <v>1281</v>
      </c>
      <c r="C38" s="451" t="s">
        <v>1094</v>
      </c>
      <c r="D38" s="365"/>
      <c r="E38" s="365"/>
      <c r="F38" s="365"/>
      <c r="G38" s="365"/>
      <c r="H38" s="365"/>
      <c r="I38" s="452" t="s">
        <v>1280</v>
      </c>
      <c r="J38" s="363" t="s">
        <v>586</v>
      </c>
      <c r="K38" s="785">
        <v>53000</v>
      </c>
      <c r="L38" s="448"/>
      <c r="M38" s="533"/>
      <c r="N38" s="448"/>
      <c r="O38" s="1282"/>
      <c r="P38" s="365"/>
    </row>
    <row r="39" spans="1:16" s="366" customFormat="1" ht="31.2" x14ac:dyDescent="0.35">
      <c r="A39" s="446"/>
      <c r="B39" s="459" t="s">
        <v>1283</v>
      </c>
      <c r="C39" s="451" t="s">
        <v>1094</v>
      </c>
      <c r="D39" s="365"/>
      <c r="E39" s="365"/>
      <c r="F39" s="365"/>
      <c r="G39" s="365"/>
      <c r="H39" s="365"/>
      <c r="I39" s="452" t="s">
        <v>1282</v>
      </c>
      <c r="J39" s="363" t="s">
        <v>586</v>
      </c>
      <c r="K39" s="785">
        <v>106000</v>
      </c>
      <c r="L39" s="448"/>
      <c r="M39" s="533"/>
      <c r="N39" s="448"/>
      <c r="O39" s="1282"/>
      <c r="P39" s="365"/>
    </row>
    <row r="40" spans="1:16" s="366" customFormat="1" ht="18" x14ac:dyDescent="0.35">
      <c r="A40" s="446"/>
      <c r="B40" s="459" t="s">
        <v>751</v>
      </c>
      <c r="C40" s="451" t="s">
        <v>1094</v>
      </c>
      <c r="D40" s="365"/>
      <c r="E40" s="365"/>
      <c r="F40" s="365"/>
      <c r="G40" s="365"/>
      <c r="H40" s="365"/>
      <c r="I40" s="452" t="s">
        <v>1286</v>
      </c>
      <c r="J40" s="363" t="s">
        <v>586</v>
      </c>
      <c r="K40" s="785">
        <v>212000</v>
      </c>
      <c r="L40" s="448"/>
      <c r="M40" s="533"/>
      <c r="N40" s="448"/>
      <c r="O40" s="1283"/>
      <c r="P40" s="365"/>
    </row>
    <row r="41" spans="1:16" s="366" customFormat="1" ht="62.4" hidden="1" x14ac:dyDescent="0.35">
      <c r="A41" s="446"/>
      <c r="B41" s="478" t="s">
        <v>1181</v>
      </c>
      <c r="C41" s="451" t="s">
        <v>1180</v>
      </c>
      <c r="D41" s="365"/>
      <c r="E41" s="365"/>
      <c r="F41" s="365"/>
      <c r="G41" s="365"/>
      <c r="H41" s="555"/>
      <c r="I41" s="452" t="s">
        <v>752</v>
      </c>
      <c r="J41" s="363" t="s">
        <v>813</v>
      </c>
      <c r="K41" s="785"/>
      <c r="L41" s="448"/>
      <c r="M41" s="533"/>
      <c r="N41" s="448"/>
      <c r="O41" s="529" t="s">
        <v>1179</v>
      </c>
      <c r="P41" s="365"/>
    </row>
    <row r="42" spans="1:16" s="366" customFormat="1" ht="31.2" x14ac:dyDescent="0.35">
      <c r="A42" s="446"/>
      <c r="B42" s="478" t="s">
        <v>748</v>
      </c>
      <c r="C42" s="451" t="s">
        <v>1284</v>
      </c>
      <c r="D42" s="365"/>
      <c r="E42" s="365"/>
      <c r="F42" s="365"/>
      <c r="G42" s="365"/>
      <c r="H42" s="555"/>
      <c r="I42" s="452" t="s">
        <v>1285</v>
      </c>
      <c r="J42" s="363" t="s">
        <v>586</v>
      </c>
      <c r="K42" s="785">
        <v>100000</v>
      </c>
      <c r="L42" s="448"/>
      <c r="M42" s="533"/>
      <c r="N42" s="448"/>
      <c r="O42" s="556" t="s">
        <v>151</v>
      </c>
      <c r="P42" s="365"/>
    </row>
    <row r="43" spans="1:16" s="366" customFormat="1" ht="31.2" x14ac:dyDescent="0.35">
      <c r="A43" s="446"/>
      <c r="B43" s="459" t="s">
        <v>918</v>
      </c>
      <c r="C43" s="451" t="s">
        <v>1095</v>
      </c>
      <c r="D43" s="448"/>
      <c r="E43" s="448"/>
      <c r="F43" s="448"/>
      <c r="G43" s="448"/>
      <c r="H43" s="547"/>
      <c r="I43" s="452" t="s">
        <v>1332</v>
      </c>
      <c r="J43" s="363" t="s">
        <v>613</v>
      </c>
      <c r="K43" s="785">
        <v>4819591.7</v>
      </c>
      <c r="L43" s="448"/>
      <c r="M43" s="487">
        <f>315426.44+431192.12+330694.17+459187.93+413932.84</f>
        <v>1950433.5</v>
      </c>
      <c r="N43" s="448"/>
      <c r="O43" s="1316" t="s">
        <v>1097</v>
      </c>
      <c r="P43" s="365"/>
    </row>
    <row r="44" spans="1:16" s="366" customFormat="1" ht="18" x14ac:dyDescent="0.35">
      <c r="A44" s="446"/>
      <c r="B44" s="459" t="s">
        <v>921</v>
      </c>
      <c r="C44" s="451" t="s">
        <v>1095</v>
      </c>
      <c r="D44" s="448"/>
      <c r="E44" s="448"/>
      <c r="F44" s="448"/>
      <c r="G44" s="448"/>
      <c r="H44" s="547"/>
      <c r="I44" s="452" t="s">
        <v>1333</v>
      </c>
      <c r="J44" s="363" t="s">
        <v>613</v>
      </c>
      <c r="K44" s="785">
        <f>2775762.7+47577.97</f>
        <v>2823340.6700000004</v>
      </c>
      <c r="L44" s="448"/>
      <c r="M44" s="487">
        <f>141775.76+314481.03+172468.79+169088.79+163666.25</f>
        <v>961480.62000000011</v>
      </c>
      <c r="N44" s="448"/>
      <c r="O44" s="1317"/>
      <c r="P44" s="365"/>
    </row>
    <row r="45" spans="1:16" s="366" customFormat="1" ht="18" x14ac:dyDescent="0.35">
      <c r="A45" s="446"/>
      <c r="B45" s="459" t="s">
        <v>924</v>
      </c>
      <c r="C45" s="451" t="s">
        <v>1095</v>
      </c>
      <c r="D45" s="365"/>
      <c r="E45" s="365"/>
      <c r="F45" s="365"/>
      <c r="G45" s="365"/>
      <c r="H45" s="365"/>
      <c r="I45" s="452" t="s">
        <v>1334</v>
      </c>
      <c r="J45" s="363" t="s">
        <v>613</v>
      </c>
      <c r="K45" s="577">
        <f>4419004.25+800000</f>
        <v>5219004.25</v>
      </c>
      <c r="L45" s="448"/>
      <c r="M45" s="487">
        <f>240001.74+477497.23+367908.22+120949+287606.76+427107.66</f>
        <v>1921070.6099999999</v>
      </c>
      <c r="N45" s="448"/>
      <c r="O45" s="1317"/>
      <c r="P45" s="365"/>
    </row>
    <row r="46" spans="1:16" s="366" customFormat="1" ht="53.25" hidden="1" customHeight="1" x14ac:dyDescent="0.35">
      <c r="A46" s="446"/>
      <c r="B46" s="521" t="s">
        <v>926</v>
      </c>
      <c r="C46" s="451" t="s">
        <v>1095</v>
      </c>
      <c r="D46" s="365"/>
      <c r="E46" s="365"/>
      <c r="F46" s="365"/>
      <c r="G46" s="365"/>
      <c r="H46" s="365"/>
      <c r="I46" s="484" t="s">
        <v>1194</v>
      </c>
      <c r="J46" s="389" t="s">
        <v>613</v>
      </c>
      <c r="K46" s="786"/>
      <c r="L46" s="448"/>
      <c r="M46" s="533"/>
      <c r="N46" s="448"/>
      <c r="O46" s="1290"/>
      <c r="P46" s="365"/>
    </row>
    <row r="47" spans="1:16" s="366" customFormat="1" ht="52.8" x14ac:dyDescent="0.35">
      <c r="A47" s="446">
        <v>4</v>
      </c>
      <c r="B47" s="447" t="s">
        <v>1098</v>
      </c>
      <c r="C47" s="557"/>
      <c r="D47" s="448"/>
      <c r="E47" s="448"/>
      <c r="F47" s="448"/>
      <c r="G47" s="448"/>
      <c r="H47" s="448"/>
      <c r="I47" s="429" t="s">
        <v>1339</v>
      </c>
      <c r="J47" s="430"/>
      <c r="K47" s="548">
        <f>K49+K50+K51+K55+K53+K56+K54+K57+K48+K52</f>
        <v>2059831.3199999998</v>
      </c>
      <c r="L47" s="448"/>
      <c r="M47" s="548">
        <f>M49+M50+M51+M55+M53+M56+M54+M57+M48+M52</f>
        <v>202812</v>
      </c>
      <c r="N47" s="448"/>
      <c r="O47" s="432" t="s">
        <v>1160</v>
      </c>
      <c r="P47" s="365"/>
    </row>
    <row r="48" spans="1:16" s="366" customFormat="1" ht="31.8" x14ac:dyDescent="0.35">
      <c r="A48" s="446"/>
      <c r="B48" s="558" t="s">
        <v>1249</v>
      </c>
      <c r="C48" s="451" t="s">
        <v>1099</v>
      </c>
      <c r="D48" s="365"/>
      <c r="E48" s="365"/>
      <c r="F48" s="365"/>
      <c r="G48" s="365"/>
      <c r="H48" s="365"/>
      <c r="I48" s="452" t="s">
        <v>1250</v>
      </c>
      <c r="J48" s="389" t="s">
        <v>586</v>
      </c>
      <c r="K48" s="486">
        <f>100000-78000</f>
        <v>22000</v>
      </c>
      <c r="L48" s="368"/>
      <c r="M48" s="361"/>
      <c r="N48" s="448"/>
      <c r="O48" s="520"/>
      <c r="P48" s="365"/>
    </row>
    <row r="49" spans="1:16" s="366" customFormat="1" ht="15.6" x14ac:dyDescent="0.3">
      <c r="A49" s="388"/>
      <c r="B49" s="459" t="s">
        <v>651</v>
      </c>
      <c r="C49" s="451" t="s">
        <v>1099</v>
      </c>
      <c r="D49" s="365"/>
      <c r="E49" s="365"/>
      <c r="F49" s="365"/>
      <c r="G49" s="365"/>
      <c r="H49" s="365"/>
      <c r="I49" s="452" t="s">
        <v>1248</v>
      </c>
      <c r="J49" s="389" t="s">
        <v>586</v>
      </c>
      <c r="K49" s="486">
        <v>564980</v>
      </c>
      <c r="L49" s="368"/>
      <c r="M49" s="361"/>
      <c r="N49" s="365"/>
      <c r="O49" s="1318"/>
      <c r="P49" s="365"/>
    </row>
    <row r="50" spans="1:16" s="366" customFormat="1" ht="31.2" hidden="1" x14ac:dyDescent="0.3">
      <c r="A50" s="388"/>
      <c r="B50" s="423" t="s">
        <v>1027</v>
      </c>
      <c r="C50" s="451" t="s">
        <v>1101</v>
      </c>
      <c r="D50" s="365"/>
      <c r="E50" s="365"/>
      <c r="F50" s="365"/>
      <c r="G50" s="365"/>
      <c r="H50" s="365"/>
      <c r="I50" s="452" t="s">
        <v>1100</v>
      </c>
      <c r="J50" s="363" t="s">
        <v>586</v>
      </c>
      <c r="K50" s="785">
        <f>100000-50000-50000</f>
        <v>0</v>
      </c>
      <c r="L50" s="368"/>
      <c r="M50" s="361"/>
      <c r="N50" s="365"/>
      <c r="O50" s="1319"/>
      <c r="P50" s="365"/>
    </row>
    <row r="51" spans="1:16" s="366" customFormat="1" ht="42.75" customHeight="1" x14ac:dyDescent="0.3">
      <c r="A51" s="388"/>
      <c r="B51" s="1293" t="s">
        <v>1376</v>
      </c>
      <c r="C51" s="451" t="s">
        <v>1101</v>
      </c>
      <c r="D51" s="365"/>
      <c r="E51" s="365"/>
      <c r="F51" s="365"/>
      <c r="G51" s="365"/>
      <c r="H51" s="365"/>
      <c r="I51" s="1295" t="s">
        <v>1266</v>
      </c>
      <c r="J51" s="363" t="s">
        <v>586</v>
      </c>
      <c r="K51" s="785">
        <f>800000-800000+279990</f>
        <v>279990</v>
      </c>
      <c r="L51" s="368"/>
      <c r="M51" s="361"/>
      <c r="N51" s="365"/>
      <c r="O51" s="1319"/>
      <c r="P51" s="365"/>
    </row>
    <row r="52" spans="1:16" s="366" customFormat="1" ht="42.75" customHeight="1" x14ac:dyDescent="0.3">
      <c r="A52" s="388"/>
      <c r="B52" s="1294"/>
      <c r="C52" s="451" t="s">
        <v>1377</v>
      </c>
      <c r="D52" s="365"/>
      <c r="E52" s="365"/>
      <c r="F52" s="365"/>
      <c r="G52" s="365"/>
      <c r="H52" s="365"/>
      <c r="I52" s="1296"/>
      <c r="J52" s="363" t="s">
        <v>813</v>
      </c>
      <c r="K52" s="785">
        <f>800000-279990</f>
        <v>520010</v>
      </c>
      <c r="L52" s="368"/>
      <c r="M52" s="361">
        <f>32500+90312</f>
        <v>122812</v>
      </c>
      <c r="N52" s="365"/>
      <c r="O52" s="1320"/>
      <c r="P52" s="367"/>
    </row>
    <row r="53" spans="1:16" s="366" customFormat="1" ht="15.6" x14ac:dyDescent="0.3">
      <c r="A53" s="388"/>
      <c r="B53" s="459" t="s">
        <v>706</v>
      </c>
      <c r="C53" s="451" t="s">
        <v>1101</v>
      </c>
      <c r="D53" s="365"/>
      <c r="E53" s="365"/>
      <c r="F53" s="365"/>
      <c r="G53" s="365"/>
      <c r="H53" s="365"/>
      <c r="I53" s="452" t="s">
        <v>1267</v>
      </c>
      <c r="J53" s="363" t="s">
        <v>586</v>
      </c>
      <c r="K53" s="785">
        <v>380449.21</v>
      </c>
      <c r="L53" s="368"/>
      <c r="M53" s="361"/>
      <c r="N53" s="365"/>
      <c r="O53" s="1319"/>
      <c r="P53" s="367"/>
    </row>
    <row r="54" spans="1:16" s="366" customFormat="1" ht="15.6" x14ac:dyDescent="0.3">
      <c r="A54" s="388"/>
      <c r="B54" s="423" t="s">
        <v>1362</v>
      </c>
      <c r="C54" s="451" t="s">
        <v>1101</v>
      </c>
      <c r="D54" s="365"/>
      <c r="E54" s="365"/>
      <c r="F54" s="365"/>
      <c r="G54" s="365"/>
      <c r="H54" s="365"/>
      <c r="I54" s="452" t="s">
        <v>1363</v>
      </c>
      <c r="J54" s="363" t="s">
        <v>586</v>
      </c>
      <c r="K54" s="785">
        <v>78000</v>
      </c>
      <c r="L54" s="368"/>
      <c r="M54" s="361">
        <v>78000</v>
      </c>
      <c r="N54" s="365"/>
      <c r="O54" s="1320"/>
      <c r="P54" s="367"/>
    </row>
    <row r="55" spans="1:16" s="366" customFormat="1" ht="31.2" hidden="1" x14ac:dyDescent="0.3">
      <c r="A55" s="388"/>
      <c r="B55" s="459" t="s">
        <v>1158</v>
      </c>
      <c r="C55" s="451" t="s">
        <v>1159</v>
      </c>
      <c r="D55" s="365"/>
      <c r="E55" s="365"/>
      <c r="F55" s="365"/>
      <c r="G55" s="365"/>
      <c r="H55" s="365"/>
      <c r="I55" s="480" t="s">
        <v>707</v>
      </c>
      <c r="J55" s="363" t="s">
        <v>813</v>
      </c>
      <c r="K55" s="577"/>
      <c r="L55" s="368"/>
      <c r="M55" s="361"/>
      <c r="N55" s="365"/>
      <c r="O55" s="1321"/>
    </row>
    <row r="56" spans="1:16" s="366" customFormat="1" ht="31.2" x14ac:dyDescent="0.3">
      <c r="A56" s="388"/>
      <c r="B56" s="459" t="s">
        <v>1237</v>
      </c>
      <c r="C56" s="451" t="s">
        <v>1170</v>
      </c>
      <c r="D56" s="365"/>
      <c r="E56" s="365"/>
      <c r="F56" s="365"/>
      <c r="G56" s="365"/>
      <c r="H56" s="365"/>
      <c r="I56" s="389" t="s">
        <v>1238</v>
      </c>
      <c r="J56" s="389" t="s">
        <v>586</v>
      </c>
      <c r="K56" s="786">
        <v>214402.11</v>
      </c>
      <c r="L56" s="368"/>
      <c r="M56" s="361">
        <v>2000</v>
      </c>
      <c r="N56" s="365"/>
      <c r="O56" s="772"/>
    </row>
    <row r="57" spans="1:16" s="366" customFormat="1" ht="46.8" hidden="1" x14ac:dyDescent="0.3">
      <c r="A57" s="388"/>
      <c r="B57" s="521" t="s">
        <v>1195</v>
      </c>
      <c r="C57" s="451" t="s">
        <v>1101</v>
      </c>
      <c r="D57" s="365"/>
      <c r="E57" s="365"/>
      <c r="F57" s="365"/>
      <c r="G57" s="365"/>
      <c r="H57" s="365"/>
      <c r="I57" s="484" t="s">
        <v>1196</v>
      </c>
      <c r="J57" s="389" t="s">
        <v>586</v>
      </c>
      <c r="K57" s="786"/>
      <c r="L57" s="368"/>
      <c r="M57" s="486"/>
      <c r="N57" s="365"/>
      <c r="O57" s="772"/>
    </row>
    <row r="58" spans="1:16" s="366" customFormat="1" ht="54" x14ac:dyDescent="0.35">
      <c r="A58" s="446">
        <v>5</v>
      </c>
      <c r="B58" s="447" t="s">
        <v>1102</v>
      </c>
      <c r="C58" s="448"/>
      <c r="D58" s="448"/>
      <c r="E58" s="448"/>
      <c r="F58" s="448"/>
      <c r="G58" s="448"/>
      <c r="H58" s="448"/>
      <c r="I58" s="429" t="s">
        <v>1340</v>
      </c>
      <c r="J58" s="430"/>
      <c r="K58" s="548">
        <f>K62+K63+K64+K60+K59+K61</f>
        <v>9389587.3300000001</v>
      </c>
      <c r="L58" s="448"/>
      <c r="M58" s="548">
        <f>M62+M63+M64+M60+M59+M61</f>
        <v>1009000</v>
      </c>
      <c r="N58" s="448"/>
      <c r="O58" s="432" t="s">
        <v>1183</v>
      </c>
    </row>
    <row r="59" spans="1:16" s="366" customFormat="1" ht="26.25" customHeight="1" x14ac:dyDescent="0.35">
      <c r="A59" s="446"/>
      <c r="B59" s="660" t="s">
        <v>1197</v>
      </c>
      <c r="C59" s="1403" t="s">
        <v>1103</v>
      </c>
      <c r="D59" s="448"/>
      <c r="E59" s="448"/>
      <c r="F59" s="448"/>
      <c r="G59" s="448"/>
      <c r="H59" s="448"/>
      <c r="I59" s="1305" t="s">
        <v>1364</v>
      </c>
      <c r="J59" s="389" t="s">
        <v>586</v>
      </c>
      <c r="K59" s="464">
        <f>5385000-924000+1504587.33-1780000</f>
        <v>4185587.33</v>
      </c>
      <c r="L59" s="495"/>
      <c r="M59" s="789">
        <v>85000</v>
      </c>
      <c r="N59" s="448"/>
      <c r="O59" s="454" t="s">
        <v>151</v>
      </c>
    </row>
    <row r="60" spans="1:16" s="366" customFormat="1" ht="62.4" x14ac:dyDescent="0.35">
      <c r="A60" s="446"/>
      <c r="B60" s="455" t="s">
        <v>1184</v>
      </c>
      <c r="C60" s="1404"/>
      <c r="D60" s="448"/>
      <c r="E60" s="448"/>
      <c r="F60" s="448"/>
      <c r="G60" s="448"/>
      <c r="H60" s="448"/>
      <c r="I60" s="1356"/>
      <c r="J60" s="430">
        <v>500</v>
      </c>
      <c r="K60" s="464">
        <f>924000+780000</f>
        <v>1704000</v>
      </c>
      <c r="L60" s="448"/>
      <c r="M60" s="785">
        <v>924000</v>
      </c>
      <c r="N60" s="448"/>
      <c r="O60" s="456" t="s">
        <v>1179</v>
      </c>
    </row>
    <row r="61" spans="1:16" s="366" customFormat="1" ht="46.8" hidden="1" x14ac:dyDescent="0.35">
      <c r="A61" s="446"/>
      <c r="B61" s="455" t="s">
        <v>1203</v>
      </c>
      <c r="C61" s="451" t="s">
        <v>1159</v>
      </c>
      <c r="D61" s="448"/>
      <c r="E61" s="448"/>
      <c r="F61" s="448"/>
      <c r="G61" s="448"/>
      <c r="H61" s="448"/>
      <c r="I61" s="452" t="s">
        <v>1204</v>
      </c>
      <c r="J61" s="430">
        <v>500</v>
      </c>
      <c r="K61" s="785"/>
      <c r="L61" s="448"/>
      <c r="M61" s="790"/>
      <c r="N61" s="448"/>
      <c r="O61" s="760"/>
    </row>
    <row r="62" spans="1:16" s="366" customFormat="1" ht="31.2" hidden="1" x14ac:dyDescent="0.3">
      <c r="A62" s="388"/>
      <c r="B62" s="459" t="s">
        <v>822</v>
      </c>
      <c r="C62" s="451" t="s">
        <v>1105</v>
      </c>
      <c r="D62" s="365"/>
      <c r="E62" s="365"/>
      <c r="F62" s="365"/>
      <c r="G62" s="365"/>
      <c r="H62" s="365"/>
      <c r="I62" s="452" t="s">
        <v>823</v>
      </c>
      <c r="J62" s="363" t="s">
        <v>613</v>
      </c>
      <c r="K62" s="785"/>
      <c r="L62" s="368"/>
      <c r="M62" s="361"/>
      <c r="N62" s="365"/>
      <c r="O62" s="1322" t="s">
        <v>968</v>
      </c>
    </row>
    <row r="63" spans="1:16" s="366" customFormat="1" ht="15.6" hidden="1" x14ac:dyDescent="0.3">
      <c r="A63" s="460"/>
      <c r="B63" s="459" t="s">
        <v>825</v>
      </c>
      <c r="C63" s="451" t="s">
        <v>1105</v>
      </c>
      <c r="D63" s="461"/>
      <c r="E63" s="461"/>
      <c r="F63" s="461"/>
      <c r="G63" s="461"/>
      <c r="H63" s="461"/>
      <c r="I63" s="452" t="s">
        <v>826</v>
      </c>
      <c r="J63" s="363" t="s">
        <v>613</v>
      </c>
      <c r="K63" s="785"/>
      <c r="L63" s="368"/>
      <c r="M63" s="361"/>
      <c r="N63" s="461"/>
      <c r="O63" s="1323"/>
      <c r="P63" s="462"/>
    </row>
    <row r="64" spans="1:16" s="366" customFormat="1" ht="15.6" x14ac:dyDescent="0.3">
      <c r="A64" s="388"/>
      <c r="B64" s="459" t="s">
        <v>828</v>
      </c>
      <c r="C64" s="451" t="s">
        <v>1105</v>
      </c>
      <c r="D64" s="365"/>
      <c r="E64" s="365"/>
      <c r="F64" s="365"/>
      <c r="G64" s="365"/>
      <c r="H64" s="365"/>
      <c r="I64" s="452" t="s">
        <v>1306</v>
      </c>
      <c r="J64" s="363" t="s">
        <v>613</v>
      </c>
      <c r="K64" s="785">
        <v>3500000</v>
      </c>
      <c r="L64" s="368"/>
      <c r="M64" s="361"/>
      <c r="N64" s="365"/>
      <c r="O64" s="1324"/>
    </row>
    <row r="65" spans="1:15" s="366" customFormat="1" ht="54" x14ac:dyDescent="0.35">
      <c r="A65" s="446">
        <v>6</v>
      </c>
      <c r="B65" s="447" t="s">
        <v>1106</v>
      </c>
      <c r="C65" s="557"/>
      <c r="D65" s="448"/>
      <c r="E65" s="448"/>
      <c r="F65" s="448"/>
      <c r="G65" s="448"/>
      <c r="H65" s="448"/>
      <c r="I65" s="429" t="s">
        <v>1341</v>
      </c>
      <c r="J65" s="430"/>
      <c r="K65" s="548">
        <f>K66</f>
        <v>50000</v>
      </c>
      <c r="L65" s="448"/>
      <c r="M65" s="548">
        <f>M66</f>
        <v>0</v>
      </c>
      <c r="N65" s="448"/>
      <c r="O65" s="432" t="s">
        <v>151</v>
      </c>
    </row>
    <row r="66" spans="1:15" s="366" customFormat="1" ht="31.2" x14ac:dyDescent="0.3">
      <c r="A66" s="561"/>
      <c r="B66" s="459" t="s">
        <v>728</v>
      </c>
      <c r="C66" s="387" t="s">
        <v>1107</v>
      </c>
      <c r="D66" s="562"/>
      <c r="E66" s="562"/>
      <c r="F66" s="562"/>
      <c r="G66" s="562"/>
      <c r="H66" s="562"/>
      <c r="I66" s="452" t="s">
        <v>1273</v>
      </c>
      <c r="J66" s="363" t="s">
        <v>586</v>
      </c>
      <c r="K66" s="785">
        <v>50000</v>
      </c>
      <c r="L66" s="368"/>
      <c r="M66" s="361"/>
      <c r="N66" s="365"/>
      <c r="O66" s="563"/>
    </row>
    <row r="67" spans="1:15" s="474" customFormat="1" ht="36" x14ac:dyDescent="0.35">
      <c r="A67" s="467">
        <v>7</v>
      </c>
      <c r="B67" s="468" t="s">
        <v>1108</v>
      </c>
      <c r="C67" s="469"/>
      <c r="D67" s="470"/>
      <c r="E67" s="470"/>
      <c r="F67" s="470"/>
      <c r="G67" s="470"/>
      <c r="H67" s="470"/>
      <c r="I67" s="471" t="s">
        <v>1342</v>
      </c>
      <c r="J67" s="472"/>
      <c r="K67" s="436">
        <f>K68+K69+K70</f>
        <v>26551599.059999999</v>
      </c>
      <c r="L67" s="448"/>
      <c r="M67" s="436">
        <f>M68+M69+M70</f>
        <v>1065343.3</v>
      </c>
      <c r="N67" s="470"/>
      <c r="O67" s="432" t="s">
        <v>151</v>
      </c>
    </row>
    <row r="68" spans="1:15" s="474" customFormat="1" ht="46.8" x14ac:dyDescent="0.3">
      <c r="A68" s="475"/>
      <c r="B68" s="423" t="s">
        <v>697</v>
      </c>
      <c r="C68" s="395" t="s">
        <v>1109</v>
      </c>
      <c r="D68" s="476"/>
      <c r="E68" s="476"/>
      <c r="F68" s="476"/>
      <c r="G68" s="476"/>
      <c r="H68" s="476"/>
      <c r="I68" s="477" t="s">
        <v>1262</v>
      </c>
      <c r="J68" s="371" t="s">
        <v>700</v>
      </c>
      <c r="K68" s="785">
        <v>2500000</v>
      </c>
      <c r="L68" s="368"/>
      <c r="M68" s="361">
        <f>1065343.3-1065343.3</f>
        <v>0</v>
      </c>
      <c r="N68" s="476"/>
      <c r="O68" s="1325"/>
    </row>
    <row r="69" spans="1:15" s="366" customFormat="1" ht="31.2" x14ac:dyDescent="0.3">
      <c r="A69" s="388"/>
      <c r="B69" s="459" t="s">
        <v>768</v>
      </c>
      <c r="C69" s="387" t="s">
        <v>1111</v>
      </c>
      <c r="D69" s="365"/>
      <c r="E69" s="365"/>
      <c r="F69" s="365"/>
      <c r="G69" s="365"/>
      <c r="H69" s="365"/>
      <c r="I69" s="452" t="s">
        <v>1289</v>
      </c>
      <c r="J69" s="363" t="s">
        <v>764</v>
      </c>
      <c r="K69" s="785">
        <v>1000000</v>
      </c>
      <c r="L69" s="368"/>
      <c r="M69" s="361"/>
      <c r="N69" s="365"/>
      <c r="O69" s="1326"/>
    </row>
    <row r="70" spans="1:15" s="366" customFormat="1" ht="46.8" x14ac:dyDescent="0.3">
      <c r="A70" s="388"/>
      <c r="B70" s="423" t="s">
        <v>1360</v>
      </c>
      <c r="C70" s="387" t="s">
        <v>1109</v>
      </c>
      <c r="D70" s="365"/>
      <c r="E70" s="365"/>
      <c r="F70" s="365"/>
      <c r="G70" s="365"/>
      <c r="H70" s="365"/>
      <c r="I70" s="452" t="s">
        <v>1359</v>
      </c>
      <c r="J70" s="363" t="s">
        <v>700</v>
      </c>
      <c r="K70" s="785">
        <f>18304436.83+5535587.23-788425</f>
        <v>23051599.059999999</v>
      </c>
      <c r="L70" s="368"/>
      <c r="M70" s="791">
        <v>1065343.3</v>
      </c>
      <c r="N70" s="365"/>
      <c r="O70" s="773"/>
    </row>
    <row r="71" spans="1:15" s="366" customFormat="1" ht="35.4" x14ac:dyDescent="0.35">
      <c r="A71" s="425">
        <v>8</v>
      </c>
      <c r="B71" s="437" t="s">
        <v>561</v>
      </c>
      <c r="C71" s="427"/>
      <c r="D71" s="428"/>
      <c r="E71" s="428"/>
      <c r="F71" s="428"/>
      <c r="G71" s="428"/>
      <c r="H71" s="428"/>
      <c r="I71" s="429" t="s">
        <v>1343</v>
      </c>
      <c r="J71" s="430"/>
      <c r="K71" s="438">
        <f>K72+K73+K74+K75+K76</f>
        <v>233880</v>
      </c>
      <c r="L71" s="428"/>
      <c r="M71" s="438">
        <f>M72+M73+M74+M75+M76</f>
        <v>0</v>
      </c>
      <c r="N71" s="428"/>
      <c r="O71" s="432" t="s">
        <v>151</v>
      </c>
    </row>
    <row r="72" spans="1:15" s="366" customFormat="1" ht="31.2" x14ac:dyDescent="0.3">
      <c r="A72" s="388"/>
      <c r="B72" s="459" t="s">
        <v>684</v>
      </c>
      <c r="C72" s="387" t="s">
        <v>1114</v>
      </c>
      <c r="D72" s="365"/>
      <c r="E72" s="365"/>
      <c r="F72" s="365"/>
      <c r="G72" s="365"/>
      <c r="H72" s="365"/>
      <c r="I72" s="452" t="s">
        <v>1259</v>
      </c>
      <c r="J72" s="363" t="s">
        <v>528</v>
      </c>
      <c r="K72" s="785">
        <v>106000</v>
      </c>
      <c r="L72" s="368"/>
      <c r="M72" s="361"/>
      <c r="N72" s="365"/>
      <c r="O72" s="1325"/>
    </row>
    <row r="73" spans="1:15" s="366" customFormat="1" ht="62.4" x14ac:dyDescent="0.3">
      <c r="A73" s="388"/>
      <c r="B73" s="459" t="s">
        <v>687</v>
      </c>
      <c r="C73" s="387" t="s">
        <v>1114</v>
      </c>
      <c r="D73" s="365"/>
      <c r="E73" s="365"/>
      <c r="F73" s="365"/>
      <c r="G73" s="365"/>
      <c r="H73" s="365"/>
      <c r="I73" s="452" t="s">
        <v>1260</v>
      </c>
      <c r="J73" s="363" t="s">
        <v>528</v>
      </c>
      <c r="K73" s="785">
        <v>53000</v>
      </c>
      <c r="L73" s="368"/>
      <c r="M73" s="361"/>
      <c r="N73" s="365"/>
      <c r="O73" s="1327"/>
    </row>
    <row r="74" spans="1:15" s="366" customFormat="1" ht="31.2" x14ac:dyDescent="0.3">
      <c r="A74" s="388"/>
      <c r="B74" s="459" t="s">
        <v>690</v>
      </c>
      <c r="C74" s="767" t="s">
        <v>1114</v>
      </c>
      <c r="D74" s="482"/>
      <c r="E74" s="482"/>
      <c r="F74" s="482"/>
      <c r="G74" s="482"/>
      <c r="H74" s="482"/>
      <c r="I74" s="480" t="s">
        <v>1261</v>
      </c>
      <c r="J74" s="564" t="s">
        <v>586</v>
      </c>
      <c r="K74" s="577">
        <v>24000</v>
      </c>
      <c r="L74" s="368"/>
      <c r="M74" s="361"/>
      <c r="N74" s="365"/>
      <c r="O74" s="1326"/>
    </row>
    <row r="75" spans="1:15" s="366" customFormat="1" ht="31.2" x14ac:dyDescent="0.3">
      <c r="A75" s="388"/>
      <c r="B75" s="565" t="s">
        <v>1171</v>
      </c>
      <c r="C75" s="387" t="s">
        <v>1172</v>
      </c>
      <c r="D75" s="365"/>
      <c r="E75" s="365"/>
      <c r="F75" s="365"/>
      <c r="G75" s="365"/>
      <c r="H75" s="365"/>
      <c r="I75" s="389" t="s">
        <v>1246</v>
      </c>
      <c r="J75" s="389" t="s">
        <v>528</v>
      </c>
      <c r="K75" s="786">
        <v>31800</v>
      </c>
      <c r="L75" s="368"/>
      <c r="M75" s="361"/>
      <c r="N75" s="365"/>
      <c r="O75" s="773"/>
    </row>
    <row r="76" spans="1:15" s="366" customFormat="1" ht="62.4" x14ac:dyDescent="0.3">
      <c r="A76" s="388"/>
      <c r="B76" s="565" t="s">
        <v>1173</v>
      </c>
      <c r="C76" s="387" t="s">
        <v>1172</v>
      </c>
      <c r="D76" s="365"/>
      <c r="E76" s="365"/>
      <c r="F76" s="365"/>
      <c r="G76" s="365"/>
      <c r="H76" s="365"/>
      <c r="I76" s="389" t="s">
        <v>1247</v>
      </c>
      <c r="J76" s="389" t="s">
        <v>528</v>
      </c>
      <c r="K76" s="786">
        <v>19080</v>
      </c>
      <c r="L76" s="368"/>
      <c r="M76" s="361"/>
      <c r="N76" s="365"/>
      <c r="O76" s="773"/>
    </row>
    <row r="77" spans="1:15" s="366" customFormat="1" ht="36" x14ac:dyDescent="0.35">
      <c r="A77" s="446">
        <v>9</v>
      </c>
      <c r="B77" s="566" t="s">
        <v>560</v>
      </c>
      <c r="C77" s="365"/>
      <c r="D77" s="365"/>
      <c r="E77" s="365"/>
      <c r="F77" s="365"/>
      <c r="G77" s="365"/>
      <c r="H77" s="365"/>
      <c r="I77" s="429" t="s">
        <v>1344</v>
      </c>
      <c r="J77" s="430"/>
      <c r="K77" s="436">
        <f>K78+K79+K80+K81+K82</f>
        <v>7073076</v>
      </c>
      <c r="L77" s="368"/>
      <c r="M77" s="436">
        <f>M78+M79+M80+M81+M82</f>
        <v>200555.59999999998</v>
      </c>
      <c r="N77" s="365"/>
      <c r="O77" s="432" t="s">
        <v>151</v>
      </c>
    </row>
    <row r="78" spans="1:15" s="366" customFormat="1" ht="18" x14ac:dyDescent="0.35">
      <c r="A78" s="446"/>
      <c r="B78" s="459" t="s">
        <v>787</v>
      </c>
      <c r="C78" s="387" t="s">
        <v>1116</v>
      </c>
      <c r="D78" s="365"/>
      <c r="E78" s="365"/>
      <c r="F78" s="365"/>
      <c r="G78" s="365"/>
      <c r="H78" s="365"/>
      <c r="I78" s="452" t="s">
        <v>1295</v>
      </c>
      <c r="J78" s="363" t="s">
        <v>586</v>
      </c>
      <c r="K78" s="785">
        <v>476999</v>
      </c>
      <c r="L78" s="368"/>
      <c r="M78" s="361">
        <f>10146.64+26907+37893.28+15554.98</f>
        <v>90501.9</v>
      </c>
      <c r="N78" s="365"/>
      <c r="O78" s="1325"/>
    </row>
    <row r="79" spans="1:15" s="366" customFormat="1" ht="15.6" x14ac:dyDescent="0.3">
      <c r="A79" s="388"/>
      <c r="B79" s="534" t="s">
        <v>781</v>
      </c>
      <c r="C79" s="387" t="s">
        <v>1115</v>
      </c>
      <c r="D79" s="365"/>
      <c r="E79" s="365"/>
      <c r="F79" s="365"/>
      <c r="G79" s="365"/>
      <c r="H79" s="365"/>
      <c r="I79" s="452" t="s">
        <v>1293</v>
      </c>
      <c r="J79" s="363" t="s">
        <v>586</v>
      </c>
      <c r="K79" s="785">
        <f>450000+928700</f>
        <v>1378700</v>
      </c>
      <c r="L79" s="368"/>
      <c r="M79" s="361"/>
      <c r="N79" s="365"/>
      <c r="O79" s="1327"/>
    </row>
    <row r="80" spans="1:15" s="366" customFormat="1" ht="15.6" x14ac:dyDescent="0.3">
      <c r="A80" s="388"/>
      <c r="B80" s="459" t="s">
        <v>790</v>
      </c>
      <c r="C80" s="387" t="s">
        <v>1116</v>
      </c>
      <c r="D80" s="365"/>
      <c r="E80" s="365"/>
      <c r="F80" s="365"/>
      <c r="G80" s="365"/>
      <c r="H80" s="365"/>
      <c r="I80" s="452" t="s">
        <v>1296</v>
      </c>
      <c r="J80" s="363" t="s">
        <v>586</v>
      </c>
      <c r="K80" s="785">
        <v>529999</v>
      </c>
      <c r="L80" s="368"/>
      <c r="M80" s="361">
        <f>189150-107882+28785.7</f>
        <v>110053.7</v>
      </c>
      <c r="N80" s="365"/>
      <c r="O80" s="1327"/>
    </row>
    <row r="81" spans="1:15" s="366" customFormat="1" ht="31.2" x14ac:dyDescent="0.3">
      <c r="A81" s="388"/>
      <c r="B81" s="459" t="s">
        <v>784</v>
      </c>
      <c r="C81" s="387" t="s">
        <v>1115</v>
      </c>
      <c r="D81" s="365"/>
      <c r="E81" s="365"/>
      <c r="F81" s="365"/>
      <c r="G81" s="365"/>
      <c r="H81" s="365"/>
      <c r="I81" s="452" t="s">
        <v>1294</v>
      </c>
      <c r="J81" s="363" t="s">
        <v>586</v>
      </c>
      <c r="K81" s="785">
        <f>100000-50000</f>
        <v>50000</v>
      </c>
      <c r="L81" s="368"/>
      <c r="M81" s="361"/>
      <c r="N81" s="365"/>
      <c r="O81" s="1326"/>
    </row>
    <row r="82" spans="1:15" s="366" customFormat="1" ht="31.2" x14ac:dyDescent="0.3">
      <c r="A82" s="388"/>
      <c r="B82" s="521" t="s">
        <v>1297</v>
      </c>
      <c r="C82" s="387" t="s">
        <v>1116</v>
      </c>
      <c r="D82" s="365"/>
      <c r="E82" s="365"/>
      <c r="F82" s="365"/>
      <c r="G82" s="365"/>
      <c r="H82" s="365"/>
      <c r="I82" s="452" t="s">
        <v>1298</v>
      </c>
      <c r="J82" s="363" t="s">
        <v>700</v>
      </c>
      <c r="K82" s="785">
        <f>6000000-152000-1210622</f>
        <v>4637378</v>
      </c>
      <c r="L82" s="368"/>
      <c r="M82" s="361"/>
      <c r="N82" s="365"/>
      <c r="O82" s="773"/>
    </row>
    <row r="83" spans="1:15" s="366" customFormat="1" ht="70.2" x14ac:dyDescent="0.35">
      <c r="A83" s="446">
        <v>10</v>
      </c>
      <c r="B83" s="447" t="s">
        <v>562</v>
      </c>
      <c r="C83" s="365"/>
      <c r="D83" s="365"/>
      <c r="E83" s="365"/>
      <c r="F83" s="365"/>
      <c r="G83" s="365"/>
      <c r="H83" s="365"/>
      <c r="I83" s="429" t="s">
        <v>1345</v>
      </c>
      <c r="J83" s="430"/>
      <c r="K83" s="436">
        <f>K84+K88+K89+K90+K92+K96+K99+K105+K107+K109+K108+K106+K110+K91+K104+K103</f>
        <v>79385067.74000001</v>
      </c>
      <c r="L83" s="368"/>
      <c r="M83" s="436">
        <f>M84+M88+M89+M90+M92+M96+M99+M105+M107+M109+M108+M106+M110+M91+M104+M103</f>
        <v>31598877.600000001</v>
      </c>
      <c r="N83" s="365"/>
      <c r="O83" s="432" t="s">
        <v>1135</v>
      </c>
    </row>
    <row r="84" spans="1:15" s="366" customFormat="1" ht="15.6" x14ac:dyDescent="0.3">
      <c r="A84" s="1343"/>
      <c r="B84" s="1346" t="s">
        <v>796</v>
      </c>
      <c r="C84" s="387" t="s">
        <v>1131</v>
      </c>
      <c r="D84" s="388"/>
      <c r="E84" s="388"/>
      <c r="F84" s="388"/>
      <c r="G84" s="388"/>
      <c r="H84" s="388"/>
      <c r="I84" s="389" t="s">
        <v>1299</v>
      </c>
      <c r="J84" s="363"/>
      <c r="K84" s="785">
        <f>K85+K86+K87</f>
        <v>10546860.609999999</v>
      </c>
      <c r="L84" s="368"/>
      <c r="M84" s="785">
        <f>M85+M86+M87</f>
        <v>3828321.5200000005</v>
      </c>
      <c r="N84" s="365"/>
      <c r="O84" s="1350" t="s">
        <v>1136</v>
      </c>
    </row>
    <row r="85" spans="1:15" s="366" customFormat="1" ht="15.6" x14ac:dyDescent="0.3">
      <c r="A85" s="1344"/>
      <c r="B85" s="1298"/>
      <c r="C85" s="382"/>
      <c r="D85" s="386"/>
      <c r="E85" s="386"/>
      <c r="F85" s="386"/>
      <c r="G85" s="386"/>
      <c r="H85" s="386"/>
      <c r="I85" s="383"/>
      <c r="J85" s="363" t="s">
        <v>162</v>
      </c>
      <c r="K85" s="785">
        <v>9687260.6099999994</v>
      </c>
      <c r="L85" s="368"/>
      <c r="M85" s="361">
        <f>524429.57+75+158298.21+536955.67+75+192902.57+568054.78+75+162342.28+648114.12+75+198805.22+573128.6+2476.7+169380.03</f>
        <v>3735187.7500000005</v>
      </c>
      <c r="N85" s="365"/>
      <c r="O85" s="1351"/>
    </row>
    <row r="86" spans="1:15" s="366" customFormat="1" ht="15.6" x14ac:dyDescent="0.3">
      <c r="A86" s="1344"/>
      <c r="B86" s="1298"/>
      <c r="C86" s="382"/>
      <c r="D86" s="362"/>
      <c r="E86" s="362"/>
      <c r="F86" s="362"/>
      <c r="G86" s="362"/>
      <c r="H86" s="362"/>
      <c r="I86" s="383"/>
      <c r="J86" s="363" t="s">
        <v>586</v>
      </c>
      <c r="K86" s="785">
        <v>847600</v>
      </c>
      <c r="L86" s="368"/>
      <c r="M86" s="361">
        <f>815.14+20591.29+30465.97+12189.2+28272.17</f>
        <v>92333.77</v>
      </c>
      <c r="N86" s="365"/>
      <c r="O86" s="1351"/>
    </row>
    <row r="87" spans="1:15" s="366" customFormat="1" ht="15.6" x14ac:dyDescent="0.3">
      <c r="A87" s="1345"/>
      <c r="B87" s="1299"/>
      <c r="C87" s="384"/>
      <c r="D87" s="362"/>
      <c r="E87" s="362"/>
      <c r="F87" s="362"/>
      <c r="G87" s="362"/>
      <c r="H87" s="362"/>
      <c r="I87" s="385"/>
      <c r="J87" s="363" t="s">
        <v>528</v>
      </c>
      <c r="K87" s="785">
        <v>12000</v>
      </c>
      <c r="L87" s="368"/>
      <c r="M87" s="361">
        <f>800</f>
        <v>800</v>
      </c>
      <c r="N87" s="365"/>
      <c r="O87" s="1351"/>
    </row>
    <row r="88" spans="1:15" s="366" customFormat="1" ht="78" x14ac:dyDescent="0.35">
      <c r="A88" s="446"/>
      <c r="B88" s="478" t="s">
        <v>810</v>
      </c>
      <c r="C88" s="387" t="s">
        <v>1133</v>
      </c>
      <c r="D88" s="365"/>
      <c r="E88" s="365"/>
      <c r="F88" s="365"/>
      <c r="G88" s="365"/>
      <c r="H88" s="365"/>
      <c r="I88" s="452" t="s">
        <v>1302</v>
      </c>
      <c r="J88" s="363" t="s">
        <v>813</v>
      </c>
      <c r="K88" s="785">
        <v>18000000</v>
      </c>
      <c r="L88" s="368"/>
      <c r="M88" s="361">
        <f>2126908+1469292+2403796+1499999</f>
        <v>7499995</v>
      </c>
      <c r="N88" s="365"/>
      <c r="O88" s="1351"/>
    </row>
    <row r="89" spans="1:15" s="366" customFormat="1" ht="31.2" x14ac:dyDescent="0.35">
      <c r="A89" s="446"/>
      <c r="B89" s="459" t="s">
        <v>805</v>
      </c>
      <c r="C89" s="387" t="s">
        <v>1132</v>
      </c>
      <c r="D89" s="365"/>
      <c r="E89" s="365"/>
      <c r="F89" s="365"/>
      <c r="G89" s="365"/>
      <c r="H89" s="365"/>
      <c r="I89" s="452" t="s">
        <v>1301</v>
      </c>
      <c r="J89" s="363" t="s">
        <v>808</v>
      </c>
      <c r="K89" s="785">
        <f>51963.84-51963.84</f>
        <v>0</v>
      </c>
      <c r="L89" s="368"/>
      <c r="M89" s="361"/>
      <c r="N89" s="365"/>
      <c r="O89" s="1351"/>
    </row>
    <row r="90" spans="1:15" s="366" customFormat="1" ht="49.5" customHeight="1" x14ac:dyDescent="0.35">
      <c r="A90" s="493"/>
      <c r="B90" s="1297" t="s">
        <v>801</v>
      </c>
      <c r="C90" s="1347" t="s">
        <v>1131</v>
      </c>
      <c r="D90" s="522"/>
      <c r="E90" s="522"/>
      <c r="F90" s="522"/>
      <c r="G90" s="522"/>
      <c r="H90" s="522"/>
      <c r="I90" s="1295" t="s">
        <v>1300</v>
      </c>
      <c r="J90" s="363" t="s">
        <v>162</v>
      </c>
      <c r="K90" s="785">
        <f>600000+10000</f>
        <v>610000</v>
      </c>
      <c r="L90" s="368"/>
      <c r="M90" s="361">
        <f>30041.46+9072.51+32340.46+8828.94+38624.73+10544.55+33976.9+10661.72+35118.46+8201.31</f>
        <v>217411.04</v>
      </c>
      <c r="N90" s="365"/>
      <c r="O90" s="1352"/>
    </row>
    <row r="91" spans="1:15" s="366" customFormat="1" ht="27.75" hidden="1" customHeight="1" x14ac:dyDescent="0.35">
      <c r="A91" s="494"/>
      <c r="B91" s="1299"/>
      <c r="C91" s="1348"/>
      <c r="D91" s="522"/>
      <c r="E91" s="522"/>
      <c r="F91" s="522"/>
      <c r="G91" s="522"/>
      <c r="H91" s="522"/>
      <c r="I91" s="1285"/>
      <c r="J91" s="363" t="s">
        <v>586</v>
      </c>
      <c r="K91" s="785"/>
      <c r="L91" s="368"/>
      <c r="M91" s="491"/>
      <c r="N91" s="365"/>
      <c r="O91" s="781"/>
    </row>
    <row r="92" spans="1:15" s="366" customFormat="1" ht="15.6" x14ac:dyDescent="0.3">
      <c r="A92" s="1349"/>
      <c r="B92" s="1297" t="s">
        <v>904</v>
      </c>
      <c r="C92" s="387" t="s">
        <v>1134</v>
      </c>
      <c r="D92" s="388"/>
      <c r="E92" s="388"/>
      <c r="F92" s="388"/>
      <c r="G92" s="388"/>
      <c r="H92" s="388"/>
      <c r="I92" s="389" t="s">
        <v>1328</v>
      </c>
      <c r="J92" s="363"/>
      <c r="K92" s="785">
        <f>K93+K94+K95</f>
        <v>5332603.96</v>
      </c>
      <c r="L92" s="368"/>
      <c r="M92" s="785">
        <f>M93+M94+M95</f>
        <v>2044119.0299999998</v>
      </c>
      <c r="N92" s="365"/>
      <c r="O92" s="1288" t="s">
        <v>1097</v>
      </c>
    </row>
    <row r="93" spans="1:15" s="366" customFormat="1" ht="15.6" x14ac:dyDescent="0.3">
      <c r="A93" s="1344"/>
      <c r="B93" s="1298"/>
      <c r="C93" s="382"/>
      <c r="D93" s="386"/>
      <c r="E93" s="386"/>
      <c r="F93" s="386"/>
      <c r="G93" s="386"/>
      <c r="H93" s="386"/>
      <c r="I93" s="383"/>
      <c r="J93" s="363" t="s">
        <v>162</v>
      </c>
      <c r="K93" s="785">
        <v>5094348.96</v>
      </c>
      <c r="L93" s="368"/>
      <c r="M93" s="361">
        <f>267156.78+80681.33+323666.55+97747.31+286809.24+85408.41+372193.19+370.8+103763+293452.7+87623.72</f>
        <v>1998873.0299999998</v>
      </c>
      <c r="N93" s="365"/>
      <c r="O93" s="1289"/>
    </row>
    <row r="94" spans="1:15" s="366" customFormat="1" ht="15.6" x14ac:dyDescent="0.3">
      <c r="A94" s="1344"/>
      <c r="B94" s="1298"/>
      <c r="C94" s="382"/>
      <c r="D94" s="362"/>
      <c r="E94" s="362"/>
      <c r="F94" s="362"/>
      <c r="G94" s="362"/>
      <c r="H94" s="362"/>
      <c r="I94" s="383"/>
      <c r="J94" s="363" t="s">
        <v>586</v>
      </c>
      <c r="K94" s="785">
        <f>237874-2000-1000</f>
        <v>234874</v>
      </c>
      <c r="L94" s="368"/>
      <c r="M94" s="361">
        <f>2490+14256+5500+20000</f>
        <v>42246</v>
      </c>
      <c r="N94" s="365"/>
      <c r="O94" s="1289"/>
    </row>
    <row r="95" spans="1:15" s="366" customFormat="1" ht="15.6" x14ac:dyDescent="0.3">
      <c r="A95" s="1345"/>
      <c r="B95" s="1299"/>
      <c r="C95" s="384"/>
      <c r="D95" s="362"/>
      <c r="E95" s="362"/>
      <c r="F95" s="362"/>
      <c r="G95" s="362"/>
      <c r="H95" s="362"/>
      <c r="I95" s="383"/>
      <c r="J95" s="363" t="s">
        <v>528</v>
      </c>
      <c r="K95" s="785">
        <f>381+2000+1000</f>
        <v>3381</v>
      </c>
      <c r="L95" s="368"/>
      <c r="M95" s="361">
        <f>2000+1000</f>
        <v>3000</v>
      </c>
      <c r="N95" s="365"/>
      <c r="O95" s="1289"/>
    </row>
    <row r="96" spans="1:15" s="366" customFormat="1" ht="18" x14ac:dyDescent="0.35">
      <c r="A96" s="446"/>
      <c r="B96" s="1300" t="s">
        <v>909</v>
      </c>
      <c r="C96" s="775" t="s">
        <v>1134</v>
      </c>
      <c r="D96" s="479"/>
      <c r="E96" s="479"/>
      <c r="F96" s="479"/>
      <c r="G96" s="479"/>
      <c r="H96" s="479"/>
      <c r="I96" s="389" t="s">
        <v>1329</v>
      </c>
      <c r="J96" s="363"/>
      <c r="K96" s="785">
        <f>K97+K98</f>
        <v>3291989.5300000003</v>
      </c>
      <c r="L96" s="368"/>
      <c r="M96" s="785">
        <f>M97+M98</f>
        <v>1079159.78</v>
      </c>
      <c r="N96" s="365"/>
      <c r="O96" s="1290"/>
    </row>
    <row r="97" spans="1:15" s="366" customFormat="1" ht="18" x14ac:dyDescent="0.35">
      <c r="A97" s="481"/>
      <c r="B97" s="1301"/>
      <c r="C97" s="1303"/>
      <c r="D97" s="482"/>
      <c r="E97" s="482"/>
      <c r="F97" s="482"/>
      <c r="G97" s="482"/>
      <c r="H97" s="482"/>
      <c r="I97" s="1305"/>
      <c r="J97" s="363" t="s">
        <v>586</v>
      </c>
      <c r="K97" s="650">
        <f>810750.26+771343.92+219062+1472707.35</f>
        <v>3273863.5300000003</v>
      </c>
      <c r="L97" s="368"/>
      <c r="M97" s="361">
        <f>26103.04+260144.02+193989.2+163893.5+435030.02</f>
        <v>1079159.78</v>
      </c>
      <c r="N97" s="365"/>
      <c r="O97" s="764"/>
    </row>
    <row r="98" spans="1:15" s="366" customFormat="1" ht="18" x14ac:dyDescent="0.35">
      <c r="A98" s="481"/>
      <c r="B98" s="1302"/>
      <c r="C98" s="1304"/>
      <c r="D98" s="482"/>
      <c r="E98" s="482"/>
      <c r="F98" s="482"/>
      <c r="G98" s="482"/>
      <c r="H98" s="482"/>
      <c r="I98" s="1306"/>
      <c r="J98" s="363" t="s">
        <v>528</v>
      </c>
      <c r="K98" s="577">
        <v>18126</v>
      </c>
      <c r="L98" s="368"/>
      <c r="M98" s="361"/>
      <c r="N98" s="365"/>
      <c r="O98" s="764"/>
    </row>
    <row r="99" spans="1:15" s="474" customFormat="1" ht="15.6" x14ac:dyDescent="0.3">
      <c r="A99" s="1357"/>
      <c r="B99" s="1360" t="s">
        <v>1230</v>
      </c>
      <c r="C99" s="395" t="s">
        <v>1093</v>
      </c>
      <c r="D99" s="475"/>
      <c r="E99" s="475"/>
      <c r="F99" s="475"/>
      <c r="G99" s="475"/>
      <c r="H99" s="475"/>
      <c r="I99" s="397" t="s">
        <v>1226</v>
      </c>
      <c r="J99" s="371"/>
      <c r="K99" s="577">
        <f>K100+K101+K102</f>
        <v>28501970.560000002</v>
      </c>
      <c r="L99" s="368"/>
      <c r="M99" s="577">
        <f>M100+M101+M102</f>
        <v>11203438.150000002</v>
      </c>
      <c r="N99" s="476"/>
      <c r="O99" s="1280" t="s">
        <v>151</v>
      </c>
    </row>
    <row r="100" spans="1:15" s="474" customFormat="1" ht="15.6" x14ac:dyDescent="0.3">
      <c r="A100" s="1358"/>
      <c r="B100" s="1361"/>
      <c r="C100" s="390"/>
      <c r="D100" s="517"/>
      <c r="E100" s="517"/>
      <c r="F100" s="517"/>
      <c r="G100" s="517"/>
      <c r="H100" s="517"/>
      <c r="I100" s="391"/>
      <c r="J100" s="371" t="s">
        <v>162</v>
      </c>
      <c r="K100" s="577">
        <f>24557419.37-365566-80593.54</f>
        <v>24111259.830000002</v>
      </c>
      <c r="L100" s="368"/>
      <c r="M100" s="361">
        <f>1217872.51+88843.54+627345.62+1042801.37+36724.5+434017.63+1452587.28+18150+467538.72+1868313.96+17423.5+199936.57+1685104.01-72964.54+667346.52</f>
        <v>9751041.1900000013</v>
      </c>
      <c r="N100" s="476"/>
      <c r="O100" s="1282"/>
    </row>
    <row r="101" spans="1:15" s="474" customFormat="1" ht="15.6" x14ac:dyDescent="0.3">
      <c r="A101" s="1358"/>
      <c r="B101" s="1361"/>
      <c r="C101" s="390"/>
      <c r="D101" s="518"/>
      <c r="E101" s="518"/>
      <c r="F101" s="518"/>
      <c r="G101" s="518"/>
      <c r="H101" s="518"/>
      <c r="I101" s="391"/>
      <c r="J101" s="371" t="s">
        <v>586</v>
      </c>
      <c r="K101" s="577">
        <f>3678500+365566+80593.54</f>
        <v>4124659.54</v>
      </c>
      <c r="L101" s="368"/>
      <c r="M101" s="361">
        <f>101785.52+235044.2+480428.05+313585.37+311743.82</f>
        <v>1442586.9600000002</v>
      </c>
      <c r="N101" s="476"/>
      <c r="O101" s="1282"/>
    </row>
    <row r="102" spans="1:15" s="474" customFormat="1" ht="15.6" x14ac:dyDescent="0.3">
      <c r="A102" s="1359"/>
      <c r="B102" s="1362"/>
      <c r="C102" s="392"/>
      <c r="D102" s="518"/>
      <c r="E102" s="518"/>
      <c r="F102" s="518"/>
      <c r="G102" s="518"/>
      <c r="H102" s="518"/>
      <c r="I102" s="393"/>
      <c r="J102" s="371" t="s">
        <v>528</v>
      </c>
      <c r="K102" s="577">
        <v>266051.19</v>
      </c>
      <c r="L102" s="368"/>
      <c r="M102" s="361">
        <f>3197+6613</f>
        <v>9810</v>
      </c>
      <c r="N102" s="476"/>
      <c r="O102" s="1282"/>
    </row>
    <row r="103" spans="1:15" s="474" customFormat="1" ht="62.4" x14ac:dyDescent="0.3">
      <c r="A103" s="708"/>
      <c r="B103" s="748" t="s">
        <v>1383</v>
      </c>
      <c r="C103" s="387" t="s">
        <v>1130</v>
      </c>
      <c r="D103" s="518"/>
      <c r="E103" s="518"/>
      <c r="F103" s="518"/>
      <c r="G103" s="518"/>
      <c r="H103" s="518"/>
      <c r="I103" s="397" t="s">
        <v>1384</v>
      </c>
      <c r="J103" s="371" t="s">
        <v>528</v>
      </c>
      <c r="K103" s="577">
        <v>494846.92</v>
      </c>
      <c r="L103" s="368"/>
      <c r="M103" s="361">
        <v>6000</v>
      </c>
      <c r="N103" s="476"/>
      <c r="O103" s="1281"/>
    </row>
    <row r="104" spans="1:15" s="474" customFormat="1" ht="31.2" x14ac:dyDescent="0.3">
      <c r="A104" s="708"/>
      <c r="B104" s="709" t="s">
        <v>1353</v>
      </c>
      <c r="C104" s="395" t="s">
        <v>1093</v>
      </c>
      <c r="D104" s="475"/>
      <c r="E104" s="475"/>
      <c r="F104" s="475"/>
      <c r="G104" s="475"/>
      <c r="H104" s="475"/>
      <c r="I104" s="397" t="s">
        <v>1354</v>
      </c>
      <c r="J104" s="371" t="s">
        <v>528</v>
      </c>
      <c r="K104" s="577">
        <v>400000</v>
      </c>
      <c r="L104" s="368"/>
      <c r="M104" s="361">
        <v>320747.28000000003</v>
      </c>
      <c r="N104" s="476"/>
      <c r="O104" s="1281"/>
    </row>
    <row r="105" spans="1:15" s="366" customFormat="1" ht="46.8" x14ac:dyDescent="0.3">
      <c r="A105" s="388"/>
      <c r="B105" s="459" t="s">
        <v>610</v>
      </c>
      <c r="C105" s="387" t="s">
        <v>1130</v>
      </c>
      <c r="D105" s="365"/>
      <c r="E105" s="365"/>
      <c r="F105" s="365"/>
      <c r="G105" s="365"/>
      <c r="H105" s="365"/>
      <c r="I105" s="452" t="s">
        <v>1233</v>
      </c>
      <c r="J105" s="363" t="s">
        <v>613</v>
      </c>
      <c r="K105" s="785">
        <v>11822578.16</v>
      </c>
      <c r="L105" s="368"/>
      <c r="M105" s="361">
        <f>582207.78+1087559.96+1228848.09+1469746.84+1031323.13</f>
        <v>5399685.7999999998</v>
      </c>
      <c r="N105" s="365"/>
      <c r="O105" s="1282"/>
    </row>
    <row r="106" spans="1:15" s="366" customFormat="1" ht="15.6" hidden="1" x14ac:dyDescent="0.3">
      <c r="A106" s="388"/>
      <c r="B106" s="459" t="s">
        <v>1174</v>
      </c>
      <c r="C106" s="387" t="s">
        <v>1130</v>
      </c>
      <c r="D106" s="365"/>
      <c r="E106" s="365"/>
      <c r="F106" s="365"/>
      <c r="G106" s="365"/>
      <c r="H106" s="365"/>
      <c r="I106" s="452" t="s">
        <v>1175</v>
      </c>
      <c r="J106" s="363" t="s">
        <v>528</v>
      </c>
      <c r="K106" s="785"/>
      <c r="L106" s="368"/>
      <c r="M106" s="361"/>
      <c r="N106" s="365"/>
      <c r="O106" s="1282"/>
    </row>
    <row r="107" spans="1:15" s="474" customFormat="1" ht="15.6" x14ac:dyDescent="0.3">
      <c r="A107" s="475"/>
      <c r="B107" s="423" t="s">
        <v>604</v>
      </c>
      <c r="C107" s="395" t="s">
        <v>1129</v>
      </c>
      <c r="D107" s="476"/>
      <c r="E107" s="476"/>
      <c r="F107" s="476"/>
      <c r="G107" s="476"/>
      <c r="H107" s="476"/>
      <c r="I107" s="477" t="s">
        <v>1229</v>
      </c>
      <c r="J107" s="371" t="s">
        <v>528</v>
      </c>
      <c r="K107" s="785">
        <v>334218</v>
      </c>
      <c r="L107" s="368"/>
      <c r="M107" s="361"/>
      <c r="N107" s="476"/>
      <c r="O107" s="1282"/>
    </row>
    <row r="108" spans="1:15" s="366" customFormat="1" ht="31.2" x14ac:dyDescent="0.3">
      <c r="A108" s="388"/>
      <c r="B108" s="459" t="s">
        <v>771</v>
      </c>
      <c r="C108" s="387" t="s">
        <v>1111</v>
      </c>
      <c r="D108" s="365"/>
      <c r="E108" s="365"/>
      <c r="F108" s="365"/>
      <c r="G108" s="365"/>
      <c r="H108" s="365"/>
      <c r="I108" s="452" t="s">
        <v>1290</v>
      </c>
      <c r="J108" s="363" t="s">
        <v>586</v>
      </c>
      <c r="K108" s="785">
        <v>50000</v>
      </c>
      <c r="L108" s="368"/>
      <c r="M108" s="361"/>
      <c r="N108" s="365"/>
      <c r="O108" s="1282"/>
    </row>
    <row r="109" spans="1:15" s="366" customFormat="1" ht="62.4" hidden="1" x14ac:dyDescent="0.3">
      <c r="A109" s="388"/>
      <c r="B109" s="483" t="s">
        <v>1187</v>
      </c>
      <c r="C109" s="387" t="s">
        <v>1161</v>
      </c>
      <c r="D109" s="365"/>
      <c r="E109" s="365"/>
      <c r="F109" s="365"/>
      <c r="G109" s="365"/>
      <c r="H109" s="365"/>
      <c r="I109" s="452" t="s">
        <v>1162</v>
      </c>
      <c r="J109" s="363" t="s">
        <v>528</v>
      </c>
      <c r="K109" s="577"/>
      <c r="L109" s="368"/>
      <c r="M109" s="361"/>
      <c r="N109" s="365"/>
      <c r="O109" s="1283"/>
    </row>
    <row r="110" spans="1:15" s="366" customFormat="1" ht="62.4" hidden="1" x14ac:dyDescent="0.3">
      <c r="A110" s="388"/>
      <c r="B110" s="423" t="s">
        <v>1188</v>
      </c>
      <c r="C110" s="387" t="s">
        <v>1185</v>
      </c>
      <c r="D110" s="365"/>
      <c r="E110" s="365"/>
      <c r="F110" s="365"/>
      <c r="G110" s="365"/>
      <c r="H110" s="365"/>
      <c r="I110" s="484" t="s">
        <v>1186</v>
      </c>
      <c r="J110" s="389" t="s">
        <v>528</v>
      </c>
      <c r="K110" s="786"/>
      <c r="L110" s="368"/>
      <c r="M110" s="486"/>
      <c r="N110" s="365"/>
      <c r="O110" s="762" t="s">
        <v>968</v>
      </c>
    </row>
    <row r="111" spans="1:15" s="366" customFormat="1" ht="72" x14ac:dyDescent="0.35">
      <c r="A111" s="425">
        <v>11</v>
      </c>
      <c r="B111" s="435" t="s">
        <v>563</v>
      </c>
      <c r="C111" s="428"/>
      <c r="D111" s="428"/>
      <c r="E111" s="428"/>
      <c r="F111" s="428"/>
      <c r="G111" s="428"/>
      <c r="H111" s="428"/>
      <c r="I111" s="429" t="s">
        <v>1346</v>
      </c>
      <c r="J111" s="430"/>
      <c r="K111" s="436">
        <f>K112+K113+K114+K115+K116+K117+K119+K120+K118</f>
        <v>5308249.99</v>
      </c>
      <c r="L111" s="428"/>
      <c r="M111" s="436">
        <f>M112+M113+M114+M115+M116+M117+M119+M120+M118</f>
        <v>917122.57000000007</v>
      </c>
      <c r="N111" s="428"/>
      <c r="O111" s="432" t="s">
        <v>1147</v>
      </c>
    </row>
    <row r="112" spans="1:15" s="366" customFormat="1" ht="46.8" x14ac:dyDescent="0.35">
      <c r="A112" s="425"/>
      <c r="B112" s="459" t="s">
        <v>618</v>
      </c>
      <c r="C112" s="387" t="s">
        <v>1137</v>
      </c>
      <c r="D112" s="428"/>
      <c r="E112" s="428"/>
      <c r="F112" s="428"/>
      <c r="G112" s="428"/>
      <c r="H112" s="428"/>
      <c r="I112" s="452" t="s">
        <v>1235</v>
      </c>
      <c r="J112" s="363" t="s">
        <v>586</v>
      </c>
      <c r="K112" s="785">
        <f>515000-250000</f>
        <v>265000</v>
      </c>
      <c r="L112" s="428"/>
      <c r="M112" s="487">
        <f>30000-25141</f>
        <v>4859</v>
      </c>
      <c r="N112" s="428"/>
      <c r="O112" s="1288" t="s">
        <v>151</v>
      </c>
    </row>
    <row r="113" spans="1:15" s="366" customFormat="1" ht="18" x14ac:dyDescent="0.35">
      <c r="A113" s="425"/>
      <c r="B113" s="459" t="s">
        <v>621</v>
      </c>
      <c r="C113" s="387" t="s">
        <v>1137</v>
      </c>
      <c r="D113" s="428"/>
      <c r="E113" s="428"/>
      <c r="F113" s="428"/>
      <c r="G113" s="428"/>
      <c r="H113" s="428"/>
      <c r="I113" s="452" t="s">
        <v>1236</v>
      </c>
      <c r="J113" s="363" t="s">
        <v>586</v>
      </c>
      <c r="K113" s="464">
        <f>212500+250000</f>
        <v>462500</v>
      </c>
      <c r="L113" s="428"/>
      <c r="M113" s="487">
        <v>20531.04</v>
      </c>
      <c r="N113" s="428"/>
      <c r="O113" s="1289"/>
    </row>
    <row r="114" spans="1:15" s="366" customFormat="1" ht="31.2" x14ac:dyDescent="0.35">
      <c r="A114" s="425"/>
      <c r="B114" s="459" t="s">
        <v>731</v>
      </c>
      <c r="C114" s="387" t="s">
        <v>1107</v>
      </c>
      <c r="D114" s="428"/>
      <c r="E114" s="428"/>
      <c r="F114" s="428"/>
      <c r="G114" s="428"/>
      <c r="H114" s="428"/>
      <c r="I114" s="452" t="s">
        <v>1274</v>
      </c>
      <c r="J114" s="363" t="s">
        <v>586</v>
      </c>
      <c r="K114" s="785">
        <v>50000</v>
      </c>
      <c r="L114" s="428"/>
      <c r="M114" s="487"/>
      <c r="N114" s="428"/>
      <c r="O114" s="1289"/>
    </row>
    <row r="115" spans="1:15" s="515" customFormat="1" ht="31.2" x14ac:dyDescent="0.35">
      <c r="A115" s="567"/>
      <c r="B115" s="423" t="s">
        <v>736</v>
      </c>
      <c r="C115" s="395" t="s">
        <v>1107</v>
      </c>
      <c r="D115" s="568"/>
      <c r="E115" s="568"/>
      <c r="F115" s="568"/>
      <c r="G115" s="568"/>
      <c r="H115" s="568"/>
      <c r="I115" s="477" t="s">
        <v>1275</v>
      </c>
      <c r="J115" s="371" t="s">
        <v>586</v>
      </c>
      <c r="K115" s="785">
        <v>53000</v>
      </c>
      <c r="L115" s="428"/>
      <c r="M115" s="487"/>
      <c r="N115" s="570"/>
      <c r="O115" s="1290"/>
    </row>
    <row r="116" spans="1:15" s="366" customFormat="1" ht="31.2" x14ac:dyDescent="0.35">
      <c r="A116" s="425"/>
      <c r="B116" s="459" t="s">
        <v>834</v>
      </c>
      <c r="C116" s="387" t="s">
        <v>1105</v>
      </c>
      <c r="D116" s="428"/>
      <c r="E116" s="428"/>
      <c r="F116" s="428"/>
      <c r="G116" s="428"/>
      <c r="H116" s="428"/>
      <c r="I116" s="452" t="s">
        <v>1308</v>
      </c>
      <c r="J116" s="363" t="s">
        <v>613</v>
      </c>
      <c r="K116" s="785">
        <v>1650000</v>
      </c>
      <c r="L116" s="428"/>
      <c r="M116" s="487"/>
      <c r="N116" s="428"/>
      <c r="O116" s="1291" t="s">
        <v>968</v>
      </c>
    </row>
    <row r="117" spans="1:15" s="366" customFormat="1" ht="31.5" customHeight="1" x14ac:dyDescent="0.35">
      <c r="A117" s="425"/>
      <c r="B117" s="1293" t="s">
        <v>831</v>
      </c>
      <c r="C117" s="387" t="s">
        <v>1105</v>
      </c>
      <c r="D117" s="428"/>
      <c r="E117" s="428"/>
      <c r="F117" s="428"/>
      <c r="G117" s="428"/>
      <c r="H117" s="428"/>
      <c r="I117" s="1295" t="s">
        <v>1307</v>
      </c>
      <c r="J117" s="363" t="s">
        <v>613</v>
      </c>
      <c r="K117" s="785">
        <v>300000</v>
      </c>
      <c r="L117" s="428"/>
      <c r="M117" s="487"/>
      <c r="N117" s="428"/>
      <c r="O117" s="1292"/>
    </row>
    <row r="118" spans="1:15" s="366" customFormat="1" ht="18" hidden="1" x14ac:dyDescent="0.35">
      <c r="A118" s="425"/>
      <c r="B118" s="1294"/>
      <c r="C118" s="387" t="s">
        <v>1142</v>
      </c>
      <c r="D118" s="428"/>
      <c r="E118" s="428"/>
      <c r="F118" s="428"/>
      <c r="G118" s="428"/>
      <c r="H118" s="428"/>
      <c r="I118" s="1296"/>
      <c r="J118" s="363" t="s">
        <v>613</v>
      </c>
      <c r="K118" s="577"/>
      <c r="L118" s="428"/>
      <c r="M118" s="487"/>
      <c r="N118" s="428"/>
      <c r="O118" s="766"/>
    </row>
    <row r="119" spans="1:15" s="366" customFormat="1" ht="31.2" x14ac:dyDescent="0.35">
      <c r="A119" s="425"/>
      <c r="B119" s="459" t="s">
        <v>912</v>
      </c>
      <c r="C119" s="387" t="s">
        <v>1138</v>
      </c>
      <c r="D119" s="428"/>
      <c r="E119" s="428"/>
      <c r="F119" s="428"/>
      <c r="G119" s="428"/>
      <c r="H119" s="428"/>
      <c r="I119" s="452" t="s">
        <v>1330</v>
      </c>
      <c r="J119" s="363" t="s">
        <v>613</v>
      </c>
      <c r="K119" s="577">
        <v>2497749.9900000002</v>
      </c>
      <c r="L119" s="428"/>
      <c r="M119" s="487">
        <f>156868.34+144625.25+188115.22+194249.18+207874.54</f>
        <v>891732.53</v>
      </c>
      <c r="N119" s="428"/>
      <c r="O119" s="495" t="s">
        <v>1097</v>
      </c>
    </row>
    <row r="120" spans="1:15" s="366" customFormat="1" ht="51" customHeight="1" x14ac:dyDescent="0.35">
      <c r="A120" s="425"/>
      <c r="B120" s="521" t="s">
        <v>1198</v>
      </c>
      <c r="C120" s="387" t="s">
        <v>1107</v>
      </c>
      <c r="D120" s="428"/>
      <c r="E120" s="428"/>
      <c r="F120" s="428"/>
      <c r="G120" s="428"/>
      <c r="H120" s="428"/>
      <c r="I120" s="484" t="s">
        <v>1276</v>
      </c>
      <c r="J120" s="389" t="s">
        <v>586</v>
      </c>
      <c r="K120" s="786">
        <v>30000</v>
      </c>
      <c r="L120" s="428"/>
      <c r="M120" s="533"/>
      <c r="N120" s="428"/>
      <c r="O120" s="495"/>
    </row>
    <row r="121" spans="1:15" s="366" customFormat="1" ht="52.8" x14ac:dyDescent="0.35">
      <c r="A121" s="425">
        <v>12</v>
      </c>
      <c r="B121" s="435" t="s">
        <v>558</v>
      </c>
      <c r="C121" s="428"/>
      <c r="D121" s="428"/>
      <c r="E121" s="428"/>
      <c r="F121" s="428"/>
      <c r="G121" s="428"/>
      <c r="H121" s="428"/>
      <c r="I121" s="429" t="s">
        <v>1347</v>
      </c>
      <c r="J121" s="430"/>
      <c r="K121" s="436">
        <f>K122+K123+K124+K125+K126+K127+K128+K129+K130+K131+K132+K134+K135+K136+K137+K141+K145+K133</f>
        <v>206771970.47000006</v>
      </c>
      <c r="L121" s="428"/>
      <c r="M121" s="436">
        <f>M122+M123+M124+M125+M126+M127+M128+M129+M130+M131+M132+M134+M135+M136+M137+M141+M145+M133</f>
        <v>74257425.839999989</v>
      </c>
      <c r="N121" s="428"/>
      <c r="O121" s="432" t="s">
        <v>1147</v>
      </c>
    </row>
    <row r="122" spans="1:15" s="366" customFormat="1" ht="18" hidden="1" x14ac:dyDescent="0.35">
      <c r="A122" s="425"/>
      <c r="B122" s="423" t="s">
        <v>1153</v>
      </c>
      <c r="C122" s="387" t="s">
        <v>1139</v>
      </c>
      <c r="D122" s="428"/>
      <c r="E122" s="428"/>
      <c r="F122" s="428"/>
      <c r="G122" s="428"/>
      <c r="H122" s="428"/>
      <c r="I122" s="452" t="s">
        <v>818</v>
      </c>
      <c r="J122" s="363" t="s">
        <v>586</v>
      </c>
      <c r="K122" s="785">
        <v>0</v>
      </c>
      <c r="L122" s="428"/>
      <c r="M122" s="487"/>
      <c r="N122" s="428"/>
      <c r="O122" s="1288" t="s">
        <v>151</v>
      </c>
    </row>
    <row r="123" spans="1:15" s="366" customFormat="1" ht="18" x14ac:dyDescent="0.35">
      <c r="A123" s="425"/>
      <c r="B123" s="459" t="s">
        <v>725</v>
      </c>
      <c r="C123" s="387" t="s">
        <v>1140</v>
      </c>
      <c r="D123" s="428"/>
      <c r="E123" s="428"/>
      <c r="F123" s="428"/>
      <c r="G123" s="428"/>
      <c r="H123" s="428"/>
      <c r="I123" s="452" t="s">
        <v>1272</v>
      </c>
      <c r="J123" s="363" t="s">
        <v>586</v>
      </c>
      <c r="K123" s="785">
        <v>8000000</v>
      </c>
      <c r="L123" s="428"/>
      <c r="M123" s="487"/>
      <c r="N123" s="428"/>
      <c r="O123" s="1289"/>
    </row>
    <row r="124" spans="1:15" s="366" customFormat="1" ht="31.2" x14ac:dyDescent="0.35">
      <c r="A124" s="425"/>
      <c r="B124" s="459" t="s">
        <v>1278</v>
      </c>
      <c r="C124" s="387" t="s">
        <v>1107</v>
      </c>
      <c r="D124" s="428"/>
      <c r="E124" s="428"/>
      <c r="F124" s="428"/>
      <c r="G124" s="428"/>
      <c r="H124" s="428"/>
      <c r="I124" s="452" t="s">
        <v>1277</v>
      </c>
      <c r="J124" s="363" t="s">
        <v>586</v>
      </c>
      <c r="K124" s="785">
        <v>114734.39999999999</v>
      </c>
      <c r="L124" s="428"/>
      <c r="M124" s="487">
        <f>1100+10234+53656.71+9000</f>
        <v>73990.709999999992</v>
      </c>
      <c r="N124" s="428"/>
      <c r="O124" s="1290"/>
    </row>
    <row r="125" spans="1:15" s="366" customFormat="1" ht="31.2" x14ac:dyDescent="0.35">
      <c r="A125" s="425"/>
      <c r="B125" s="459" t="s">
        <v>915</v>
      </c>
      <c r="C125" s="387" t="s">
        <v>1146</v>
      </c>
      <c r="D125" s="428"/>
      <c r="E125" s="428"/>
      <c r="F125" s="428"/>
      <c r="G125" s="428"/>
      <c r="H125" s="428"/>
      <c r="I125" s="452" t="s">
        <v>1331</v>
      </c>
      <c r="J125" s="363" t="s">
        <v>613</v>
      </c>
      <c r="K125" s="785">
        <v>7636834.5599999996</v>
      </c>
      <c r="L125" s="428"/>
      <c r="M125" s="487">
        <f>363230.85+492151.88+489303.4+384974.99+579918.09</f>
        <v>2309579.21</v>
      </c>
      <c r="N125" s="428"/>
      <c r="O125" s="765" t="s">
        <v>1097</v>
      </c>
    </row>
    <row r="126" spans="1:15" s="366" customFormat="1" ht="18" x14ac:dyDescent="0.35">
      <c r="A126" s="425"/>
      <c r="B126" s="459" t="s">
        <v>817</v>
      </c>
      <c r="C126" s="387" t="s">
        <v>1142</v>
      </c>
      <c r="D126" s="428"/>
      <c r="E126" s="428"/>
      <c r="F126" s="428"/>
      <c r="G126" s="428"/>
      <c r="H126" s="428"/>
      <c r="I126" s="452" t="s">
        <v>1304</v>
      </c>
      <c r="J126" s="363" t="s">
        <v>613</v>
      </c>
      <c r="K126" s="785">
        <f>1200000+36882185.35-36300000</f>
        <v>1782185.3500000015</v>
      </c>
      <c r="L126" s="428"/>
      <c r="M126" s="487">
        <f>585817.49+80129.95+50000+99000+28788+34320</f>
        <v>878055.44</v>
      </c>
      <c r="N126" s="428"/>
      <c r="O126" s="1288" t="s">
        <v>968</v>
      </c>
    </row>
    <row r="127" spans="1:15" s="366" customFormat="1" ht="31.2" x14ac:dyDescent="0.35">
      <c r="A127" s="425"/>
      <c r="B127" s="459" t="s">
        <v>814</v>
      </c>
      <c r="C127" s="387" t="s">
        <v>1142</v>
      </c>
      <c r="D127" s="428"/>
      <c r="E127" s="428"/>
      <c r="F127" s="428"/>
      <c r="G127" s="428"/>
      <c r="H127" s="428"/>
      <c r="I127" s="452" t="s">
        <v>1303</v>
      </c>
      <c r="J127" s="363" t="s">
        <v>613</v>
      </c>
      <c r="K127" s="785">
        <f>34085991.49+3149000+14433000</f>
        <v>51667991.490000002</v>
      </c>
      <c r="L127" s="428"/>
      <c r="M127" s="487">
        <f>2356160.12+452255.67+3660357.99+873532.27+21680+65980+4123273.33+883777.74+3586455.13+32990+710340.32+10840+3262742.11+26482.5+604256.74+10840</f>
        <v>20681963.919999998</v>
      </c>
      <c r="N127" s="428"/>
      <c r="O127" s="1289"/>
    </row>
    <row r="128" spans="1:15" s="366" customFormat="1" ht="31.2" x14ac:dyDescent="0.35">
      <c r="A128" s="425"/>
      <c r="B128" s="459" t="s">
        <v>837</v>
      </c>
      <c r="C128" s="387" t="s">
        <v>1105</v>
      </c>
      <c r="D128" s="428"/>
      <c r="E128" s="428"/>
      <c r="F128" s="428"/>
      <c r="G128" s="428"/>
      <c r="H128" s="428"/>
      <c r="I128" s="452" t="s">
        <v>1309</v>
      </c>
      <c r="J128" s="363" t="s">
        <v>613</v>
      </c>
      <c r="K128" s="785">
        <f>95155748.66+5078000-14769460.99-500000+500000</f>
        <v>85464287.670000002</v>
      </c>
      <c r="L128" s="428"/>
      <c r="M128" s="487">
        <f>4290134.18+215001.81+6724002.5+346703.2+245656.77+23755+8882268.11+288534.14+6866405.26+180487+233607.5+11877.5+5549070.62+172487+196307.64+11877.5</f>
        <v>34238175.729999997</v>
      </c>
      <c r="N128" s="428"/>
      <c r="O128" s="1289"/>
    </row>
    <row r="129" spans="1:15" s="366" customFormat="1" ht="31.2" x14ac:dyDescent="0.35">
      <c r="A129" s="425"/>
      <c r="B129" s="459" t="s">
        <v>840</v>
      </c>
      <c r="C129" s="387" t="s">
        <v>1105</v>
      </c>
      <c r="D129" s="428"/>
      <c r="E129" s="428"/>
      <c r="F129" s="428"/>
      <c r="G129" s="428"/>
      <c r="H129" s="428"/>
      <c r="I129" s="452" t="s">
        <v>1310</v>
      </c>
      <c r="J129" s="363" t="s">
        <v>613</v>
      </c>
      <c r="K129" s="785">
        <f>6355514.52+25000</f>
        <v>6380514.5199999996</v>
      </c>
      <c r="L129" s="428"/>
      <c r="M129" s="487">
        <f>588256.75+563774.2+525742.9+562037.94+1160756.67</f>
        <v>3400568.46</v>
      </c>
      <c r="N129" s="428"/>
      <c r="O129" s="1289"/>
    </row>
    <row r="130" spans="1:15" s="366" customFormat="1" ht="18" x14ac:dyDescent="0.35">
      <c r="A130" s="425"/>
      <c r="B130" s="459" t="s">
        <v>725</v>
      </c>
      <c r="C130" s="387" t="s">
        <v>1105</v>
      </c>
      <c r="D130" s="428"/>
      <c r="E130" s="428"/>
      <c r="F130" s="428"/>
      <c r="G130" s="428"/>
      <c r="H130" s="428"/>
      <c r="I130" s="452" t="s">
        <v>1272</v>
      </c>
      <c r="J130" s="363" t="s">
        <v>613</v>
      </c>
      <c r="K130" s="785">
        <f>17174500+1467814.65-500000</f>
        <v>18142314.649999999</v>
      </c>
      <c r="L130" s="428"/>
      <c r="M130" s="487">
        <f>2307366.72+54716.15+53834+411162.21+250477</f>
        <v>3077556.08</v>
      </c>
      <c r="N130" s="428"/>
      <c r="O130" s="1289"/>
    </row>
    <row r="131" spans="1:15" s="366" customFormat="1" ht="15.6" x14ac:dyDescent="0.3">
      <c r="A131" s="388"/>
      <c r="B131" s="459" t="s">
        <v>844</v>
      </c>
      <c r="C131" s="387" t="s">
        <v>1105</v>
      </c>
      <c r="D131" s="365"/>
      <c r="E131" s="365"/>
      <c r="F131" s="365"/>
      <c r="G131" s="365"/>
      <c r="H131" s="365"/>
      <c r="I131" s="452" t="s">
        <v>1311</v>
      </c>
      <c r="J131" s="363" t="s">
        <v>613</v>
      </c>
      <c r="K131" s="785">
        <v>483000</v>
      </c>
      <c r="L131" s="368"/>
      <c r="M131" s="487">
        <f>36608.7+1260.6</f>
        <v>37869.299999999996</v>
      </c>
      <c r="N131" s="365"/>
      <c r="O131" s="1289"/>
    </row>
    <row r="132" spans="1:15" s="366" customFormat="1" ht="46.8" x14ac:dyDescent="0.3">
      <c r="A132" s="388"/>
      <c r="B132" s="459" t="s">
        <v>847</v>
      </c>
      <c r="C132" s="387" t="s">
        <v>1105</v>
      </c>
      <c r="D132" s="365"/>
      <c r="E132" s="365"/>
      <c r="F132" s="365"/>
      <c r="G132" s="365"/>
      <c r="H132" s="365"/>
      <c r="I132" s="452" t="s">
        <v>1312</v>
      </c>
      <c r="J132" s="363" t="s">
        <v>613</v>
      </c>
      <c r="K132" s="785">
        <v>50000</v>
      </c>
      <c r="L132" s="368"/>
      <c r="M132" s="487"/>
      <c r="N132" s="365"/>
      <c r="O132" s="1289"/>
    </row>
    <row r="133" spans="1:15" s="366" customFormat="1" ht="15.6" x14ac:dyDescent="0.3">
      <c r="A133" s="1307"/>
      <c r="B133" s="1297" t="s">
        <v>864</v>
      </c>
      <c r="C133" s="1354" t="s">
        <v>1143</v>
      </c>
      <c r="D133" s="365"/>
      <c r="E133" s="365"/>
      <c r="F133" s="365"/>
      <c r="G133" s="365"/>
      <c r="H133" s="365"/>
      <c r="I133" s="1355" t="s">
        <v>1317</v>
      </c>
      <c r="J133" s="363" t="s">
        <v>764</v>
      </c>
      <c r="K133" s="785"/>
      <c r="L133" s="368"/>
      <c r="M133" s="487"/>
      <c r="N133" s="365"/>
      <c r="O133" s="1317"/>
    </row>
    <row r="134" spans="1:15" s="366" customFormat="1" ht="15.6" x14ac:dyDescent="0.3">
      <c r="A134" s="1308"/>
      <c r="B134" s="1299"/>
      <c r="C134" s="1304"/>
      <c r="D134" s="365"/>
      <c r="E134" s="365"/>
      <c r="F134" s="365"/>
      <c r="G134" s="365"/>
      <c r="H134" s="365"/>
      <c r="I134" s="1356"/>
      <c r="J134" s="363" t="s">
        <v>613</v>
      </c>
      <c r="K134" s="785">
        <f>1900000+500000</f>
        <v>2400000</v>
      </c>
      <c r="L134" s="368"/>
      <c r="M134" s="487">
        <f>405934.4+14760+30982.8</f>
        <v>451677.2</v>
      </c>
      <c r="N134" s="365"/>
      <c r="O134" s="1289"/>
    </row>
    <row r="135" spans="1:15" s="366" customFormat="1" ht="31.2" x14ac:dyDescent="0.3">
      <c r="A135" s="388"/>
      <c r="B135" s="459" t="s">
        <v>867</v>
      </c>
      <c r="C135" s="387" t="s">
        <v>1143</v>
      </c>
      <c r="D135" s="365"/>
      <c r="E135" s="365"/>
      <c r="F135" s="365"/>
      <c r="G135" s="365"/>
      <c r="H135" s="365"/>
      <c r="I135" s="452" t="s">
        <v>1318</v>
      </c>
      <c r="J135" s="363" t="s">
        <v>613</v>
      </c>
      <c r="K135" s="785">
        <v>100000</v>
      </c>
      <c r="L135" s="368"/>
      <c r="M135" s="487"/>
      <c r="N135" s="365"/>
      <c r="O135" s="1289"/>
    </row>
    <row r="136" spans="1:15" s="366" customFormat="1" ht="15.6" hidden="1" x14ac:dyDescent="0.3">
      <c r="A136" s="388"/>
      <c r="B136" s="459" t="s">
        <v>870</v>
      </c>
      <c r="C136" s="775" t="s">
        <v>1143</v>
      </c>
      <c r="D136" s="479"/>
      <c r="E136" s="479"/>
      <c r="F136" s="479"/>
      <c r="G136" s="479"/>
      <c r="H136" s="479"/>
      <c r="I136" s="480" t="s">
        <v>871</v>
      </c>
      <c r="J136" s="363" t="s">
        <v>613</v>
      </c>
      <c r="K136" s="785">
        <v>0</v>
      </c>
      <c r="L136" s="368"/>
      <c r="M136" s="487"/>
      <c r="N136" s="365"/>
      <c r="O136" s="1289"/>
    </row>
    <row r="137" spans="1:15" s="366" customFormat="1" ht="15.6" x14ac:dyDescent="0.3">
      <c r="A137" s="1307"/>
      <c r="B137" s="1297" t="s">
        <v>877</v>
      </c>
      <c r="C137" s="387" t="s">
        <v>1144</v>
      </c>
      <c r="D137" s="388"/>
      <c r="E137" s="388"/>
      <c r="F137" s="388"/>
      <c r="G137" s="388"/>
      <c r="H137" s="388"/>
      <c r="I137" s="389" t="s">
        <v>1320</v>
      </c>
      <c r="J137" s="363"/>
      <c r="K137" s="785">
        <f>K138+K139+K140</f>
        <v>5523184.1100000003</v>
      </c>
      <c r="L137" s="368"/>
      <c r="M137" s="785">
        <f>M138+M139+M140</f>
        <v>2083597.9200000002</v>
      </c>
      <c r="N137" s="365"/>
      <c r="O137" s="1289"/>
    </row>
    <row r="138" spans="1:15" s="366" customFormat="1" ht="15.6" x14ac:dyDescent="0.3">
      <c r="A138" s="1336"/>
      <c r="B138" s="1298"/>
      <c r="C138" s="1337"/>
      <c r="D138" s="386"/>
      <c r="E138" s="386"/>
      <c r="F138" s="386"/>
      <c r="G138" s="386"/>
      <c r="H138" s="386"/>
      <c r="I138" s="1340"/>
      <c r="J138" s="363" t="s">
        <v>162</v>
      </c>
      <c r="K138" s="785">
        <v>5429984.1100000003</v>
      </c>
      <c r="L138" s="368"/>
      <c r="M138" s="487">
        <f>267903.28+3600+367432.83+1840+187591.01+312722.84+1715+86278.38+380556.18+112813.98+282694.46+9938.7+47519.41</f>
        <v>2062606.07</v>
      </c>
      <c r="N138" s="365"/>
      <c r="O138" s="1289"/>
    </row>
    <row r="139" spans="1:15" s="366" customFormat="1" ht="15.6" x14ac:dyDescent="0.3">
      <c r="A139" s="1336"/>
      <c r="B139" s="1298"/>
      <c r="C139" s="1338"/>
      <c r="D139" s="362"/>
      <c r="E139" s="362"/>
      <c r="F139" s="362"/>
      <c r="G139" s="362"/>
      <c r="H139" s="362"/>
      <c r="I139" s="1341"/>
      <c r="J139" s="363" t="s">
        <v>586</v>
      </c>
      <c r="K139" s="785">
        <v>93200</v>
      </c>
      <c r="L139" s="368"/>
      <c r="M139" s="487">
        <f>6475.39+5003.42+5126.63+4386.41</f>
        <v>20991.850000000002</v>
      </c>
      <c r="N139" s="365"/>
      <c r="O139" s="1289"/>
    </row>
    <row r="140" spans="1:15" s="366" customFormat="1" ht="15.6" x14ac:dyDescent="0.3">
      <c r="A140" s="1308"/>
      <c r="B140" s="1299"/>
      <c r="C140" s="1338"/>
      <c r="D140" s="488"/>
      <c r="E140" s="488"/>
      <c r="F140" s="488"/>
      <c r="G140" s="488"/>
      <c r="H140" s="488"/>
      <c r="I140" s="1341"/>
      <c r="J140" s="363" t="s">
        <v>528</v>
      </c>
      <c r="K140" s="785">
        <f>6000-6000</f>
        <v>0</v>
      </c>
      <c r="L140" s="368"/>
      <c r="M140" s="487"/>
      <c r="N140" s="365"/>
      <c r="O140" s="1289"/>
    </row>
    <row r="141" spans="1:15" s="366" customFormat="1" ht="15.6" x14ac:dyDescent="0.3">
      <c r="A141" s="1307"/>
      <c r="B141" s="1297" t="s">
        <v>882</v>
      </c>
      <c r="C141" s="387" t="s">
        <v>1144</v>
      </c>
      <c r="D141" s="388"/>
      <c r="E141" s="388"/>
      <c r="F141" s="388"/>
      <c r="G141" s="388"/>
      <c r="H141" s="388"/>
      <c r="I141" s="389" t="s">
        <v>1321</v>
      </c>
      <c r="J141" s="363"/>
      <c r="K141" s="785">
        <f>K142+K143+K144</f>
        <v>16641770.050000001</v>
      </c>
      <c r="L141" s="368"/>
      <c r="M141" s="785">
        <f>M142+M143+M144</f>
        <v>5848502.540000001</v>
      </c>
      <c r="N141" s="365"/>
      <c r="O141" s="1289"/>
    </row>
    <row r="142" spans="1:15" s="366" customFormat="1" ht="15.6" x14ac:dyDescent="0.3">
      <c r="A142" s="1336"/>
      <c r="B142" s="1298"/>
      <c r="C142" s="1337"/>
      <c r="D142" s="386"/>
      <c r="E142" s="386"/>
      <c r="F142" s="386"/>
      <c r="G142" s="386"/>
      <c r="H142" s="386"/>
      <c r="I142" s="1340"/>
      <c r="J142" s="363" t="s">
        <v>162</v>
      </c>
      <c r="K142" s="785">
        <v>12358242.65</v>
      </c>
      <c r="L142" s="368"/>
      <c r="M142" s="487">
        <f>641319.57+6605.75+854663.7+4600+442773.64+706630.5+212830.71+2982353.46+4600+889773.06-2202613.77-4600-662210.1+724964.69+17598.8+225547.34</f>
        <v>4844837.3500000006</v>
      </c>
      <c r="N142" s="365"/>
      <c r="O142" s="1289"/>
    </row>
    <row r="143" spans="1:15" s="366" customFormat="1" ht="15.6" x14ac:dyDescent="0.3">
      <c r="A143" s="1336"/>
      <c r="B143" s="1298"/>
      <c r="C143" s="1338"/>
      <c r="D143" s="362"/>
      <c r="E143" s="362"/>
      <c r="F143" s="362"/>
      <c r="G143" s="362"/>
      <c r="H143" s="362"/>
      <c r="I143" s="1341"/>
      <c r="J143" s="363" t="s">
        <v>586</v>
      </c>
      <c r="K143" s="464">
        <f>4275140.4-10000</f>
        <v>4265140.4000000004</v>
      </c>
      <c r="L143" s="368"/>
      <c r="M143" s="487">
        <f>37923.85+226540.51+208735.04+279803.86+241274.93</f>
        <v>994278.19</v>
      </c>
      <c r="N143" s="365"/>
      <c r="O143" s="1289"/>
    </row>
    <row r="144" spans="1:15" s="366" customFormat="1" ht="15.6" x14ac:dyDescent="0.3">
      <c r="A144" s="1308"/>
      <c r="B144" s="1299"/>
      <c r="C144" s="1339"/>
      <c r="D144" s="362"/>
      <c r="E144" s="362"/>
      <c r="F144" s="362"/>
      <c r="G144" s="362"/>
      <c r="H144" s="362"/>
      <c r="I144" s="1342"/>
      <c r="J144" s="363" t="s">
        <v>528</v>
      </c>
      <c r="K144" s="785">
        <f>8387+10000</f>
        <v>18387</v>
      </c>
      <c r="L144" s="368"/>
      <c r="M144" s="487">
        <f>2652+45+38+1852+4800</f>
        <v>9387</v>
      </c>
      <c r="N144" s="365"/>
      <c r="O144" s="1289"/>
    </row>
    <row r="145" spans="1:15" s="366" customFormat="1" ht="31.2" x14ac:dyDescent="0.3">
      <c r="A145" s="388"/>
      <c r="B145" s="459" t="s">
        <v>887</v>
      </c>
      <c r="C145" s="768" t="s">
        <v>1144</v>
      </c>
      <c r="D145" s="489"/>
      <c r="E145" s="489"/>
      <c r="F145" s="489"/>
      <c r="G145" s="489"/>
      <c r="H145" s="489"/>
      <c r="I145" s="490" t="s">
        <v>1322</v>
      </c>
      <c r="J145" s="363" t="s">
        <v>613</v>
      </c>
      <c r="K145" s="464">
        <f>2678797.79-293644.12</f>
        <v>2385153.67</v>
      </c>
      <c r="L145" s="368"/>
      <c r="M145" s="487">
        <f>170122.74+204050.19+272354.51+235420.64+293941.25</f>
        <v>1175889.33</v>
      </c>
      <c r="N145" s="365"/>
      <c r="O145" s="1290"/>
    </row>
    <row r="146" spans="1:15" s="366" customFormat="1" ht="52.8" x14ac:dyDescent="0.35">
      <c r="A146" s="446">
        <v>13</v>
      </c>
      <c r="B146" s="447" t="s">
        <v>564</v>
      </c>
      <c r="C146" s="448"/>
      <c r="D146" s="448"/>
      <c r="E146" s="448"/>
      <c r="F146" s="448"/>
      <c r="G146" s="448"/>
      <c r="H146" s="448"/>
      <c r="I146" s="429" t="s">
        <v>1348</v>
      </c>
      <c r="J146" s="430"/>
      <c r="K146" s="548">
        <f>K147+K149+K151+K152+K153+K154+K155+K156+K157+K158+K162+K163+K164+K148+K150+K159</f>
        <v>17713934.920000002</v>
      </c>
      <c r="L146" s="448"/>
      <c r="M146" s="548">
        <f>M147+M149+M151+M152+M153+M154+M155+M156+M157+M158+M162+M163+M164+M148+M150+M159+M161</f>
        <v>2173358.0300000003</v>
      </c>
      <c r="N146" s="448"/>
      <c r="O146" s="432" t="s">
        <v>1083</v>
      </c>
    </row>
    <row r="147" spans="1:15" s="366" customFormat="1" ht="15.6" x14ac:dyDescent="0.3">
      <c r="A147" s="388"/>
      <c r="B147" s="459" t="s">
        <v>654</v>
      </c>
      <c r="C147" s="387" t="s">
        <v>1148</v>
      </c>
      <c r="D147" s="365"/>
      <c r="E147" s="365"/>
      <c r="F147" s="365"/>
      <c r="G147" s="365"/>
      <c r="H147" s="365"/>
      <c r="I147" s="452" t="s">
        <v>1251</v>
      </c>
      <c r="J147" s="363" t="s">
        <v>586</v>
      </c>
      <c r="K147" s="785">
        <f>300000+1938000</f>
        <v>2238000</v>
      </c>
      <c r="L147" s="368"/>
      <c r="M147" s="361"/>
      <c r="N147" s="365"/>
      <c r="O147" s="1280" t="s">
        <v>151</v>
      </c>
    </row>
    <row r="148" spans="1:15" s="366" customFormat="1" ht="15.6" x14ac:dyDescent="0.3">
      <c r="A148" s="388"/>
      <c r="B148" s="459" t="s">
        <v>1357</v>
      </c>
      <c r="C148" s="387" t="s">
        <v>1148</v>
      </c>
      <c r="D148" s="365"/>
      <c r="E148" s="365"/>
      <c r="F148" s="365"/>
      <c r="G148" s="365"/>
      <c r="H148" s="365"/>
      <c r="I148" s="452" t="s">
        <v>1356</v>
      </c>
      <c r="J148" s="363" t="s">
        <v>586</v>
      </c>
      <c r="K148" s="785">
        <v>5400000</v>
      </c>
      <c r="L148" s="368"/>
      <c r="M148" s="361"/>
      <c r="N148" s="365"/>
      <c r="O148" s="1281"/>
    </row>
    <row r="149" spans="1:15" s="366" customFormat="1" ht="31.2" x14ac:dyDescent="0.3">
      <c r="A149" s="388"/>
      <c r="B149" s="459" t="s">
        <v>657</v>
      </c>
      <c r="C149" s="387" t="s">
        <v>1148</v>
      </c>
      <c r="D149" s="365"/>
      <c r="E149" s="365"/>
      <c r="F149" s="365"/>
      <c r="G149" s="365"/>
      <c r="H149" s="365"/>
      <c r="I149" s="452" t="s">
        <v>1252</v>
      </c>
      <c r="J149" s="363" t="s">
        <v>586</v>
      </c>
      <c r="K149" s="785">
        <f>59000+351000</f>
        <v>410000</v>
      </c>
      <c r="L149" s="368"/>
      <c r="M149" s="361"/>
      <c r="N149" s="365"/>
      <c r="O149" s="1282"/>
    </row>
    <row r="150" spans="1:15" s="366" customFormat="1" ht="31.2" x14ac:dyDescent="0.3">
      <c r="A150" s="388"/>
      <c r="B150" s="181" t="s">
        <v>660</v>
      </c>
      <c r="C150" s="387" t="s">
        <v>1148</v>
      </c>
      <c r="D150" s="365"/>
      <c r="E150" s="365"/>
      <c r="F150" s="365"/>
      <c r="G150" s="365"/>
      <c r="H150" s="365"/>
      <c r="I150" s="452" t="s">
        <v>1358</v>
      </c>
      <c r="J150" s="363" t="s">
        <v>586</v>
      </c>
      <c r="K150" s="785">
        <f>50000+51000</f>
        <v>101000</v>
      </c>
      <c r="L150" s="368"/>
      <c r="M150" s="361">
        <v>47090</v>
      </c>
      <c r="N150" s="365"/>
      <c r="O150" s="1281"/>
    </row>
    <row r="151" spans="1:15" s="366" customFormat="1" ht="31.2" hidden="1" x14ac:dyDescent="0.3">
      <c r="A151" s="388"/>
      <c r="B151" s="459" t="s">
        <v>660</v>
      </c>
      <c r="C151" s="387" t="s">
        <v>1148</v>
      </c>
      <c r="D151" s="365"/>
      <c r="E151" s="365"/>
      <c r="F151" s="365"/>
      <c r="G151" s="365"/>
      <c r="H151" s="365"/>
      <c r="I151" s="452" t="s">
        <v>661</v>
      </c>
      <c r="J151" s="363" t="s">
        <v>586</v>
      </c>
      <c r="K151" s="785"/>
      <c r="L151" s="368"/>
      <c r="M151" s="361"/>
      <c r="N151" s="365"/>
      <c r="O151" s="1282"/>
    </row>
    <row r="152" spans="1:15" s="366" customFormat="1" ht="15.6" x14ac:dyDescent="0.3">
      <c r="A152" s="388"/>
      <c r="B152" s="459" t="s">
        <v>663</v>
      </c>
      <c r="C152" s="387" t="s">
        <v>1148</v>
      </c>
      <c r="D152" s="365"/>
      <c r="E152" s="365"/>
      <c r="F152" s="365"/>
      <c r="G152" s="365"/>
      <c r="H152" s="365"/>
      <c r="I152" s="452" t="s">
        <v>1253</v>
      </c>
      <c r="J152" s="363" t="s">
        <v>586</v>
      </c>
      <c r="K152" s="785">
        <f>360000+206000</f>
        <v>566000</v>
      </c>
      <c r="L152" s="368"/>
      <c r="M152" s="361">
        <f>171000+390000</f>
        <v>561000</v>
      </c>
      <c r="N152" s="365"/>
      <c r="O152" s="1282"/>
    </row>
    <row r="153" spans="1:15" s="366" customFormat="1" ht="31.2" x14ac:dyDescent="0.3">
      <c r="A153" s="388"/>
      <c r="B153" s="459" t="s">
        <v>666</v>
      </c>
      <c r="C153" s="387" t="s">
        <v>1148</v>
      </c>
      <c r="D153" s="365"/>
      <c r="E153" s="365"/>
      <c r="F153" s="365"/>
      <c r="G153" s="365"/>
      <c r="H153" s="365"/>
      <c r="I153" s="452" t="s">
        <v>1254</v>
      </c>
      <c r="J153" s="363" t="s">
        <v>528</v>
      </c>
      <c r="K153" s="785">
        <f>500000-50000</f>
        <v>450000</v>
      </c>
      <c r="L153" s="368"/>
      <c r="M153" s="361"/>
      <c r="N153" s="365"/>
      <c r="O153" s="1282"/>
    </row>
    <row r="154" spans="1:15" s="366" customFormat="1" ht="15.6" x14ac:dyDescent="0.3">
      <c r="A154" s="388"/>
      <c r="B154" s="459" t="s">
        <v>669</v>
      </c>
      <c r="C154" s="387" t="s">
        <v>1148</v>
      </c>
      <c r="D154" s="365"/>
      <c r="E154" s="365"/>
      <c r="F154" s="365"/>
      <c r="G154" s="365"/>
      <c r="H154" s="365"/>
      <c r="I154" s="452" t="s">
        <v>1255</v>
      </c>
      <c r="J154" s="363" t="s">
        <v>586</v>
      </c>
      <c r="K154" s="785">
        <v>150000</v>
      </c>
      <c r="L154" s="368"/>
      <c r="M154" s="361"/>
      <c r="N154" s="365"/>
      <c r="O154" s="1282"/>
    </row>
    <row r="155" spans="1:15" s="366" customFormat="1" ht="46.8" x14ac:dyDescent="0.3">
      <c r="A155" s="388"/>
      <c r="B155" s="459" t="s">
        <v>672</v>
      </c>
      <c r="C155" s="387" t="s">
        <v>1148</v>
      </c>
      <c r="D155" s="365"/>
      <c r="E155" s="365"/>
      <c r="F155" s="365"/>
      <c r="G155" s="365"/>
      <c r="H155" s="365"/>
      <c r="I155" s="452" t="s">
        <v>1256</v>
      </c>
      <c r="J155" s="363" t="s">
        <v>586</v>
      </c>
      <c r="K155" s="785">
        <v>106000</v>
      </c>
      <c r="L155" s="368"/>
      <c r="M155" s="361"/>
      <c r="N155" s="365"/>
      <c r="O155" s="1282"/>
    </row>
    <row r="156" spans="1:15" s="366" customFormat="1" ht="31.2" hidden="1" x14ac:dyDescent="0.3">
      <c r="A156" s="388"/>
      <c r="B156" s="519" t="s">
        <v>675</v>
      </c>
      <c r="C156" s="767" t="s">
        <v>1148</v>
      </c>
      <c r="D156" s="482"/>
      <c r="E156" s="482"/>
      <c r="F156" s="482"/>
      <c r="G156" s="482"/>
      <c r="H156" s="482"/>
      <c r="I156" s="480" t="s">
        <v>1257</v>
      </c>
      <c r="J156" s="363" t="s">
        <v>586</v>
      </c>
      <c r="K156" s="577"/>
      <c r="L156" s="368"/>
      <c r="M156" s="361">
        <f>183800-183800</f>
        <v>0</v>
      </c>
      <c r="N156" s="365"/>
      <c r="O156" s="1282"/>
    </row>
    <row r="157" spans="1:15" s="532" customFormat="1" ht="31.2" x14ac:dyDescent="0.3">
      <c r="A157" s="572"/>
      <c r="B157" s="573" t="s">
        <v>675</v>
      </c>
      <c r="C157" s="767" t="s">
        <v>1163</v>
      </c>
      <c r="D157" s="574"/>
      <c r="E157" s="574"/>
      <c r="F157" s="574"/>
      <c r="G157" s="574"/>
      <c r="H157" s="574"/>
      <c r="I157" s="575" t="s">
        <v>1257</v>
      </c>
      <c r="J157" s="576" t="s">
        <v>586</v>
      </c>
      <c r="K157" s="577">
        <v>4966877.4000000004</v>
      </c>
      <c r="L157" s="368"/>
      <c r="M157" s="361">
        <f>182571.51+362696.52</f>
        <v>545268.03</v>
      </c>
      <c r="N157" s="368"/>
      <c r="O157" s="1282"/>
    </row>
    <row r="158" spans="1:15" s="366" customFormat="1" ht="46.8" hidden="1" x14ac:dyDescent="0.3">
      <c r="A158" s="388"/>
      <c r="B158" s="459" t="s">
        <v>681</v>
      </c>
      <c r="C158" s="767" t="s">
        <v>1148</v>
      </c>
      <c r="D158" s="365"/>
      <c r="E158" s="365"/>
      <c r="F158" s="365"/>
      <c r="G158" s="365"/>
      <c r="H158" s="365"/>
      <c r="I158" s="452" t="s">
        <v>682</v>
      </c>
      <c r="J158" s="363" t="s">
        <v>586</v>
      </c>
      <c r="K158" s="785">
        <v>0</v>
      </c>
      <c r="L158" s="368"/>
      <c r="M158" s="361"/>
      <c r="N158" s="365"/>
      <c r="O158" s="1282"/>
    </row>
    <row r="159" spans="1:15" s="366" customFormat="1" ht="24.75" customHeight="1" x14ac:dyDescent="0.3">
      <c r="A159" s="388"/>
      <c r="B159" s="1369" t="s">
        <v>681</v>
      </c>
      <c r="C159" s="1372" t="s">
        <v>1163</v>
      </c>
      <c r="D159" s="365"/>
      <c r="E159" s="365"/>
      <c r="F159" s="365"/>
      <c r="G159" s="365"/>
      <c r="H159" s="365"/>
      <c r="I159" s="1295" t="s">
        <v>1258</v>
      </c>
      <c r="J159" s="363"/>
      <c r="K159" s="785">
        <f>K160+K161</f>
        <v>3176057.52</v>
      </c>
      <c r="L159" s="368"/>
      <c r="M159" s="361"/>
      <c r="N159" s="365"/>
      <c r="O159" s="1281"/>
    </row>
    <row r="160" spans="1:15" s="366" customFormat="1" ht="20.25" customHeight="1" x14ac:dyDescent="0.3">
      <c r="A160" s="388"/>
      <c r="B160" s="1370"/>
      <c r="C160" s="1373"/>
      <c r="D160" s="658"/>
      <c r="E160" s="658"/>
      <c r="F160" s="658"/>
      <c r="G160" s="658"/>
      <c r="H160" s="658"/>
      <c r="I160" s="1374"/>
      <c r="J160" s="363" t="s">
        <v>586</v>
      </c>
      <c r="K160" s="785">
        <f>3176057.52-2000000</f>
        <v>1176057.52</v>
      </c>
      <c r="L160" s="368"/>
      <c r="M160" s="361">
        <v>0</v>
      </c>
      <c r="N160" s="365"/>
      <c r="O160" s="1283"/>
    </row>
    <row r="161" spans="1:15" s="366" customFormat="1" ht="20.25" customHeight="1" x14ac:dyDescent="0.3">
      <c r="A161" s="388"/>
      <c r="B161" s="1371"/>
      <c r="C161" s="1348"/>
      <c r="D161" s="658"/>
      <c r="E161" s="658"/>
      <c r="F161" s="658"/>
      <c r="G161" s="658"/>
      <c r="H161" s="658"/>
      <c r="I161" s="1296"/>
      <c r="J161" s="363" t="s">
        <v>813</v>
      </c>
      <c r="K161" s="785">
        <v>2000000</v>
      </c>
      <c r="L161" s="368"/>
      <c r="M161" s="361">
        <v>1000000</v>
      </c>
      <c r="N161" s="365"/>
      <c r="O161" s="761"/>
    </row>
    <row r="162" spans="1:15" s="366" customFormat="1" ht="15.6" x14ac:dyDescent="0.3">
      <c r="A162" s="388"/>
      <c r="B162" s="459" t="s">
        <v>852</v>
      </c>
      <c r="C162" s="387" t="s">
        <v>1105</v>
      </c>
      <c r="D162" s="365"/>
      <c r="E162" s="365"/>
      <c r="F162" s="365"/>
      <c r="G162" s="365"/>
      <c r="H162" s="365"/>
      <c r="I162" s="452" t="s">
        <v>1314</v>
      </c>
      <c r="J162" s="363" t="s">
        <v>613</v>
      </c>
      <c r="K162" s="785">
        <v>80000</v>
      </c>
      <c r="L162" s="368"/>
      <c r="M162" s="361"/>
      <c r="N162" s="365"/>
      <c r="O162" s="1280" t="s">
        <v>968</v>
      </c>
    </row>
    <row r="163" spans="1:15" s="366" customFormat="1" ht="15.6" x14ac:dyDescent="0.3">
      <c r="A163" s="388"/>
      <c r="B163" s="459" t="s">
        <v>855</v>
      </c>
      <c r="C163" s="387" t="s">
        <v>1105</v>
      </c>
      <c r="D163" s="365"/>
      <c r="E163" s="365"/>
      <c r="F163" s="365"/>
      <c r="G163" s="365"/>
      <c r="H163" s="365"/>
      <c r="I163" s="452" t="s">
        <v>1315</v>
      </c>
      <c r="J163" s="363" t="s">
        <v>613</v>
      </c>
      <c r="K163" s="785">
        <v>50000</v>
      </c>
      <c r="L163" s="368"/>
      <c r="M163" s="361"/>
      <c r="N163" s="365"/>
      <c r="O163" s="1282"/>
    </row>
    <row r="164" spans="1:15" s="366" customFormat="1" ht="15.6" x14ac:dyDescent="0.3">
      <c r="A164" s="388"/>
      <c r="B164" s="459" t="s">
        <v>858</v>
      </c>
      <c r="C164" s="387" t="s">
        <v>1105</v>
      </c>
      <c r="D164" s="365"/>
      <c r="E164" s="365"/>
      <c r="F164" s="365"/>
      <c r="G164" s="365"/>
      <c r="H164" s="365"/>
      <c r="I164" s="452" t="s">
        <v>1316</v>
      </c>
      <c r="J164" s="363" t="s">
        <v>613</v>
      </c>
      <c r="K164" s="785">
        <v>20000</v>
      </c>
      <c r="L164" s="368"/>
      <c r="M164" s="361">
        <v>20000</v>
      </c>
      <c r="N164" s="365"/>
      <c r="O164" s="1283"/>
    </row>
    <row r="165" spans="1:15" s="433" customFormat="1" ht="18" x14ac:dyDescent="0.35">
      <c r="A165" s="425">
        <v>14</v>
      </c>
      <c r="B165" s="426" t="s">
        <v>559</v>
      </c>
      <c r="C165" s="427"/>
      <c r="D165" s="428"/>
      <c r="E165" s="428"/>
      <c r="F165" s="428"/>
      <c r="G165" s="428"/>
      <c r="H165" s="428"/>
      <c r="I165" s="429" t="s">
        <v>1349</v>
      </c>
      <c r="J165" s="430"/>
      <c r="K165" s="792">
        <f>K168+K169+K171+K170+K166+K167</f>
        <v>2510229</v>
      </c>
      <c r="L165" s="428"/>
      <c r="M165" s="792">
        <f>M168+M169+M171+M170+M166+M167</f>
        <v>1826518.98</v>
      </c>
      <c r="N165" s="428"/>
      <c r="O165" s="432"/>
    </row>
    <row r="166" spans="1:15" s="433" customFormat="1" ht="18" x14ac:dyDescent="0.35">
      <c r="A166" s="425"/>
      <c r="B166" s="521" t="s">
        <v>709</v>
      </c>
      <c r="C166" s="767" t="s">
        <v>1101</v>
      </c>
      <c r="D166" s="365"/>
      <c r="E166" s="365"/>
      <c r="F166" s="365"/>
      <c r="G166" s="365"/>
      <c r="H166" s="365"/>
      <c r="I166" s="452" t="s">
        <v>1268</v>
      </c>
      <c r="J166" s="363" t="s">
        <v>586</v>
      </c>
      <c r="K166" s="785">
        <v>100000</v>
      </c>
      <c r="L166" s="428"/>
      <c r="M166" s="792"/>
      <c r="N166" s="428"/>
      <c r="O166" s="520"/>
    </row>
    <row r="167" spans="1:15" s="433" customFormat="1" ht="18" x14ac:dyDescent="0.35">
      <c r="A167" s="425"/>
      <c r="B167" s="466" t="s">
        <v>712</v>
      </c>
      <c r="C167" s="767" t="s">
        <v>1101</v>
      </c>
      <c r="D167" s="365"/>
      <c r="E167" s="365"/>
      <c r="F167" s="365"/>
      <c r="G167" s="365"/>
      <c r="H167" s="365"/>
      <c r="I167" s="452" t="s">
        <v>1361</v>
      </c>
      <c r="J167" s="363" t="s">
        <v>586</v>
      </c>
      <c r="K167" s="785">
        <f>3500000-1429771</f>
        <v>2070229</v>
      </c>
      <c r="L167" s="428"/>
      <c r="M167" s="787">
        <v>1826518.98</v>
      </c>
      <c r="N167" s="428"/>
      <c r="O167" s="520"/>
    </row>
    <row r="168" spans="1:15" s="366" customFormat="1" ht="15.6" x14ac:dyDescent="0.3">
      <c r="A168" s="388"/>
      <c r="B168" s="534" t="s">
        <v>715</v>
      </c>
      <c r="C168" s="767" t="s">
        <v>1101</v>
      </c>
      <c r="D168" s="365"/>
      <c r="E168" s="365"/>
      <c r="F168" s="365"/>
      <c r="G168" s="365"/>
      <c r="H168" s="365"/>
      <c r="I168" s="452" t="s">
        <v>1269</v>
      </c>
      <c r="J168" s="363" t="s">
        <v>586</v>
      </c>
      <c r="K168" s="785">
        <v>200000</v>
      </c>
      <c r="L168" s="368"/>
      <c r="M168" s="368"/>
      <c r="N168" s="365"/>
      <c r="O168" s="1380" t="s">
        <v>151</v>
      </c>
    </row>
    <row r="169" spans="1:15" s="366" customFormat="1" ht="15.6" x14ac:dyDescent="0.3">
      <c r="A169" s="388"/>
      <c r="B169" s="459" t="s">
        <v>718</v>
      </c>
      <c r="C169" s="767" t="s">
        <v>1101</v>
      </c>
      <c r="D169" s="365"/>
      <c r="E169" s="365"/>
      <c r="F169" s="365"/>
      <c r="G169" s="365"/>
      <c r="H169" s="365"/>
      <c r="I169" s="452" t="s">
        <v>1270</v>
      </c>
      <c r="J169" s="363" t="s">
        <v>586</v>
      </c>
      <c r="K169" s="577">
        <v>40000</v>
      </c>
      <c r="L169" s="368"/>
      <c r="M169" s="368"/>
      <c r="N169" s="365"/>
      <c r="O169" s="1381"/>
    </row>
    <row r="170" spans="1:15" s="366" customFormat="1" ht="15.6" x14ac:dyDescent="0.3">
      <c r="A170" s="388"/>
      <c r="B170" s="521" t="s">
        <v>1205</v>
      </c>
      <c r="C170" s="767" t="s">
        <v>1101</v>
      </c>
      <c r="D170" s="365"/>
      <c r="E170" s="365"/>
      <c r="F170" s="365"/>
      <c r="G170" s="365"/>
      <c r="H170" s="365"/>
      <c r="I170" s="484" t="s">
        <v>1271</v>
      </c>
      <c r="J170" s="389" t="s">
        <v>586</v>
      </c>
      <c r="K170" s="786">
        <v>100000</v>
      </c>
      <c r="L170" s="368"/>
      <c r="M170" s="672"/>
      <c r="N170" s="365"/>
      <c r="O170" s="581"/>
    </row>
    <row r="171" spans="1:15" s="366" customFormat="1" ht="15.6" hidden="1" x14ac:dyDescent="0.3">
      <c r="A171" s="388"/>
      <c r="B171" s="521" t="s">
        <v>1205</v>
      </c>
      <c r="C171" s="767" t="s">
        <v>1159</v>
      </c>
      <c r="D171" s="365"/>
      <c r="E171" s="365"/>
      <c r="F171" s="365"/>
      <c r="G171" s="365"/>
      <c r="H171" s="365"/>
      <c r="I171" s="389" t="s">
        <v>1206</v>
      </c>
      <c r="J171" s="389" t="s">
        <v>813</v>
      </c>
      <c r="K171" s="582"/>
      <c r="L171" s="365"/>
      <c r="M171" s="486"/>
      <c r="N171" s="365"/>
      <c r="O171" s="761" t="s">
        <v>1136</v>
      </c>
    </row>
    <row r="172" spans="1:15" ht="21" x14ac:dyDescent="0.4">
      <c r="A172" s="401"/>
      <c r="B172" s="402" t="s">
        <v>1149</v>
      </c>
      <c r="C172" s="403"/>
      <c r="D172" s="401"/>
      <c r="E172" s="401"/>
      <c r="F172" s="401"/>
      <c r="G172" s="401"/>
      <c r="H172" s="401"/>
      <c r="I172" s="404"/>
      <c r="J172" s="405"/>
      <c r="K172" s="671">
        <f>K21+K34+K36+K47+K58+K65+K67+K71+K77+K83+K111+K121+K146+K165</f>
        <v>380002698.45000011</v>
      </c>
      <c r="L172" s="401"/>
      <c r="M172" s="406">
        <f>M21+M34+M36+M47+M58+M65+M67+M71+M77+M83+M111+M121+M146+M165</f>
        <v>121682255.52</v>
      </c>
      <c r="N172" s="400"/>
      <c r="O172" s="400"/>
    </row>
    <row r="173" spans="1:15" ht="15.6" x14ac:dyDescent="0.3">
      <c r="A173" s="146"/>
      <c r="B173" s="146"/>
      <c r="C173" s="146"/>
      <c r="D173" s="146"/>
      <c r="E173" s="146"/>
      <c r="F173" s="146"/>
      <c r="G173" s="146"/>
      <c r="H173" s="146"/>
      <c r="I173" s="358"/>
      <c r="J173" s="360"/>
      <c r="K173" s="672"/>
      <c r="L173" s="146"/>
      <c r="M173" s="146"/>
      <c r="N173" s="146"/>
      <c r="O173" s="146"/>
    </row>
    <row r="174" spans="1:15" s="375" customFormat="1" ht="31.2" x14ac:dyDescent="0.3">
      <c r="A174" s="1382">
        <v>1</v>
      </c>
      <c r="B174" s="1366" t="s">
        <v>1355</v>
      </c>
      <c r="C174" s="395" t="s">
        <v>1110</v>
      </c>
      <c r="D174" s="396"/>
      <c r="E174" s="396"/>
      <c r="F174" s="396"/>
      <c r="G174" s="396"/>
      <c r="H174" s="396"/>
      <c r="I174" s="397" t="s">
        <v>1287</v>
      </c>
      <c r="J174" s="371"/>
      <c r="K174" s="793">
        <f>K175+K176</f>
        <v>573397.05000000005</v>
      </c>
      <c r="L174" s="368"/>
      <c r="M174" s="793">
        <f>M175+M176</f>
        <v>199147.02000000002</v>
      </c>
      <c r="N174" s="373"/>
      <c r="O174" s="374" t="s">
        <v>151</v>
      </c>
    </row>
    <row r="175" spans="1:15" s="375" customFormat="1" ht="15.6" x14ac:dyDescent="0.3">
      <c r="A175" s="1383"/>
      <c r="B175" s="1367"/>
      <c r="C175" s="390"/>
      <c r="D175" s="394"/>
      <c r="E175" s="394"/>
      <c r="F175" s="394"/>
      <c r="G175" s="394"/>
      <c r="H175" s="394"/>
      <c r="I175" s="391"/>
      <c r="J175" s="371" t="s">
        <v>162</v>
      </c>
      <c r="K175" s="577">
        <f>541284-2.95</f>
        <v>541281.05000000005</v>
      </c>
      <c r="L175" s="794"/>
      <c r="M175" s="379">
        <f>18151.56+5481.77+24149.77+5376.57+8916.96+27412.56+8278.59+51009.05+14196.73+27783+8390.46</f>
        <v>199147.02000000002</v>
      </c>
      <c r="N175" s="378"/>
      <c r="O175" s="380"/>
    </row>
    <row r="176" spans="1:15" s="375" customFormat="1" ht="76.5" customHeight="1" x14ac:dyDescent="0.3">
      <c r="A176" s="1384"/>
      <c r="B176" s="1368"/>
      <c r="C176" s="392"/>
      <c r="D176" s="377"/>
      <c r="E176" s="377"/>
      <c r="F176" s="377"/>
      <c r="G176" s="377"/>
      <c r="H176" s="377"/>
      <c r="I176" s="393"/>
      <c r="J176" s="371" t="s">
        <v>586</v>
      </c>
      <c r="K176" s="577">
        <v>32116</v>
      </c>
      <c r="L176" s="794"/>
      <c r="M176" s="379"/>
      <c r="N176" s="378"/>
      <c r="O176" s="380"/>
    </row>
    <row r="177" spans="1:16" s="375" customFormat="1" ht="55.5" customHeight="1" x14ac:dyDescent="0.3">
      <c r="A177" s="749">
        <v>2</v>
      </c>
      <c r="B177" s="750" t="s">
        <v>1385</v>
      </c>
      <c r="C177" s="751" t="s">
        <v>1386</v>
      </c>
      <c r="D177" s="752"/>
      <c r="E177" s="752"/>
      <c r="F177" s="752"/>
      <c r="G177" s="752"/>
      <c r="H177" s="752"/>
      <c r="I177" s="753" t="s">
        <v>1387</v>
      </c>
      <c r="J177" s="371" t="s">
        <v>813</v>
      </c>
      <c r="K177" s="793">
        <v>11787484</v>
      </c>
      <c r="L177" s="574"/>
      <c r="M177" s="601"/>
      <c r="N177" s="588"/>
      <c r="O177" s="374"/>
    </row>
    <row r="178" spans="1:16" s="375" customFormat="1" ht="46.8" x14ac:dyDescent="0.3">
      <c r="A178" s="777">
        <v>3</v>
      </c>
      <c r="B178" s="584" t="s">
        <v>1104</v>
      </c>
      <c r="C178" s="779" t="s">
        <v>1103</v>
      </c>
      <c r="D178" s="586"/>
      <c r="E178" s="586"/>
      <c r="F178" s="586"/>
      <c r="G178" s="586"/>
      <c r="H178" s="586"/>
      <c r="I178" s="587" t="s">
        <v>1265</v>
      </c>
      <c r="J178" s="371" t="s">
        <v>528</v>
      </c>
      <c r="K178" s="793">
        <f>87107200-24.78</f>
        <v>87107175.219999999</v>
      </c>
      <c r="L178" s="574"/>
      <c r="M178" s="589">
        <f>14417772.06+7298261.36+7240617.85</f>
        <v>28956651.270000003</v>
      </c>
      <c r="N178" s="588"/>
      <c r="O178" s="374" t="s">
        <v>151</v>
      </c>
    </row>
    <row r="179" spans="1:16" s="366" customFormat="1" ht="49.5" customHeight="1" x14ac:dyDescent="0.3">
      <c r="A179" s="777">
        <v>4</v>
      </c>
      <c r="B179" s="590" t="s">
        <v>645</v>
      </c>
      <c r="C179" s="395" t="s">
        <v>1086</v>
      </c>
      <c r="D179" s="591"/>
      <c r="E179" s="592"/>
      <c r="F179" s="592"/>
      <c r="G179" s="592"/>
      <c r="H179" s="593"/>
      <c r="I179" s="594" t="s">
        <v>1245</v>
      </c>
      <c r="J179" s="371" t="s">
        <v>586</v>
      </c>
      <c r="K179" s="793">
        <f>147000+58.82-130391.82</f>
        <v>16667</v>
      </c>
      <c r="L179" s="532"/>
      <c r="M179" s="361"/>
      <c r="N179" s="373"/>
      <c r="O179" s="595" t="s">
        <v>151</v>
      </c>
    </row>
    <row r="180" spans="1:16" s="375" customFormat="1" ht="33" customHeight="1" x14ac:dyDescent="0.3">
      <c r="A180" s="596">
        <v>5</v>
      </c>
      <c r="B180" s="423" t="s">
        <v>893</v>
      </c>
      <c r="C180" s="395" t="s">
        <v>1090</v>
      </c>
      <c r="D180" s="597"/>
      <c r="E180" s="597"/>
      <c r="F180" s="597"/>
      <c r="G180" s="597"/>
      <c r="H180" s="597"/>
      <c r="I180" s="477" t="s">
        <v>1323</v>
      </c>
      <c r="J180" s="371" t="s">
        <v>764</v>
      </c>
      <c r="K180" s="795">
        <f>1241900-44</f>
        <v>1241856</v>
      </c>
      <c r="L180" s="532"/>
      <c r="M180" s="598">
        <v>620928</v>
      </c>
      <c r="N180" s="373"/>
      <c r="O180" s="595" t="s">
        <v>1084</v>
      </c>
      <c r="P180" s="599"/>
    </row>
    <row r="181" spans="1:16" s="375" customFormat="1" ht="46.8" x14ac:dyDescent="0.3">
      <c r="A181" s="596">
        <v>6</v>
      </c>
      <c r="B181" s="423" t="s">
        <v>896</v>
      </c>
      <c r="C181" s="395" t="s">
        <v>1091</v>
      </c>
      <c r="D181" s="597"/>
      <c r="E181" s="597"/>
      <c r="F181" s="597"/>
      <c r="G181" s="597"/>
      <c r="H181" s="597"/>
      <c r="I181" s="477" t="s">
        <v>1324</v>
      </c>
      <c r="J181" s="371" t="s">
        <v>764</v>
      </c>
      <c r="K181" s="795">
        <f>55100-2.48</f>
        <v>55097.52</v>
      </c>
      <c r="L181" s="532"/>
      <c r="M181" s="598">
        <v>34095</v>
      </c>
      <c r="N181" s="373"/>
      <c r="O181" s="595" t="s">
        <v>1084</v>
      </c>
      <c r="P181" s="599"/>
    </row>
    <row r="182" spans="1:16" s="375" customFormat="1" ht="15.6" x14ac:dyDescent="0.3">
      <c r="A182" s="1375">
        <v>7</v>
      </c>
      <c r="B182" s="1385" t="s">
        <v>873</v>
      </c>
      <c r="C182" s="779" t="s">
        <v>1090</v>
      </c>
      <c r="D182" s="597"/>
      <c r="E182" s="597"/>
      <c r="F182" s="597"/>
      <c r="G182" s="597"/>
      <c r="H182" s="597"/>
      <c r="I182" s="477" t="s">
        <v>1327</v>
      </c>
      <c r="J182" s="371"/>
      <c r="K182" s="795">
        <f>K183+K184</f>
        <v>1750191.15</v>
      </c>
      <c r="L182" s="532"/>
      <c r="M182" s="795">
        <f>M183+M184</f>
        <v>574714.25999999989</v>
      </c>
      <c r="N182" s="588"/>
      <c r="O182" s="595" t="s">
        <v>1084</v>
      </c>
      <c r="P182" s="600"/>
    </row>
    <row r="183" spans="1:16" s="375" customFormat="1" ht="15.6" x14ac:dyDescent="0.3">
      <c r="A183" s="1364"/>
      <c r="B183" s="1386"/>
      <c r="C183" s="1388"/>
      <c r="D183" s="597"/>
      <c r="E183" s="597"/>
      <c r="F183" s="597"/>
      <c r="G183" s="597"/>
      <c r="H183" s="597"/>
      <c r="I183" s="1389"/>
      <c r="J183" s="371" t="s">
        <v>162</v>
      </c>
      <c r="K183" s="785">
        <f>1635414-8.85-350</f>
        <v>1635055.15</v>
      </c>
      <c r="L183" s="532"/>
      <c r="M183" s="601">
        <f>71790.37+2972.2+22971.77+43749.18+352.62+26090+4450+14249.64+13428.56+119347.71+44706.09+88494.97-2638.65+26833.86</f>
        <v>476798.31999999995</v>
      </c>
      <c r="N183" s="588"/>
      <c r="O183" s="595"/>
      <c r="P183" s="600"/>
    </row>
    <row r="184" spans="1:16" s="375" customFormat="1" ht="15.6" x14ac:dyDescent="0.3">
      <c r="A184" s="1365"/>
      <c r="B184" s="1387"/>
      <c r="C184" s="1379"/>
      <c r="D184" s="597"/>
      <c r="E184" s="597"/>
      <c r="F184" s="597"/>
      <c r="G184" s="597"/>
      <c r="H184" s="597"/>
      <c r="I184" s="1390"/>
      <c r="J184" s="371" t="s">
        <v>586</v>
      </c>
      <c r="K184" s="785">
        <f>114786+350</f>
        <v>115136</v>
      </c>
      <c r="L184" s="532"/>
      <c r="M184" s="601">
        <f>26250+4000+28801.64+8344.79+350+30169.51</f>
        <v>97915.939999999988</v>
      </c>
      <c r="N184" s="588"/>
      <c r="O184" s="595"/>
      <c r="P184" s="600"/>
    </row>
    <row r="185" spans="1:16" s="375" customFormat="1" ht="46.8" x14ac:dyDescent="0.3">
      <c r="A185" s="596">
        <v>8</v>
      </c>
      <c r="B185" s="602" t="s">
        <v>899</v>
      </c>
      <c r="C185" s="779" t="s">
        <v>1090</v>
      </c>
      <c r="D185" s="603"/>
      <c r="E185" s="586"/>
      <c r="F185" s="586"/>
      <c r="G185" s="586"/>
      <c r="H185" s="604"/>
      <c r="I185" s="477" t="s">
        <v>1325</v>
      </c>
      <c r="J185" s="371" t="s">
        <v>764</v>
      </c>
      <c r="K185" s="795">
        <f>15024600+54.55</f>
        <v>15024654.550000001</v>
      </c>
      <c r="L185" s="532"/>
      <c r="M185" s="589">
        <f>1902501+372964.26+186482.16+1933297+186482.1+927384+213822.55</f>
        <v>5722933.0699999994</v>
      </c>
      <c r="N185" s="588"/>
      <c r="O185" s="595" t="s">
        <v>1084</v>
      </c>
      <c r="P185" s="599"/>
    </row>
    <row r="186" spans="1:16" s="366" customFormat="1" ht="31.2" hidden="1" x14ac:dyDescent="0.3">
      <c r="A186" s="596">
        <v>8</v>
      </c>
      <c r="B186" s="605" t="s">
        <v>1032</v>
      </c>
      <c r="C186" s="395" t="s">
        <v>1111</v>
      </c>
      <c r="D186" s="592"/>
      <c r="E186" s="592"/>
      <c r="F186" s="592"/>
      <c r="G186" s="592"/>
      <c r="H186" s="592"/>
      <c r="I186" s="477" t="s">
        <v>1112</v>
      </c>
      <c r="J186" s="371" t="s">
        <v>586</v>
      </c>
      <c r="K186" s="795"/>
      <c r="L186" s="532"/>
      <c r="M186" s="598"/>
      <c r="O186" s="595" t="s">
        <v>151</v>
      </c>
    </row>
    <row r="187" spans="1:16" s="366" customFormat="1" ht="31.2" hidden="1" x14ac:dyDescent="0.3">
      <c r="A187" s="596">
        <v>8</v>
      </c>
      <c r="B187" s="423"/>
      <c r="C187" s="395"/>
      <c r="D187" s="592"/>
      <c r="E187" s="592"/>
      <c r="F187" s="592"/>
      <c r="G187" s="592"/>
      <c r="H187" s="592"/>
      <c r="I187" s="477"/>
      <c r="J187" s="371"/>
      <c r="K187" s="795"/>
      <c r="L187" s="532"/>
      <c r="M187" s="598"/>
      <c r="O187" s="595" t="s">
        <v>151</v>
      </c>
    </row>
    <row r="188" spans="1:16" s="366" customFormat="1" ht="31.2" x14ac:dyDescent="0.3">
      <c r="A188" s="777">
        <v>9</v>
      </c>
      <c r="B188" s="606" t="s">
        <v>1365</v>
      </c>
      <c r="C188" s="779" t="s">
        <v>1103</v>
      </c>
      <c r="D188" s="586"/>
      <c r="E188" s="586"/>
      <c r="F188" s="586"/>
      <c r="G188" s="586"/>
      <c r="H188" s="586"/>
      <c r="I188" s="587" t="s">
        <v>1366</v>
      </c>
      <c r="J188" s="371" t="s">
        <v>586</v>
      </c>
      <c r="K188" s="659">
        <f>2300000+1500000</f>
        <v>3800000</v>
      </c>
      <c r="L188" s="532"/>
      <c r="M188" s="598">
        <f>2300000</f>
        <v>2300000</v>
      </c>
      <c r="O188" s="595"/>
    </row>
    <row r="189" spans="1:16" s="366" customFormat="1" ht="62.4" x14ac:dyDescent="0.3">
      <c r="A189" s="777">
        <v>10</v>
      </c>
      <c r="B189" s="754" t="s">
        <v>1388</v>
      </c>
      <c r="C189" s="779" t="s">
        <v>1111</v>
      </c>
      <c r="D189" s="586"/>
      <c r="E189" s="586"/>
      <c r="F189" s="586"/>
      <c r="G189" s="586"/>
      <c r="H189" s="586"/>
      <c r="I189" s="587" t="s">
        <v>1389</v>
      </c>
      <c r="J189" s="371" t="s">
        <v>764</v>
      </c>
      <c r="K189" s="793">
        <v>471100</v>
      </c>
      <c r="L189" s="532"/>
      <c r="M189" s="598"/>
      <c r="O189" s="595"/>
    </row>
    <row r="190" spans="1:16" s="366" customFormat="1" ht="62.4" x14ac:dyDescent="0.3">
      <c r="A190" s="777">
        <v>11</v>
      </c>
      <c r="B190" s="606" t="s">
        <v>514</v>
      </c>
      <c r="C190" s="779" t="s">
        <v>1113</v>
      </c>
      <c r="D190" s="586"/>
      <c r="E190" s="586"/>
      <c r="F190" s="586"/>
      <c r="G190" s="586"/>
      <c r="H190" s="586"/>
      <c r="I190" s="587" t="s">
        <v>1292</v>
      </c>
      <c r="J190" s="371" t="s">
        <v>700</v>
      </c>
      <c r="K190" s="793">
        <v>2178000</v>
      </c>
      <c r="L190" s="532"/>
      <c r="M190" s="598">
        <v>1518000</v>
      </c>
      <c r="O190" s="595" t="s">
        <v>151</v>
      </c>
    </row>
    <row r="191" spans="1:16" s="366" customFormat="1" ht="31.2" x14ac:dyDescent="0.3">
      <c r="A191" s="1363">
        <v>12</v>
      </c>
      <c r="B191" s="1366" t="s">
        <v>1150</v>
      </c>
      <c r="C191" s="395" t="s">
        <v>1130</v>
      </c>
      <c r="D191" s="396"/>
      <c r="E191" s="396"/>
      <c r="F191" s="396"/>
      <c r="G191" s="396"/>
      <c r="H191" s="396"/>
      <c r="I191" s="397" t="s">
        <v>1234</v>
      </c>
      <c r="J191" s="371"/>
      <c r="K191" s="796">
        <f>K192+K193</f>
        <v>584381.05000000005</v>
      </c>
      <c r="L191" s="368"/>
      <c r="M191" s="796">
        <f>M192+M193</f>
        <v>216730.61</v>
      </c>
      <c r="N191" s="365"/>
      <c r="O191" s="374" t="s">
        <v>151</v>
      </c>
    </row>
    <row r="192" spans="1:16" s="366" customFormat="1" ht="15.6" x14ac:dyDescent="0.3">
      <c r="A192" s="1364"/>
      <c r="B192" s="1367"/>
      <c r="C192" s="390"/>
      <c r="D192" s="399"/>
      <c r="E192" s="399"/>
      <c r="F192" s="399"/>
      <c r="G192" s="399"/>
      <c r="H192" s="399"/>
      <c r="I192" s="391"/>
      <c r="J192" s="371" t="s">
        <v>162</v>
      </c>
      <c r="K192" s="797">
        <f>538299.94-18.95</f>
        <v>538280.99</v>
      </c>
      <c r="L192" s="368"/>
      <c r="M192" s="361">
        <f>25979.4+7845.78+10481.82+35807.18+13979.28+20153.79+6086.43+33773.22+10199.53+25979.4+7845.78</f>
        <v>198131.61</v>
      </c>
      <c r="N192" s="365"/>
      <c r="O192" s="380"/>
    </row>
    <row r="193" spans="1:15" s="366" customFormat="1" ht="15.6" x14ac:dyDescent="0.3">
      <c r="A193" s="1365"/>
      <c r="B193" s="1368"/>
      <c r="C193" s="392"/>
      <c r="D193" s="370"/>
      <c r="E193" s="370"/>
      <c r="F193" s="370"/>
      <c r="G193" s="370"/>
      <c r="H193" s="370"/>
      <c r="I193" s="398"/>
      <c r="J193" s="371" t="s">
        <v>586</v>
      </c>
      <c r="K193" s="797">
        <v>46100.06</v>
      </c>
      <c r="L193" s="368"/>
      <c r="M193" s="361">
        <f>8599+10000</f>
        <v>18599</v>
      </c>
      <c r="N193" s="365"/>
      <c r="O193" s="380"/>
    </row>
    <row r="194" spans="1:15" s="366" customFormat="1" ht="34.799999999999997" x14ac:dyDescent="0.3">
      <c r="A194" s="1375">
        <v>13</v>
      </c>
      <c r="B194" s="607" t="s">
        <v>1215</v>
      </c>
      <c r="C194" s="392"/>
      <c r="D194" s="370"/>
      <c r="E194" s="370"/>
      <c r="F194" s="370"/>
      <c r="G194" s="370"/>
      <c r="H194" s="370"/>
      <c r="I194" s="497"/>
      <c r="J194" s="371"/>
      <c r="K194" s="797"/>
      <c r="L194" s="368"/>
      <c r="M194" s="486"/>
      <c r="N194" s="365"/>
      <c r="O194" s="374"/>
    </row>
    <row r="195" spans="1:15" s="366" customFormat="1" ht="31.2" x14ac:dyDescent="0.3">
      <c r="A195" s="1376"/>
      <c r="B195" s="1377" t="s">
        <v>1216</v>
      </c>
      <c r="C195" s="395" t="s">
        <v>1141</v>
      </c>
      <c r="D195" s="592"/>
      <c r="E195" s="592"/>
      <c r="F195" s="592"/>
      <c r="G195" s="592"/>
      <c r="H195" s="592"/>
      <c r="I195" s="594" t="s">
        <v>1279</v>
      </c>
      <c r="J195" s="371"/>
      <c r="K195" s="796">
        <f>K196+K197</f>
        <v>573397.1</v>
      </c>
      <c r="L195" s="368"/>
      <c r="M195" s="796">
        <f>M196+M197</f>
        <v>283591.15999999997</v>
      </c>
      <c r="N195" s="365"/>
      <c r="O195" s="374" t="s">
        <v>151</v>
      </c>
    </row>
    <row r="196" spans="1:15" s="366" customFormat="1" ht="15.6" x14ac:dyDescent="0.3">
      <c r="A196" s="1376"/>
      <c r="B196" s="1377"/>
      <c r="C196" s="1378"/>
      <c r="D196" s="592"/>
      <c r="E196" s="592"/>
      <c r="F196" s="592"/>
      <c r="G196" s="592"/>
      <c r="H196" s="592"/>
      <c r="I196" s="1392"/>
      <c r="J196" s="371" t="s">
        <v>162</v>
      </c>
      <c r="K196" s="797">
        <f>539686.9-2.9</f>
        <v>539684</v>
      </c>
      <c r="L196" s="368"/>
      <c r="M196" s="361">
        <f>29652.04+8954.91+3932.34+57670.74+5700+18604.14+38547.65+11641.39+22413.32+78216.34</f>
        <v>275332.87</v>
      </c>
      <c r="N196" s="365"/>
      <c r="O196" s="380"/>
    </row>
    <row r="197" spans="1:15" s="366" customFormat="1" ht="15.6" x14ac:dyDescent="0.3">
      <c r="A197" s="1376"/>
      <c r="B197" s="1377"/>
      <c r="C197" s="1379"/>
      <c r="D197" s="592"/>
      <c r="E197" s="592"/>
      <c r="F197" s="592"/>
      <c r="G197" s="592"/>
      <c r="H197" s="592"/>
      <c r="I197" s="1393"/>
      <c r="J197" s="371" t="s">
        <v>586</v>
      </c>
      <c r="K197" s="797">
        <v>33713.1</v>
      </c>
      <c r="L197" s="368"/>
      <c r="M197" s="361">
        <f>1767.46+3423.81+1335.61+1731.41</f>
        <v>8258.2900000000009</v>
      </c>
      <c r="N197" s="365"/>
      <c r="O197" s="380"/>
    </row>
    <row r="198" spans="1:15" s="366" customFormat="1" ht="62.4" x14ac:dyDescent="0.3">
      <c r="A198" s="1376"/>
      <c r="B198" s="608" t="s">
        <v>1217</v>
      </c>
      <c r="C198" s="395" t="s">
        <v>1142</v>
      </c>
      <c r="D198" s="592"/>
      <c r="E198" s="592"/>
      <c r="F198" s="592"/>
      <c r="G198" s="592"/>
      <c r="H198" s="592"/>
      <c r="I198" s="594" t="s">
        <v>1305</v>
      </c>
      <c r="J198" s="371" t="s">
        <v>613</v>
      </c>
      <c r="K198" s="796">
        <f>43977400-56.79</f>
        <v>43977343.210000001</v>
      </c>
      <c r="L198" s="368"/>
      <c r="M198" s="598">
        <f>2619427.54+595333.96+2415772.19+683972.58+2501762.64+714093.95+2735760.22+679286.64+2690562.84+672144.96</f>
        <v>16308117.52</v>
      </c>
      <c r="N198" s="365"/>
      <c r="O198" s="1350" t="s">
        <v>968</v>
      </c>
    </row>
    <row r="199" spans="1:15" s="366" customFormat="1" ht="15.6" x14ac:dyDescent="0.3">
      <c r="A199" s="1376"/>
      <c r="B199" s="1377" t="s">
        <v>1218</v>
      </c>
      <c r="C199" s="395" t="s">
        <v>1105</v>
      </c>
      <c r="D199" s="592"/>
      <c r="E199" s="592"/>
      <c r="F199" s="592"/>
      <c r="G199" s="592"/>
      <c r="H199" s="592"/>
      <c r="I199" s="594" t="s">
        <v>1313</v>
      </c>
      <c r="J199" s="371"/>
      <c r="K199" s="796">
        <f>K200+K201</f>
        <v>155831249.56999999</v>
      </c>
      <c r="L199" s="368"/>
      <c r="M199" s="796">
        <f>M200+M201</f>
        <v>63318287.710000001</v>
      </c>
      <c r="N199" s="365"/>
      <c r="O199" s="1394"/>
    </row>
    <row r="200" spans="1:15" s="366" customFormat="1" ht="15.6" x14ac:dyDescent="0.3">
      <c r="A200" s="1376"/>
      <c r="B200" s="1377"/>
      <c r="C200" s="1388"/>
      <c r="D200" s="592"/>
      <c r="E200" s="592"/>
      <c r="F200" s="592"/>
      <c r="G200" s="592"/>
      <c r="H200" s="592"/>
      <c r="I200" s="1395"/>
      <c r="J200" s="371" t="s">
        <v>586</v>
      </c>
      <c r="K200" s="797"/>
      <c r="L200" s="368"/>
      <c r="M200" s="361"/>
      <c r="N200" s="365"/>
      <c r="O200" s="1394"/>
    </row>
    <row r="201" spans="1:15" s="366" customFormat="1" ht="15.6" x14ac:dyDescent="0.3">
      <c r="A201" s="1376"/>
      <c r="B201" s="1377"/>
      <c r="C201" s="1379"/>
      <c r="D201" s="592"/>
      <c r="E201" s="592"/>
      <c r="F201" s="592"/>
      <c r="G201" s="592"/>
      <c r="H201" s="592"/>
      <c r="I201" s="1393"/>
      <c r="J201" s="371" t="s">
        <v>613</v>
      </c>
      <c r="K201" s="797">
        <f>155831300-50.43</f>
        <v>155831249.56999999</v>
      </c>
      <c r="L201" s="368"/>
      <c r="M201" s="361">
        <f>9004508.92+591141.05+12556560.11+488552.18+11893748.58+540298.1+12499910.88+540211.56+690980.37+14512375.96</f>
        <v>63318287.710000001</v>
      </c>
      <c r="N201" s="365"/>
      <c r="O201" s="1394"/>
    </row>
    <row r="202" spans="1:15" s="366" customFormat="1" ht="15.6" x14ac:dyDescent="0.3">
      <c r="A202" s="1376"/>
      <c r="B202" s="1377" t="s">
        <v>1368</v>
      </c>
      <c r="C202" s="1388" t="s">
        <v>1145</v>
      </c>
      <c r="D202" s="592"/>
      <c r="E202" s="592"/>
      <c r="F202" s="592"/>
      <c r="G202" s="592"/>
      <c r="H202" s="592"/>
      <c r="I202" s="1395" t="s">
        <v>1326</v>
      </c>
      <c r="J202" s="371"/>
      <c r="K202" s="796">
        <f>K204+K205+K203</f>
        <v>7075022.9199999999</v>
      </c>
      <c r="L202" s="368"/>
      <c r="M202" s="796">
        <f>M204+M205+M203</f>
        <v>3771635.82</v>
      </c>
      <c r="N202" s="365"/>
      <c r="O202" s="1394"/>
    </row>
    <row r="203" spans="1:15" s="366" customFormat="1" ht="15.6" x14ac:dyDescent="0.3">
      <c r="A203" s="1376"/>
      <c r="B203" s="1377"/>
      <c r="C203" s="1405"/>
      <c r="D203" s="592"/>
      <c r="E203" s="592"/>
      <c r="F203" s="592"/>
      <c r="G203" s="592"/>
      <c r="H203" s="592"/>
      <c r="I203" s="1406"/>
      <c r="J203" s="371" t="s">
        <v>586</v>
      </c>
      <c r="K203" s="674">
        <v>50400</v>
      </c>
      <c r="L203" s="368"/>
      <c r="M203" s="787">
        <v>5615.36</v>
      </c>
      <c r="N203" s="365"/>
      <c r="O203" s="1394"/>
    </row>
    <row r="204" spans="1:15" s="366" customFormat="1" ht="15.6" x14ac:dyDescent="0.3">
      <c r="A204" s="1376"/>
      <c r="B204" s="1377"/>
      <c r="C204" s="1405"/>
      <c r="D204" s="592"/>
      <c r="E204" s="592"/>
      <c r="F204" s="592"/>
      <c r="G204" s="592"/>
      <c r="H204" s="592"/>
      <c r="I204" s="1406"/>
      <c r="J204" s="371" t="s">
        <v>764</v>
      </c>
      <c r="K204" s="674">
        <f>7075400+22.92-4825400-50400</f>
        <v>2199622.92</v>
      </c>
      <c r="L204" s="368"/>
      <c r="M204" s="361">
        <f>615180.58+275872.01+285664.98</f>
        <v>1176717.5699999998</v>
      </c>
      <c r="N204" s="365"/>
      <c r="O204" s="1394"/>
    </row>
    <row r="205" spans="1:15" s="366" customFormat="1" ht="15.6" x14ac:dyDescent="0.3">
      <c r="A205" s="1376"/>
      <c r="B205" s="1377"/>
      <c r="C205" s="1379"/>
      <c r="D205" s="592"/>
      <c r="E205" s="592"/>
      <c r="F205" s="592"/>
      <c r="G205" s="592"/>
      <c r="H205" s="592"/>
      <c r="I205" s="1393"/>
      <c r="J205" s="371" t="s">
        <v>613</v>
      </c>
      <c r="K205" s="797">
        <v>4825000</v>
      </c>
      <c r="L205" s="368"/>
      <c r="M205" s="361">
        <f>1295117.99+274734.8+136154.6+189158.35+527701.61+166435.54</f>
        <v>2589302.89</v>
      </c>
      <c r="N205" s="365"/>
      <c r="O205" s="1394"/>
    </row>
    <row r="206" spans="1:15" s="366" customFormat="1" ht="46.8" hidden="1" x14ac:dyDescent="0.3">
      <c r="A206" s="1376"/>
      <c r="B206" s="608" t="s">
        <v>1220</v>
      </c>
      <c r="C206" s="778" t="s">
        <v>1105</v>
      </c>
      <c r="D206" s="592"/>
      <c r="E206" s="592"/>
      <c r="F206" s="592"/>
      <c r="G206" s="592"/>
      <c r="H206" s="592"/>
      <c r="I206" s="610" t="s">
        <v>1189</v>
      </c>
      <c r="J206" s="371" t="s">
        <v>613</v>
      </c>
      <c r="K206" s="796"/>
      <c r="L206" s="368"/>
      <c r="M206" s="598"/>
      <c r="N206" s="365"/>
      <c r="O206" s="1394"/>
    </row>
    <row r="207" spans="1:15" s="366" customFormat="1" ht="15.6" x14ac:dyDescent="0.3">
      <c r="A207" s="1376"/>
      <c r="B207" s="1377" t="s">
        <v>1221</v>
      </c>
      <c r="C207" s="778" t="s">
        <v>1143</v>
      </c>
      <c r="D207" s="592"/>
      <c r="E207" s="592"/>
      <c r="F207" s="592"/>
      <c r="G207" s="592"/>
      <c r="H207" s="592"/>
      <c r="I207" s="610" t="s">
        <v>1319</v>
      </c>
      <c r="J207" s="371"/>
      <c r="K207" s="796">
        <f>K208+K209</f>
        <v>1566340</v>
      </c>
      <c r="L207" s="368"/>
      <c r="M207" s="796">
        <f>M208+M209</f>
        <v>0</v>
      </c>
      <c r="N207" s="365"/>
      <c r="O207" s="1394"/>
    </row>
    <row r="208" spans="1:15" s="366" customFormat="1" ht="15.6" x14ac:dyDescent="0.3">
      <c r="A208" s="1376"/>
      <c r="B208" s="1377"/>
      <c r="C208" s="778"/>
      <c r="D208" s="592"/>
      <c r="E208" s="592"/>
      <c r="F208" s="592"/>
      <c r="G208" s="592"/>
      <c r="H208" s="592"/>
      <c r="I208" s="610"/>
      <c r="J208" s="371" t="s">
        <v>764</v>
      </c>
      <c r="K208" s="797"/>
      <c r="L208" s="368"/>
      <c r="M208" s="361"/>
      <c r="N208" s="365"/>
      <c r="O208" s="1394"/>
    </row>
    <row r="209" spans="1:15" s="366" customFormat="1" ht="15.6" x14ac:dyDescent="0.3">
      <c r="A209" s="1376"/>
      <c r="B209" s="1377"/>
      <c r="C209" s="778"/>
      <c r="D209" s="592"/>
      <c r="E209" s="592"/>
      <c r="F209" s="592"/>
      <c r="G209" s="592"/>
      <c r="H209" s="592"/>
      <c r="I209" s="610"/>
      <c r="J209" s="371" t="s">
        <v>613</v>
      </c>
      <c r="K209" s="674">
        <f>1361000+130+205210</f>
        <v>1566340</v>
      </c>
      <c r="L209" s="368"/>
      <c r="M209" s="361"/>
      <c r="N209" s="365"/>
      <c r="O209" s="1394"/>
    </row>
    <row r="210" spans="1:15" s="366" customFormat="1" ht="15.6" hidden="1" x14ac:dyDescent="0.3">
      <c r="A210" s="1376"/>
      <c r="B210" s="608" t="s">
        <v>1222</v>
      </c>
      <c r="C210" s="550" t="s">
        <v>1190</v>
      </c>
      <c r="D210" s="592"/>
      <c r="E210" s="592"/>
      <c r="F210" s="592"/>
      <c r="G210" s="592"/>
      <c r="H210" s="592"/>
      <c r="I210" s="611" t="s">
        <v>1191</v>
      </c>
      <c r="J210" s="397" t="s">
        <v>613</v>
      </c>
      <c r="K210" s="536"/>
      <c r="L210" s="368"/>
      <c r="M210" s="613"/>
      <c r="N210" s="365"/>
      <c r="O210" s="1394"/>
    </row>
    <row r="211" spans="1:15" s="713" customFormat="1" ht="46.8" x14ac:dyDescent="0.3">
      <c r="A211" s="1376"/>
      <c r="B211" s="608" t="s">
        <v>1223</v>
      </c>
      <c r="C211" s="550" t="s">
        <v>1142</v>
      </c>
      <c r="D211" s="592"/>
      <c r="E211" s="592"/>
      <c r="F211" s="592"/>
      <c r="G211" s="592"/>
      <c r="H211" s="592"/>
      <c r="I211" s="611" t="s">
        <v>1371</v>
      </c>
      <c r="J211" s="397" t="s">
        <v>700</v>
      </c>
      <c r="K211" s="536">
        <f>1929041.48+80226.97</f>
        <v>2009268.45</v>
      </c>
      <c r="L211" s="368"/>
      <c r="M211" s="613">
        <f>1929041.48+80226.97</f>
        <v>2009268.45</v>
      </c>
      <c r="N211" s="712"/>
      <c r="O211" s="1394"/>
    </row>
    <row r="212" spans="1:15" s="366" customFormat="1" ht="46.8" hidden="1" x14ac:dyDescent="0.3">
      <c r="A212" s="1376"/>
      <c r="B212" s="608" t="s">
        <v>1224</v>
      </c>
      <c r="C212" s="550" t="s">
        <v>1105</v>
      </c>
      <c r="D212" s="592"/>
      <c r="E212" s="592"/>
      <c r="F212" s="592"/>
      <c r="G212" s="592"/>
      <c r="H212" s="592"/>
      <c r="I212" s="611" t="s">
        <v>1193</v>
      </c>
      <c r="J212" s="397" t="s">
        <v>613</v>
      </c>
      <c r="K212" s="536"/>
      <c r="L212" s="368"/>
      <c r="M212" s="613"/>
      <c r="N212" s="365"/>
      <c r="O212" s="1352"/>
    </row>
    <row r="213" spans="1:15" s="366" customFormat="1" ht="17.399999999999999" x14ac:dyDescent="0.3">
      <c r="A213" s="1365"/>
      <c r="B213" s="614" t="s">
        <v>483</v>
      </c>
      <c r="C213" s="615"/>
      <c r="D213" s="616"/>
      <c r="E213" s="616"/>
      <c r="F213" s="616"/>
      <c r="G213" s="616"/>
      <c r="H213" s="616"/>
      <c r="I213" s="617"/>
      <c r="J213" s="371"/>
      <c r="K213" s="796">
        <f>K195+K198+K199+K202+K206+K207+K210+K211+K212</f>
        <v>211032621.24999997</v>
      </c>
      <c r="L213" s="618"/>
      <c r="M213" s="796">
        <f>M195+M198+M199+M202+M206+M207+M210+M211+M212</f>
        <v>85690900.659999996</v>
      </c>
      <c r="N213" s="365"/>
      <c r="O213" s="619"/>
    </row>
    <row r="214" spans="1:15" s="366" customFormat="1" ht="36" hidden="1" x14ac:dyDescent="0.35">
      <c r="A214" s="776">
        <v>13</v>
      </c>
      <c r="B214" s="620" t="s">
        <v>1164</v>
      </c>
      <c r="C214" s="395" t="s">
        <v>1109</v>
      </c>
      <c r="D214" s="592"/>
      <c r="E214" s="592"/>
      <c r="F214" s="592"/>
      <c r="G214" s="592"/>
      <c r="H214" s="592"/>
      <c r="I214" s="611"/>
      <c r="J214" s="397"/>
      <c r="K214" s="536">
        <f>K215+K216+K217</f>
        <v>0</v>
      </c>
      <c r="L214" s="618"/>
      <c r="M214" s="536"/>
      <c r="N214" s="365"/>
      <c r="O214" s="432" t="s">
        <v>151</v>
      </c>
    </row>
    <row r="215" spans="1:15" s="366" customFormat="1" ht="46.8" hidden="1" x14ac:dyDescent="0.3">
      <c r="A215" s="776">
        <v>14</v>
      </c>
      <c r="B215" s="621" t="s">
        <v>1165</v>
      </c>
      <c r="C215" s="395" t="s">
        <v>1109</v>
      </c>
      <c r="D215" s="592"/>
      <c r="E215" s="592"/>
      <c r="F215" s="592"/>
      <c r="G215" s="592"/>
      <c r="H215" s="592"/>
      <c r="I215" s="611" t="s">
        <v>1166</v>
      </c>
      <c r="J215" s="397" t="s">
        <v>700</v>
      </c>
      <c r="K215" s="536"/>
      <c r="L215" s="618"/>
      <c r="M215" s="798"/>
      <c r="N215" s="365"/>
      <c r="O215" s="619"/>
    </row>
    <row r="216" spans="1:15" s="366" customFormat="1" ht="31.2" hidden="1" x14ac:dyDescent="0.3">
      <c r="A216" s="776">
        <v>15</v>
      </c>
      <c r="B216" s="466" t="s">
        <v>1176</v>
      </c>
      <c r="C216" s="451" t="s">
        <v>1109</v>
      </c>
      <c r="I216" s="531" t="s">
        <v>1177</v>
      </c>
      <c r="J216" s="397" t="s">
        <v>700</v>
      </c>
      <c r="K216" s="536"/>
      <c r="L216" s="618"/>
      <c r="M216" s="798"/>
      <c r="N216" s="365"/>
      <c r="O216" s="619"/>
    </row>
    <row r="217" spans="1:15" s="366" customFormat="1" ht="15.6" hidden="1" x14ac:dyDescent="0.3">
      <c r="A217" s="776">
        <v>16</v>
      </c>
      <c r="B217" s="521" t="s">
        <v>1207</v>
      </c>
      <c r="C217" s="451" t="s">
        <v>1111</v>
      </c>
      <c r="I217" s="531" t="s">
        <v>1208</v>
      </c>
      <c r="J217" s="397" t="s">
        <v>764</v>
      </c>
      <c r="K217" s="536"/>
      <c r="L217" s="618"/>
      <c r="M217" s="536"/>
      <c r="N217" s="365"/>
      <c r="O217" s="619"/>
    </row>
    <row r="218" spans="1:15" s="366" customFormat="1" ht="16.5" hidden="1" customHeight="1" x14ac:dyDescent="0.35">
      <c r="A218" s="776">
        <v>17</v>
      </c>
      <c r="B218" s="623" t="s">
        <v>322</v>
      </c>
      <c r="C218" s="451" t="s">
        <v>1159</v>
      </c>
      <c r="I218" s="531" t="s">
        <v>1178</v>
      </c>
      <c r="J218" s="397" t="s">
        <v>813</v>
      </c>
      <c r="K218" s="536"/>
      <c r="L218" s="618"/>
      <c r="M218" s="536"/>
      <c r="N218" s="365"/>
      <c r="O218" s="448" t="s">
        <v>1179</v>
      </c>
    </row>
    <row r="219" spans="1:15" s="366" customFormat="1" ht="46.5" hidden="1" customHeight="1" x14ac:dyDescent="0.3">
      <c r="A219" s="776">
        <v>18</v>
      </c>
      <c r="B219" s="466" t="s">
        <v>1199</v>
      </c>
      <c r="C219" s="451" t="s">
        <v>1103</v>
      </c>
      <c r="I219" s="531" t="s">
        <v>1200</v>
      </c>
      <c r="J219" s="397" t="s">
        <v>586</v>
      </c>
      <c r="K219" s="536"/>
      <c r="L219" s="618"/>
      <c r="M219" s="536"/>
      <c r="N219" s="365"/>
      <c r="O219" s="432" t="s">
        <v>151</v>
      </c>
    </row>
    <row r="220" spans="1:15" s="474" customFormat="1" ht="46.5" customHeight="1" x14ac:dyDescent="0.3">
      <c r="A220" s="624">
        <v>14</v>
      </c>
      <c r="B220" s="423" t="s">
        <v>601</v>
      </c>
      <c r="C220" s="550" t="s">
        <v>1227</v>
      </c>
      <c r="I220" s="611" t="s">
        <v>1228</v>
      </c>
      <c r="J220" s="397" t="s">
        <v>586</v>
      </c>
      <c r="K220" s="536">
        <f>24200-13.73</f>
        <v>24186.27</v>
      </c>
      <c r="L220" s="618"/>
      <c r="M220" s="536"/>
      <c r="N220" s="476"/>
      <c r="O220" s="432"/>
    </row>
    <row r="221" spans="1:15" s="474" customFormat="1" ht="46.5" customHeight="1" x14ac:dyDescent="0.3">
      <c r="A221" s="624">
        <v>15</v>
      </c>
      <c r="B221" s="416" t="s">
        <v>1369</v>
      </c>
      <c r="C221" s="550" t="s">
        <v>1109</v>
      </c>
      <c r="I221" s="611" t="s">
        <v>1370</v>
      </c>
      <c r="J221" s="397" t="s">
        <v>700</v>
      </c>
      <c r="K221" s="710">
        <f>7065202.59+155395336</f>
        <v>162460538.59</v>
      </c>
      <c r="L221" s="618"/>
      <c r="M221" s="536">
        <f>2660770.7</f>
        <v>2660770.7000000002</v>
      </c>
      <c r="N221" s="476"/>
      <c r="O221" s="432"/>
    </row>
    <row r="222" spans="1:15" ht="21" x14ac:dyDescent="0.4">
      <c r="A222" s="410"/>
      <c r="B222" s="402" t="s">
        <v>1151</v>
      </c>
      <c r="C222" s="411"/>
      <c r="D222" s="411"/>
      <c r="E222" s="411"/>
      <c r="F222" s="411"/>
      <c r="G222" s="411"/>
      <c r="H222" s="411"/>
      <c r="I222" s="412"/>
      <c r="J222" s="413"/>
      <c r="K222" s="676">
        <f>K174+K178+K179+K180+K181+K182+K185+K186+K187+K190+K191+K213+K214+K216+K218+K219+K220+K188+K221+K177+K189</f>
        <v>498107349.64999998</v>
      </c>
      <c r="L222" s="408"/>
      <c r="M222" s="676">
        <f>M174+M178+M179+M180+M181+M182+M185+M186+M187+M190+M191+M213+M214+M216+M218+M219+M220+M188+M221+M177+M189</f>
        <v>128494870.59</v>
      </c>
      <c r="N222" s="354"/>
      <c r="O222" s="354"/>
    </row>
    <row r="223" spans="1:15" ht="46.8" x14ac:dyDescent="0.3">
      <c r="A223" s="444">
        <v>1</v>
      </c>
      <c r="B223" s="423" t="s">
        <v>513</v>
      </c>
      <c r="C223" s="395" t="s">
        <v>1113</v>
      </c>
      <c r="D223" s="592"/>
      <c r="E223" s="592"/>
      <c r="F223" s="592"/>
      <c r="G223" s="592"/>
      <c r="H223" s="592"/>
      <c r="I223" s="477" t="s">
        <v>1291</v>
      </c>
      <c r="J223" s="371" t="s">
        <v>700</v>
      </c>
      <c r="K223" s="453">
        <f>4356000+1089000</f>
        <v>5445000</v>
      </c>
      <c r="L223" s="366"/>
      <c r="M223" s="598"/>
      <c r="N223" s="366"/>
      <c r="O223" s="595" t="s">
        <v>151</v>
      </c>
    </row>
    <row r="224" spans="1:15" ht="62.4" x14ac:dyDescent="0.3">
      <c r="A224" s="444">
        <v>2</v>
      </c>
      <c r="B224" s="348" t="s">
        <v>1390</v>
      </c>
      <c r="C224" s="395" t="s">
        <v>1111</v>
      </c>
      <c r="D224" s="755"/>
      <c r="E224" s="755"/>
      <c r="F224" s="755"/>
      <c r="G224" s="755"/>
      <c r="H224" s="755"/>
      <c r="I224" s="753" t="s">
        <v>1391</v>
      </c>
      <c r="J224" s="397" t="s">
        <v>764</v>
      </c>
      <c r="K224" s="799">
        <v>400000</v>
      </c>
      <c r="L224" s="366"/>
      <c r="M224" s="598"/>
      <c r="N224" s="366"/>
      <c r="O224" s="595"/>
    </row>
    <row r="225" spans="1:15" ht="35.25" customHeight="1" x14ac:dyDescent="0.4">
      <c r="A225" s="444">
        <v>3</v>
      </c>
      <c r="B225" s="348" t="s">
        <v>1378</v>
      </c>
      <c r="C225" s="351" t="s">
        <v>1130</v>
      </c>
      <c r="I225" s="357" t="s">
        <v>1379</v>
      </c>
      <c r="J225" s="415" t="s">
        <v>586</v>
      </c>
      <c r="K225" s="711">
        <f>638410.08-95763.09+95763.09</f>
        <v>638410.07999999996</v>
      </c>
      <c r="L225" s="408"/>
      <c r="M225" s="443"/>
      <c r="N225" s="354"/>
      <c r="O225" s="342" t="s">
        <v>151</v>
      </c>
    </row>
    <row r="226" spans="1:15" ht="1.5" hidden="1" customHeight="1" x14ac:dyDescent="0.4">
      <c r="A226" s="444">
        <v>2</v>
      </c>
      <c r="B226" s="115" t="s">
        <v>1210</v>
      </c>
      <c r="C226" s="351" t="s">
        <v>1105</v>
      </c>
      <c r="I226" s="357" t="s">
        <v>1211</v>
      </c>
      <c r="J226" s="415" t="s">
        <v>613</v>
      </c>
      <c r="K226" s="679"/>
      <c r="L226" s="408"/>
      <c r="M226" s="440"/>
      <c r="N226" s="354"/>
      <c r="O226" s="342" t="s">
        <v>1152</v>
      </c>
    </row>
    <row r="227" spans="1:15" ht="32.25" customHeight="1" x14ac:dyDescent="0.4">
      <c r="A227" s="410"/>
      <c r="B227" s="402" t="s">
        <v>1212</v>
      </c>
      <c r="C227" s="411"/>
      <c r="D227" s="411"/>
      <c r="E227" s="411"/>
      <c r="F227" s="411"/>
      <c r="G227" s="411"/>
      <c r="H227" s="411"/>
      <c r="I227" s="413"/>
      <c r="J227" s="413"/>
      <c r="K227" s="680">
        <f>K223+K225+K224</f>
        <v>6483410.0800000001</v>
      </c>
      <c r="L227" s="408"/>
      <c r="M227" s="680">
        <f>M223+M225+M224</f>
        <v>0</v>
      </c>
      <c r="N227" s="354"/>
      <c r="O227" s="354"/>
    </row>
    <row r="230" spans="1:15" ht="18" x14ac:dyDescent="0.35">
      <c r="A230" s="331" t="s">
        <v>1380</v>
      </c>
      <c r="B230" s="331"/>
      <c r="C230" s="331"/>
      <c r="D230" s="331"/>
      <c r="E230" s="331"/>
      <c r="F230" s="331"/>
      <c r="G230" s="331"/>
      <c r="H230" s="331"/>
      <c r="I230" s="355"/>
      <c r="J230" s="355"/>
      <c r="K230" s="681"/>
      <c r="L230" s="355"/>
      <c r="M230" s="331"/>
      <c r="N230" s="331"/>
      <c r="O230" s="331"/>
    </row>
    <row r="231" spans="1:15" ht="18" x14ac:dyDescent="0.35">
      <c r="A231" s="331" t="s">
        <v>1155</v>
      </c>
      <c r="B231" s="331"/>
      <c r="C231" s="331"/>
      <c r="D231" s="331"/>
      <c r="E231" s="331"/>
      <c r="F231" s="331"/>
      <c r="G231" s="331"/>
      <c r="H231" s="331"/>
      <c r="I231" s="355"/>
      <c r="J231" s="355"/>
      <c r="K231" s="681"/>
      <c r="L231" s="355"/>
      <c r="M231" s="331"/>
      <c r="N231" s="1391" t="s">
        <v>958</v>
      </c>
      <c r="O231" s="1391"/>
    </row>
    <row r="232" spans="1:15" ht="18" x14ac:dyDescent="0.35">
      <c r="A232" s="331"/>
      <c r="B232" s="331"/>
      <c r="C232" s="331"/>
      <c r="D232" s="331"/>
      <c r="E232" s="331"/>
      <c r="F232" s="331"/>
      <c r="G232" s="331"/>
      <c r="H232" s="331"/>
      <c r="I232" s="355"/>
      <c r="J232" s="355"/>
      <c r="K232" s="681"/>
      <c r="L232" s="355"/>
      <c r="M232" s="331"/>
      <c r="N232" s="331"/>
      <c r="O232" s="331"/>
    </row>
    <row r="233" spans="1:15" ht="18" x14ac:dyDescent="0.35">
      <c r="A233" s="331" t="s">
        <v>1156</v>
      </c>
      <c r="B233" s="331" t="s">
        <v>1157</v>
      </c>
      <c r="C233" s="331"/>
      <c r="D233" s="331"/>
      <c r="E233" s="331"/>
      <c r="F233" s="331"/>
      <c r="G233" s="331"/>
      <c r="H233" s="331"/>
      <c r="I233" s="355"/>
      <c r="J233" s="355"/>
      <c r="K233" s="681"/>
      <c r="L233" s="355"/>
      <c r="M233" s="331"/>
      <c r="N233" s="331"/>
      <c r="O233" s="331"/>
    </row>
    <row r="234" spans="1:15" ht="18" x14ac:dyDescent="0.35">
      <c r="A234" s="331"/>
      <c r="B234" s="331" t="s">
        <v>960</v>
      </c>
      <c r="C234" s="331"/>
      <c r="D234" s="331"/>
      <c r="E234" s="331"/>
      <c r="F234" s="331"/>
      <c r="G234" s="331"/>
      <c r="H234" s="331"/>
      <c r="I234" s="355"/>
      <c r="J234" s="355"/>
      <c r="K234" s="681"/>
      <c r="L234" s="355"/>
      <c r="M234" s="331"/>
      <c r="N234" s="331"/>
      <c r="O234" s="331"/>
    </row>
    <row r="236" spans="1:15" ht="15.6" x14ac:dyDescent="0.3">
      <c r="A236" s="420"/>
      <c r="B236" s="414"/>
      <c r="C236" s="417"/>
      <c r="D236" s="336"/>
      <c r="E236" s="336"/>
      <c r="F236" s="336"/>
      <c r="G236" s="336"/>
      <c r="H236" s="336"/>
      <c r="I236" s="418"/>
      <c r="J236" s="418"/>
      <c r="K236" s="367"/>
    </row>
    <row r="239" spans="1:15" ht="15.6" x14ac:dyDescent="0.3">
      <c r="B239" s="414"/>
      <c r="C239" s="417"/>
      <c r="D239" s="336"/>
      <c r="E239" s="336"/>
      <c r="F239" s="336"/>
      <c r="G239" s="336"/>
      <c r="H239" s="336"/>
      <c r="I239" s="418"/>
      <c r="J239" s="418"/>
      <c r="K239" s="582"/>
      <c r="L239" s="336"/>
      <c r="M239" s="336"/>
    </row>
    <row r="240" spans="1:15" x14ac:dyDescent="0.3">
      <c r="B240" s="336"/>
      <c r="C240" s="336"/>
      <c r="D240" s="336"/>
      <c r="E240" s="336"/>
      <c r="F240" s="336"/>
      <c r="G240" s="336"/>
      <c r="H240" s="336"/>
      <c r="I240" s="336"/>
      <c r="J240" s="336"/>
      <c r="K240" s="367"/>
      <c r="L240" s="336"/>
      <c r="M240" s="336"/>
    </row>
  </sheetData>
  <mergeCells count="109">
    <mergeCell ref="O122:O124"/>
    <mergeCell ref="O126:O145"/>
    <mergeCell ref="B159:B161"/>
    <mergeCell ref="I17:I20"/>
    <mergeCell ref="J17:J20"/>
    <mergeCell ref="K17:K20"/>
    <mergeCell ref="L17:L19"/>
    <mergeCell ref="M17:M20"/>
    <mergeCell ref="N17:N19"/>
    <mergeCell ref="O17:P17"/>
    <mergeCell ref="O18:O20"/>
    <mergeCell ref="P18:P20"/>
    <mergeCell ref="B51:B52"/>
    <mergeCell ref="I51:I52"/>
    <mergeCell ref="C59:C60"/>
    <mergeCell ref="I59:I60"/>
    <mergeCell ref="O62:O64"/>
    <mergeCell ref="O72:O74"/>
    <mergeCell ref="O78:O81"/>
    <mergeCell ref="O112:O115"/>
    <mergeCell ref="O116:O117"/>
    <mergeCell ref="B117:B118"/>
    <mergeCell ref="I117:I118"/>
    <mergeCell ref="M2:O2"/>
    <mergeCell ref="M3:O3"/>
    <mergeCell ref="B22:B23"/>
    <mergeCell ref="C22:C23"/>
    <mergeCell ref="I22:I23"/>
    <mergeCell ref="A7:B7"/>
    <mergeCell ref="A2:B2"/>
    <mergeCell ref="A3:B3"/>
    <mergeCell ref="A4:B4"/>
    <mergeCell ref="A5:B5"/>
    <mergeCell ref="A6:B6"/>
    <mergeCell ref="A8:B8"/>
    <mergeCell ref="I8:O8"/>
    <mergeCell ref="A9:B9"/>
    <mergeCell ref="I9:O9"/>
    <mergeCell ref="A10:B10"/>
    <mergeCell ref="I10:O10"/>
    <mergeCell ref="A11:B11"/>
    <mergeCell ref="I11:O11"/>
    <mergeCell ref="A12:B12"/>
    <mergeCell ref="A14:O14"/>
    <mergeCell ref="A17:A20"/>
    <mergeCell ref="B17:B20"/>
    <mergeCell ref="C17:C20"/>
    <mergeCell ref="A29:A30"/>
    <mergeCell ref="B29:B30"/>
    <mergeCell ref="I29:I30"/>
    <mergeCell ref="O31:O32"/>
    <mergeCell ref="O37:O40"/>
    <mergeCell ref="O22:O29"/>
    <mergeCell ref="O43:O46"/>
    <mergeCell ref="O49:O55"/>
    <mergeCell ref="O68:O69"/>
    <mergeCell ref="A84:A87"/>
    <mergeCell ref="B84:B87"/>
    <mergeCell ref="O84:O90"/>
    <mergeCell ref="B90:B91"/>
    <mergeCell ref="C90:C91"/>
    <mergeCell ref="I90:I91"/>
    <mergeCell ref="A99:A102"/>
    <mergeCell ref="B99:B102"/>
    <mergeCell ref="O99:O109"/>
    <mergeCell ref="A92:A95"/>
    <mergeCell ref="B92:B95"/>
    <mergeCell ref="O92:O96"/>
    <mergeCell ref="B96:B98"/>
    <mergeCell ref="C97:C98"/>
    <mergeCell ref="I97:I98"/>
    <mergeCell ref="A141:A144"/>
    <mergeCell ref="B141:B144"/>
    <mergeCell ref="C142:C144"/>
    <mergeCell ref="I142:I144"/>
    <mergeCell ref="O147:O160"/>
    <mergeCell ref="C159:C161"/>
    <mergeCell ref="I159:I161"/>
    <mergeCell ref="A133:A134"/>
    <mergeCell ref="B133:B134"/>
    <mergeCell ref="C133:C134"/>
    <mergeCell ref="I133:I134"/>
    <mergeCell ref="A137:A140"/>
    <mergeCell ref="B137:B140"/>
    <mergeCell ref="C138:C140"/>
    <mergeCell ref="I138:I140"/>
    <mergeCell ref="A191:A193"/>
    <mergeCell ref="B191:B193"/>
    <mergeCell ref="A194:A213"/>
    <mergeCell ref="B195:B197"/>
    <mergeCell ref="C196:C197"/>
    <mergeCell ref="O162:O164"/>
    <mergeCell ref="O168:O169"/>
    <mergeCell ref="A174:A176"/>
    <mergeCell ref="B174:B176"/>
    <mergeCell ref="A182:A184"/>
    <mergeCell ref="B182:B184"/>
    <mergeCell ref="C183:C184"/>
    <mergeCell ref="I183:I184"/>
    <mergeCell ref="N231:O231"/>
    <mergeCell ref="C202:C205"/>
    <mergeCell ref="I202:I205"/>
    <mergeCell ref="I196:I197"/>
    <mergeCell ref="O198:O212"/>
    <mergeCell ref="B199:B201"/>
    <mergeCell ref="C200:C201"/>
    <mergeCell ref="I200:I201"/>
    <mergeCell ref="B202:B205"/>
    <mergeCell ref="B207:B209"/>
  </mergeCells>
  <hyperlinks>
    <hyperlink ref="A8" r:id="rId1" display="mailto:rfo-skv@mail.ru"/>
  </hyperlinks>
  <pageMargins left="0.70866141732283472" right="0.70866141732283472" top="0.74803149606299213" bottom="0.74803149606299213" header="0.31496062992125984" footer="0.31496062992125984"/>
  <pageSetup paperSize="9" scale="49" fitToHeight="6"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0"/>
  <sheetViews>
    <sheetView topLeftCell="A17" workbookViewId="0">
      <selection activeCell="K130" sqref="K130"/>
    </sheetView>
  </sheetViews>
  <sheetFormatPr defaultRowHeight="14.4" x14ac:dyDescent="0.3"/>
  <cols>
    <col min="1" max="1" width="8.6640625" customWidth="1"/>
    <col min="2" max="2" width="75.6640625" customWidth="1"/>
    <col min="3" max="3" width="21" customWidth="1"/>
    <col min="4" max="7" width="9.109375" hidden="1" customWidth="1"/>
    <col min="8" max="8" width="5.44140625" hidden="1" customWidth="1"/>
    <col min="9" max="9" width="19.109375" customWidth="1"/>
    <col min="10" max="10" width="12" customWidth="1"/>
    <col min="11" max="11" width="23.5546875" style="366" customWidth="1"/>
    <col min="12" max="12" width="0.33203125" hidden="1" customWidth="1"/>
    <col min="13" max="13" width="26.88671875" customWidth="1"/>
    <col min="14" max="14" width="3" hidden="1" customWidth="1"/>
    <col min="15" max="15" width="37.109375" customWidth="1"/>
    <col min="16" max="16" width="25" hidden="1" customWidth="1"/>
  </cols>
  <sheetData>
    <row r="1" spans="1:15" ht="18" hidden="1" x14ac:dyDescent="0.35">
      <c r="A1" s="331"/>
      <c r="B1" s="814"/>
      <c r="C1" s="330"/>
      <c r="D1" s="330"/>
      <c r="E1" s="819"/>
      <c r="F1" s="331"/>
      <c r="G1" s="331"/>
      <c r="H1" s="331"/>
      <c r="I1" s="352"/>
      <c r="J1" s="352"/>
      <c r="K1" s="666"/>
      <c r="L1" s="352"/>
      <c r="M1" s="352"/>
      <c r="N1" s="352"/>
      <c r="O1" s="353"/>
    </row>
    <row r="2" spans="1:15" ht="18" x14ac:dyDescent="0.35">
      <c r="A2" s="1268" t="s">
        <v>1117</v>
      </c>
      <c r="B2" s="1268"/>
      <c r="C2" s="330"/>
      <c r="D2" s="330"/>
      <c r="E2" s="819"/>
      <c r="F2" s="331"/>
      <c r="G2" s="331"/>
      <c r="H2" s="331"/>
      <c r="I2" s="352"/>
      <c r="J2" s="352"/>
      <c r="K2" s="666"/>
      <c r="L2" s="352" t="s">
        <v>1118</v>
      </c>
      <c r="M2" s="1330" t="s">
        <v>151</v>
      </c>
      <c r="N2" s="1330"/>
      <c r="O2" s="1330"/>
    </row>
    <row r="3" spans="1:15" ht="18" x14ac:dyDescent="0.35">
      <c r="A3" s="1268" t="s">
        <v>1119</v>
      </c>
      <c r="B3" s="1268"/>
      <c r="C3" s="330"/>
      <c r="D3" s="330"/>
      <c r="E3" s="819"/>
      <c r="F3" s="331"/>
      <c r="G3" s="331"/>
      <c r="H3" s="331"/>
      <c r="I3" s="352"/>
      <c r="J3" s="352"/>
      <c r="K3" s="666"/>
      <c r="L3" s="352" t="s">
        <v>1120</v>
      </c>
      <c r="M3" s="1330" t="s">
        <v>1202</v>
      </c>
      <c r="N3" s="1330"/>
      <c r="O3" s="1330"/>
    </row>
    <row r="4" spans="1:15" ht="18" x14ac:dyDescent="0.35">
      <c r="A4" s="1353" t="s">
        <v>1121</v>
      </c>
      <c r="B4" s="1353"/>
      <c r="C4" s="330"/>
      <c r="D4" s="330"/>
      <c r="E4" s="819"/>
      <c r="F4" s="331"/>
      <c r="G4" s="331"/>
      <c r="H4" s="331"/>
      <c r="I4" s="352"/>
      <c r="J4" s="352"/>
      <c r="K4" s="666"/>
      <c r="L4" s="352"/>
      <c r="M4" s="352"/>
      <c r="N4" s="352"/>
      <c r="O4" s="353"/>
    </row>
    <row r="5" spans="1:15" ht="18" x14ac:dyDescent="0.35">
      <c r="A5" s="1353" t="s">
        <v>1122</v>
      </c>
      <c r="B5" s="1353"/>
      <c r="C5" s="330"/>
      <c r="D5" s="330"/>
      <c r="E5" s="819"/>
      <c r="F5" s="331"/>
      <c r="G5" s="331"/>
      <c r="H5" s="331"/>
      <c r="I5" s="352"/>
      <c r="J5" s="352"/>
      <c r="K5" s="666"/>
      <c r="L5" s="352"/>
      <c r="M5" s="352"/>
      <c r="N5" s="352"/>
      <c r="O5" s="353"/>
    </row>
    <row r="6" spans="1:15" ht="21.75" customHeight="1" x14ac:dyDescent="0.35">
      <c r="A6" s="1268" t="s">
        <v>1123</v>
      </c>
      <c r="B6" s="1268"/>
      <c r="C6" s="330"/>
      <c r="D6" s="330"/>
      <c r="E6" s="819"/>
      <c r="F6" s="331"/>
      <c r="G6" s="331"/>
      <c r="H6" s="331"/>
      <c r="I6" s="352"/>
      <c r="J6" s="352"/>
      <c r="K6" s="666"/>
      <c r="L6" s="352"/>
      <c r="M6" s="352"/>
      <c r="N6" s="352"/>
      <c r="O6" s="353"/>
    </row>
    <row r="7" spans="1:15" ht="23.25" customHeight="1" x14ac:dyDescent="0.35">
      <c r="A7" s="1268" t="s">
        <v>1124</v>
      </c>
      <c r="B7" s="1268"/>
      <c r="C7" s="330"/>
      <c r="D7" s="330"/>
      <c r="E7" s="819"/>
      <c r="F7" s="331"/>
      <c r="G7" s="331"/>
      <c r="H7" s="331"/>
      <c r="I7" s="352"/>
      <c r="J7" s="352"/>
      <c r="K7" s="666"/>
      <c r="L7" s="352"/>
      <c r="M7" s="352"/>
      <c r="N7" s="352"/>
      <c r="O7" s="353"/>
    </row>
    <row r="8" spans="1:15" ht="18" x14ac:dyDescent="0.35">
      <c r="A8" s="1309" t="s">
        <v>1125</v>
      </c>
      <c r="B8" s="1309"/>
      <c r="C8" s="330"/>
      <c r="D8" s="330"/>
      <c r="E8" s="819"/>
      <c r="F8" s="331"/>
      <c r="G8" s="331"/>
      <c r="H8" s="331"/>
      <c r="I8" s="1310"/>
      <c r="J8" s="1310"/>
      <c r="K8" s="1310"/>
      <c r="L8" s="1310"/>
      <c r="M8" s="1310"/>
      <c r="N8" s="1310"/>
      <c r="O8" s="1310"/>
    </row>
    <row r="9" spans="1:15" ht="18" x14ac:dyDescent="0.35">
      <c r="A9" s="1268" t="s">
        <v>1126</v>
      </c>
      <c r="B9" s="1268"/>
      <c r="C9" s="330"/>
      <c r="D9" s="330"/>
      <c r="E9" s="819"/>
      <c r="F9" s="331"/>
      <c r="G9" s="331"/>
      <c r="H9" s="331"/>
      <c r="I9" s="1310"/>
      <c r="J9" s="1310"/>
      <c r="K9" s="1310"/>
      <c r="L9" s="1310"/>
      <c r="M9" s="1310"/>
      <c r="N9" s="1310"/>
      <c r="O9" s="1310"/>
    </row>
    <row r="10" spans="1:15" ht="18" x14ac:dyDescent="0.35">
      <c r="A10" s="1268" t="s">
        <v>1127</v>
      </c>
      <c r="B10" s="1268"/>
      <c r="C10" s="330"/>
      <c r="D10" s="330"/>
      <c r="E10" s="819"/>
      <c r="F10" s="331"/>
      <c r="G10" s="331"/>
      <c r="H10" s="331"/>
      <c r="I10" s="1310"/>
      <c r="J10" s="1310"/>
      <c r="K10" s="1310"/>
      <c r="L10" s="1310"/>
      <c r="M10" s="1310"/>
      <c r="N10" s="1310"/>
      <c r="O10" s="1310"/>
    </row>
    <row r="11" spans="1:15" ht="18" x14ac:dyDescent="0.35">
      <c r="A11" s="1268" t="s">
        <v>1408</v>
      </c>
      <c r="B11" s="1268"/>
      <c r="C11" s="330"/>
      <c r="D11" s="330"/>
      <c r="E11" s="819"/>
      <c r="F11" s="331"/>
      <c r="G11" s="331"/>
      <c r="H11" s="331"/>
      <c r="I11" s="1310"/>
      <c r="J11" s="1310"/>
      <c r="K11" s="1310"/>
      <c r="L11" s="1310"/>
      <c r="M11" s="1310"/>
      <c r="N11" s="1310"/>
      <c r="O11" s="1310"/>
    </row>
    <row r="12" spans="1:15" ht="18" x14ac:dyDescent="0.35">
      <c r="A12" s="1268" t="s">
        <v>1128</v>
      </c>
      <c r="B12" s="1268"/>
      <c r="C12" s="330"/>
      <c r="D12" s="330"/>
      <c r="E12" s="819"/>
      <c r="F12" s="331"/>
      <c r="G12" s="331"/>
      <c r="H12" s="331"/>
      <c r="I12" s="817"/>
      <c r="J12" s="817"/>
      <c r="K12" s="667"/>
      <c r="L12" s="817"/>
      <c r="M12" s="817"/>
      <c r="N12" s="817"/>
      <c r="O12" s="817"/>
    </row>
    <row r="13" spans="1:15" ht="12.75" customHeight="1" x14ac:dyDescent="0.35">
      <c r="A13" s="331"/>
      <c r="B13" s="330"/>
      <c r="C13" s="330"/>
      <c r="D13" s="330"/>
      <c r="E13" s="819"/>
      <c r="F13" s="331"/>
      <c r="G13" s="331"/>
      <c r="H13" s="331"/>
      <c r="I13" s="352"/>
      <c r="J13" s="352"/>
      <c r="K13" s="666"/>
      <c r="L13" s="352"/>
      <c r="M13" s="352"/>
      <c r="N13" s="352"/>
      <c r="O13" s="353"/>
    </row>
    <row r="14" spans="1:15" ht="18" x14ac:dyDescent="0.35">
      <c r="A14" s="1315" t="s">
        <v>1335</v>
      </c>
      <c r="B14" s="1315"/>
      <c r="C14" s="1315"/>
      <c r="D14" s="1315"/>
      <c r="E14" s="1315"/>
      <c r="F14" s="1315"/>
      <c r="G14" s="1315"/>
      <c r="H14" s="1315"/>
      <c r="I14" s="1315"/>
      <c r="J14" s="1315"/>
      <c r="K14" s="1315"/>
      <c r="L14" s="1315"/>
      <c r="M14" s="1315"/>
      <c r="N14" s="1315"/>
      <c r="O14" s="1315"/>
    </row>
    <row r="15" spans="1:15" ht="18" x14ac:dyDescent="0.35">
      <c r="A15" s="331"/>
      <c r="B15" s="330"/>
      <c r="C15" s="330"/>
      <c r="D15" s="330"/>
      <c r="E15" s="819"/>
      <c r="F15" s="331"/>
      <c r="G15" s="331"/>
      <c r="H15" s="331"/>
      <c r="I15" s="352"/>
      <c r="J15" s="352"/>
      <c r="K15" s="666"/>
      <c r="L15" s="352"/>
      <c r="M15" s="352"/>
      <c r="N15" s="352"/>
      <c r="O15" s="800" t="s">
        <v>478</v>
      </c>
    </row>
    <row r="16" spans="1:15" hidden="1" x14ac:dyDescent="0.3"/>
    <row r="17" spans="1:16" ht="18.75" customHeight="1" x14ac:dyDescent="0.35">
      <c r="A17" s="1313" t="s">
        <v>407</v>
      </c>
      <c r="B17" s="1269" t="s">
        <v>479</v>
      </c>
      <c r="C17" s="1274" t="s">
        <v>281</v>
      </c>
      <c r="D17" s="333"/>
      <c r="E17" s="818"/>
      <c r="F17" s="334"/>
      <c r="G17" s="335"/>
      <c r="H17" s="335"/>
      <c r="I17" s="1277" t="s">
        <v>1085</v>
      </c>
      <c r="J17" s="1277" t="s">
        <v>510</v>
      </c>
      <c r="K17" s="1401" t="s">
        <v>1350</v>
      </c>
      <c r="L17" s="1271" t="s">
        <v>1079</v>
      </c>
      <c r="M17" s="1270" t="s">
        <v>1395</v>
      </c>
      <c r="N17" s="1270" t="s">
        <v>1080</v>
      </c>
      <c r="O17" s="1311" t="s">
        <v>480</v>
      </c>
      <c r="P17" s="1311"/>
    </row>
    <row r="18" spans="1:16" ht="18" x14ac:dyDescent="0.35">
      <c r="A18" s="1313"/>
      <c r="B18" s="1269"/>
      <c r="C18" s="1275"/>
      <c r="D18" s="333"/>
      <c r="E18" s="818"/>
      <c r="F18" s="334"/>
      <c r="G18" s="335"/>
      <c r="H18" s="335"/>
      <c r="I18" s="1278"/>
      <c r="J18" s="1278"/>
      <c r="K18" s="1401"/>
      <c r="L18" s="1272"/>
      <c r="M18" s="1270"/>
      <c r="N18" s="1270"/>
      <c r="O18" s="1270" t="s">
        <v>481</v>
      </c>
      <c r="P18" s="1312"/>
    </row>
    <row r="19" spans="1:16" ht="18" x14ac:dyDescent="0.35">
      <c r="A19" s="1313"/>
      <c r="B19" s="1269"/>
      <c r="C19" s="1275"/>
      <c r="D19" s="333"/>
      <c r="E19" s="818"/>
      <c r="F19" s="335"/>
      <c r="G19" s="335"/>
      <c r="H19" s="335"/>
      <c r="I19" s="1278"/>
      <c r="J19" s="1278"/>
      <c r="K19" s="1401"/>
      <c r="L19" s="1273"/>
      <c r="M19" s="1270"/>
      <c r="N19" s="1270"/>
      <c r="O19" s="1270"/>
      <c r="P19" s="1312"/>
    </row>
    <row r="20" spans="1:16" ht="18" x14ac:dyDescent="0.35">
      <c r="A20" s="1314"/>
      <c r="B20" s="1398"/>
      <c r="C20" s="1399"/>
      <c r="D20" s="332"/>
      <c r="E20" s="823"/>
      <c r="F20" s="344"/>
      <c r="G20" s="344"/>
      <c r="H20" s="344"/>
      <c r="I20" s="1400"/>
      <c r="J20" s="1400"/>
      <c r="K20" s="1402"/>
      <c r="L20" s="822"/>
      <c r="M20" s="1271"/>
      <c r="N20" s="822"/>
      <c r="O20" s="1271"/>
      <c r="P20" s="1312"/>
    </row>
    <row r="21" spans="1:16" s="336" customFormat="1" ht="42" customHeight="1" x14ac:dyDescent="0.35">
      <c r="A21" s="347">
        <v>1</v>
      </c>
      <c r="B21" s="343" t="s">
        <v>1081</v>
      </c>
      <c r="C21" s="346"/>
      <c r="D21" s="664"/>
      <c r="E21" s="338"/>
      <c r="F21" s="339"/>
      <c r="G21" s="339"/>
      <c r="H21" s="339"/>
      <c r="I21" s="345" t="s">
        <v>1337</v>
      </c>
      <c r="J21" s="498"/>
      <c r="K21" s="782">
        <f>K22+K24+K25+K26+K27+K28+K30+K31+K32+K29+K33+K23</f>
        <v>9463336</v>
      </c>
      <c r="L21" s="783"/>
      <c r="M21" s="784">
        <f>M22+M24+M25+M26+M27+M28+M30+M31+M32+M29+M33+M23</f>
        <v>3591524.87</v>
      </c>
      <c r="N21" s="341"/>
      <c r="O21" s="342" t="s">
        <v>151</v>
      </c>
      <c r="P21" s="663"/>
    </row>
    <row r="22" spans="1:16" s="366" customFormat="1" ht="31.5" customHeight="1" x14ac:dyDescent="0.3">
      <c r="A22" s="821"/>
      <c r="B22" s="1396" t="s">
        <v>627</v>
      </c>
      <c r="C22" s="1397" t="s">
        <v>1086</v>
      </c>
      <c r="D22" s="524"/>
      <c r="E22" s="524"/>
      <c r="F22" s="524"/>
      <c r="G22" s="524"/>
      <c r="H22" s="524"/>
      <c r="I22" s="1374" t="s">
        <v>1239</v>
      </c>
      <c r="J22" s="662" t="s">
        <v>586</v>
      </c>
      <c r="K22" s="525">
        <v>73140</v>
      </c>
      <c r="L22" s="532"/>
      <c r="M22" s="526"/>
      <c r="N22" s="489"/>
      <c r="O22" s="1335" t="s">
        <v>151</v>
      </c>
      <c r="P22" s="662"/>
    </row>
    <row r="23" spans="1:16" s="366" customFormat="1" ht="15.6" hidden="1" x14ac:dyDescent="0.3">
      <c r="A23" s="821"/>
      <c r="B23" s="1294"/>
      <c r="C23" s="1333"/>
      <c r="D23" s="524"/>
      <c r="E23" s="524"/>
      <c r="F23" s="524"/>
      <c r="G23" s="524"/>
      <c r="H23" s="524"/>
      <c r="I23" s="1285"/>
      <c r="J23" s="363" t="s">
        <v>528</v>
      </c>
      <c r="K23" s="525"/>
      <c r="L23" s="532"/>
      <c r="M23" s="526"/>
      <c r="N23" s="489"/>
      <c r="O23" s="1335"/>
      <c r="P23" s="363"/>
    </row>
    <row r="24" spans="1:16" s="366" customFormat="1" ht="36" customHeight="1" x14ac:dyDescent="0.3">
      <c r="A24" s="388"/>
      <c r="B24" s="527" t="s">
        <v>630</v>
      </c>
      <c r="C24" s="451" t="s">
        <v>1086</v>
      </c>
      <c r="I24" s="528" t="s">
        <v>1240</v>
      </c>
      <c r="J24" s="363" t="s">
        <v>586</v>
      </c>
      <c r="K24" s="785">
        <v>106000</v>
      </c>
      <c r="L24" s="532"/>
      <c r="M24" s="361"/>
      <c r="N24" s="365"/>
      <c r="O24" s="1335"/>
      <c r="P24" s="363"/>
    </row>
    <row r="25" spans="1:16" s="366" customFormat="1" ht="46.5" customHeight="1" x14ac:dyDescent="0.3">
      <c r="A25" s="388"/>
      <c r="B25" s="527" t="s">
        <v>633</v>
      </c>
      <c r="C25" s="451" t="s">
        <v>1086</v>
      </c>
      <c r="I25" s="528" t="s">
        <v>1241</v>
      </c>
      <c r="J25" s="363" t="s">
        <v>586</v>
      </c>
      <c r="K25" s="785">
        <v>181000</v>
      </c>
      <c r="L25" s="532"/>
      <c r="M25" s="361"/>
      <c r="N25" s="365"/>
      <c r="O25" s="1335"/>
      <c r="P25" s="363"/>
    </row>
    <row r="26" spans="1:16" s="366" customFormat="1" ht="33.75" customHeight="1" x14ac:dyDescent="0.3">
      <c r="A26" s="388"/>
      <c r="B26" s="527" t="s">
        <v>636</v>
      </c>
      <c r="C26" s="451" t="s">
        <v>1087</v>
      </c>
      <c r="I26" s="528" t="s">
        <v>1242</v>
      </c>
      <c r="J26" s="363" t="s">
        <v>586</v>
      </c>
      <c r="K26" s="785">
        <v>25000</v>
      </c>
      <c r="L26" s="532"/>
      <c r="M26" s="361"/>
      <c r="N26" s="365"/>
      <c r="O26" s="1335"/>
      <c r="P26" s="363"/>
    </row>
    <row r="27" spans="1:16" s="366" customFormat="1" ht="35.25" customHeight="1" x14ac:dyDescent="0.3">
      <c r="A27" s="388"/>
      <c r="B27" s="527" t="s">
        <v>639</v>
      </c>
      <c r="C27" s="451" t="s">
        <v>1086</v>
      </c>
      <c r="I27" s="528" t="s">
        <v>1243</v>
      </c>
      <c r="J27" s="363" t="s">
        <v>586</v>
      </c>
      <c r="K27" s="785">
        <v>30000</v>
      </c>
      <c r="L27" s="532"/>
      <c r="M27" s="361"/>
      <c r="N27" s="365"/>
      <c r="O27" s="1335"/>
      <c r="P27" s="363"/>
    </row>
    <row r="28" spans="1:16" s="366" customFormat="1" ht="30.75" customHeight="1" x14ac:dyDescent="0.3">
      <c r="A28" s="388"/>
      <c r="B28" s="527" t="s">
        <v>642</v>
      </c>
      <c r="C28" s="451" t="s">
        <v>1087</v>
      </c>
      <c r="I28" s="528" t="s">
        <v>1244</v>
      </c>
      <c r="J28" s="363" t="s">
        <v>586</v>
      </c>
      <c r="K28" s="785">
        <v>30000</v>
      </c>
      <c r="L28" s="532"/>
      <c r="M28" s="361"/>
      <c r="N28" s="365"/>
      <c r="O28" s="1335"/>
      <c r="P28" s="363"/>
    </row>
    <row r="29" spans="1:16" s="366" customFormat="1" ht="30.75" customHeight="1" x14ac:dyDescent="0.3">
      <c r="A29" s="1328"/>
      <c r="B29" s="1293" t="s">
        <v>607</v>
      </c>
      <c r="C29" s="451" t="s">
        <v>1088</v>
      </c>
      <c r="I29" s="1284" t="s">
        <v>1232</v>
      </c>
      <c r="J29" s="363" t="s">
        <v>586</v>
      </c>
      <c r="K29" s="577">
        <v>800000</v>
      </c>
      <c r="L29" s="532"/>
      <c r="M29" s="361"/>
      <c r="N29" s="365"/>
      <c r="O29" s="1287"/>
      <c r="P29" s="363"/>
    </row>
    <row r="30" spans="1:16" s="366" customFormat="1" ht="50.25" hidden="1" customHeight="1" x14ac:dyDescent="0.3">
      <c r="A30" s="1329"/>
      <c r="B30" s="1294"/>
      <c r="C30" s="451" t="s">
        <v>1159</v>
      </c>
      <c r="I30" s="1285"/>
      <c r="J30" s="363" t="s">
        <v>813</v>
      </c>
      <c r="K30" s="577"/>
      <c r="L30" s="532"/>
      <c r="M30" s="361"/>
      <c r="N30" s="365"/>
      <c r="O30" s="529" t="s">
        <v>1179</v>
      </c>
      <c r="P30" s="363"/>
    </row>
    <row r="31" spans="1:16" s="366" customFormat="1" ht="50.25" customHeight="1" x14ac:dyDescent="0.3">
      <c r="A31" s="530"/>
      <c r="B31" s="527" t="s">
        <v>1264</v>
      </c>
      <c r="C31" s="451" t="s">
        <v>1103</v>
      </c>
      <c r="I31" s="531" t="s">
        <v>1263</v>
      </c>
      <c r="J31" s="389" t="s">
        <v>586</v>
      </c>
      <c r="K31" s="786">
        <f>500000+3500000+1429771+788425+1000000+1000000</f>
        <v>8218196</v>
      </c>
      <c r="L31" s="532"/>
      <c r="M31" s="533">
        <v>3591524.87</v>
      </c>
      <c r="N31" s="365"/>
      <c r="O31" s="1286" t="s">
        <v>151</v>
      </c>
      <c r="P31" s="389"/>
    </row>
    <row r="32" spans="1:16" s="366" customFormat="1" ht="30.75" hidden="1" customHeight="1" x14ac:dyDescent="0.3">
      <c r="A32" s="530"/>
      <c r="B32" s="534" t="s">
        <v>1168</v>
      </c>
      <c r="C32" s="451" t="s">
        <v>1130</v>
      </c>
      <c r="I32" s="531" t="s">
        <v>1169</v>
      </c>
      <c r="J32" s="389" t="s">
        <v>586</v>
      </c>
      <c r="K32" s="787"/>
      <c r="L32" s="532"/>
      <c r="M32" s="486"/>
      <c r="N32" s="365"/>
      <c r="O32" s="1287"/>
      <c r="P32" s="389"/>
    </row>
    <row r="33" spans="1:16" s="366" customFormat="1" ht="49.5" hidden="1" customHeight="1" x14ac:dyDescent="0.3">
      <c r="A33" s="530"/>
      <c r="B33" s="521" t="s">
        <v>1201</v>
      </c>
      <c r="C33" s="451"/>
      <c r="I33" s="531"/>
      <c r="J33" s="389"/>
      <c r="K33" s="536">
        <v>0</v>
      </c>
      <c r="L33" s="532"/>
      <c r="M33" s="486"/>
      <c r="N33" s="365"/>
      <c r="O33" s="810"/>
      <c r="P33" s="389"/>
    </row>
    <row r="34" spans="1:16" s="366" customFormat="1" ht="44.25" customHeight="1" x14ac:dyDescent="0.35">
      <c r="A34" s="446">
        <v>2</v>
      </c>
      <c r="B34" s="538" t="s">
        <v>1082</v>
      </c>
      <c r="C34" s="539"/>
      <c r="D34" s="540"/>
      <c r="E34" s="540"/>
      <c r="F34" s="540"/>
      <c r="G34" s="540"/>
      <c r="H34" s="540"/>
      <c r="I34" s="541" t="s">
        <v>1336</v>
      </c>
      <c r="J34" s="542"/>
      <c r="K34" s="788">
        <f>K35</f>
        <v>53000</v>
      </c>
      <c r="L34" s="540"/>
      <c r="M34" s="788">
        <f>M35</f>
        <v>6732</v>
      </c>
      <c r="N34" s="448"/>
      <c r="O34" s="432" t="s">
        <v>151</v>
      </c>
      <c r="P34" s="544"/>
    </row>
    <row r="35" spans="1:16" s="366" customFormat="1" ht="42.75" customHeight="1" x14ac:dyDescent="0.3">
      <c r="A35" s="388"/>
      <c r="B35" s="459" t="s">
        <v>765</v>
      </c>
      <c r="C35" s="545" t="s">
        <v>1089</v>
      </c>
      <c r="I35" s="452" t="s">
        <v>1288</v>
      </c>
      <c r="J35" s="363" t="s">
        <v>586</v>
      </c>
      <c r="K35" s="785">
        <v>53000</v>
      </c>
      <c r="L35" s="532"/>
      <c r="M35" s="361">
        <v>6732</v>
      </c>
      <c r="N35" s="365"/>
      <c r="O35" s="450"/>
      <c r="P35" s="546"/>
    </row>
    <row r="36" spans="1:16" s="366" customFormat="1" ht="52.8" x14ac:dyDescent="0.35">
      <c r="A36" s="446">
        <v>3</v>
      </c>
      <c r="B36" s="447" t="s">
        <v>1092</v>
      </c>
      <c r="C36" s="448"/>
      <c r="D36" s="448"/>
      <c r="E36" s="448"/>
      <c r="F36" s="448"/>
      <c r="G36" s="448"/>
      <c r="H36" s="547"/>
      <c r="I36" s="429" t="s">
        <v>1338</v>
      </c>
      <c r="J36" s="430"/>
      <c r="K36" s="548">
        <f>K37+K38+K39+K40+K43+K44+K45+K41+K46+K42</f>
        <v>13438936.620000001</v>
      </c>
      <c r="L36" s="448"/>
      <c r="M36" s="548">
        <f>M37+M38+M39+M40+M43+M44+M45+M41+M46+M42</f>
        <v>5511518.8700000001</v>
      </c>
      <c r="N36" s="448"/>
      <c r="O36" s="432" t="s">
        <v>1096</v>
      </c>
      <c r="P36" s="365"/>
    </row>
    <row r="37" spans="1:16" s="474" customFormat="1" ht="31.2" x14ac:dyDescent="0.35">
      <c r="A37" s="467"/>
      <c r="B37" s="549" t="s">
        <v>1231</v>
      </c>
      <c r="C37" s="550" t="s">
        <v>1093</v>
      </c>
      <c r="D37" s="476"/>
      <c r="E37" s="476"/>
      <c r="F37" s="476"/>
      <c r="G37" s="476"/>
      <c r="H37" s="551"/>
      <c r="I37" s="552" t="s">
        <v>1225</v>
      </c>
      <c r="J37" s="371" t="s">
        <v>586</v>
      </c>
      <c r="K37" s="525">
        <v>106000</v>
      </c>
      <c r="L37" s="448"/>
      <c r="M37" s="533"/>
      <c r="N37" s="470"/>
      <c r="O37" s="1280" t="s">
        <v>151</v>
      </c>
      <c r="P37" s="476"/>
    </row>
    <row r="38" spans="1:16" s="366" customFormat="1" ht="31.2" x14ac:dyDescent="0.35">
      <c r="A38" s="446"/>
      <c r="B38" s="459" t="s">
        <v>1281</v>
      </c>
      <c r="C38" s="451" t="s">
        <v>1094</v>
      </c>
      <c r="D38" s="365"/>
      <c r="E38" s="365"/>
      <c r="F38" s="365"/>
      <c r="G38" s="365"/>
      <c r="H38" s="365"/>
      <c r="I38" s="452" t="s">
        <v>1280</v>
      </c>
      <c r="J38" s="363" t="s">
        <v>586</v>
      </c>
      <c r="K38" s="785">
        <v>53000</v>
      </c>
      <c r="L38" s="448"/>
      <c r="M38" s="533"/>
      <c r="N38" s="448"/>
      <c r="O38" s="1282"/>
      <c r="P38" s="365"/>
    </row>
    <row r="39" spans="1:16" s="366" customFormat="1" ht="31.2" x14ac:dyDescent="0.35">
      <c r="A39" s="446"/>
      <c r="B39" s="459" t="s">
        <v>1283</v>
      </c>
      <c r="C39" s="451" t="s">
        <v>1094</v>
      </c>
      <c r="D39" s="365"/>
      <c r="E39" s="365"/>
      <c r="F39" s="365"/>
      <c r="G39" s="365"/>
      <c r="H39" s="365"/>
      <c r="I39" s="452" t="s">
        <v>1282</v>
      </c>
      <c r="J39" s="363" t="s">
        <v>586</v>
      </c>
      <c r="K39" s="785">
        <v>106000</v>
      </c>
      <c r="L39" s="448"/>
      <c r="M39" s="533"/>
      <c r="N39" s="448"/>
      <c r="O39" s="1282"/>
      <c r="P39" s="365"/>
    </row>
    <row r="40" spans="1:16" s="366" customFormat="1" ht="18" x14ac:dyDescent="0.35">
      <c r="A40" s="446"/>
      <c r="B40" s="459" t="s">
        <v>751</v>
      </c>
      <c r="C40" s="451" t="s">
        <v>1094</v>
      </c>
      <c r="D40" s="365"/>
      <c r="E40" s="365"/>
      <c r="F40" s="365"/>
      <c r="G40" s="365"/>
      <c r="H40" s="365"/>
      <c r="I40" s="452" t="s">
        <v>1286</v>
      </c>
      <c r="J40" s="363" t="s">
        <v>586</v>
      </c>
      <c r="K40" s="785">
        <v>212000</v>
      </c>
      <c r="L40" s="448"/>
      <c r="M40" s="533"/>
      <c r="N40" s="448"/>
      <c r="O40" s="1283"/>
      <c r="P40" s="365"/>
    </row>
    <row r="41" spans="1:16" s="366" customFormat="1" ht="62.4" hidden="1" x14ac:dyDescent="0.35">
      <c r="A41" s="446"/>
      <c r="B41" s="478" t="s">
        <v>1181</v>
      </c>
      <c r="C41" s="451" t="s">
        <v>1180</v>
      </c>
      <c r="D41" s="365"/>
      <c r="E41" s="365"/>
      <c r="F41" s="365"/>
      <c r="G41" s="365"/>
      <c r="H41" s="555"/>
      <c r="I41" s="452" t="s">
        <v>752</v>
      </c>
      <c r="J41" s="363" t="s">
        <v>813</v>
      </c>
      <c r="K41" s="785"/>
      <c r="L41" s="448"/>
      <c r="M41" s="533"/>
      <c r="N41" s="448"/>
      <c r="O41" s="529" t="s">
        <v>1179</v>
      </c>
      <c r="P41" s="365"/>
    </row>
    <row r="42" spans="1:16" s="366" customFormat="1" ht="31.2" x14ac:dyDescent="0.35">
      <c r="A42" s="446"/>
      <c r="B42" s="478" t="s">
        <v>748</v>
      </c>
      <c r="C42" s="451" t="s">
        <v>1284</v>
      </c>
      <c r="D42" s="365"/>
      <c r="E42" s="365"/>
      <c r="F42" s="365"/>
      <c r="G42" s="365"/>
      <c r="H42" s="555"/>
      <c r="I42" s="452" t="s">
        <v>1285</v>
      </c>
      <c r="J42" s="363" t="s">
        <v>586</v>
      </c>
      <c r="K42" s="785">
        <v>100000</v>
      </c>
      <c r="L42" s="448"/>
      <c r="M42" s="533"/>
      <c r="N42" s="448"/>
      <c r="O42" s="556" t="s">
        <v>151</v>
      </c>
      <c r="P42" s="365"/>
    </row>
    <row r="43" spans="1:16" s="366" customFormat="1" ht="31.2" x14ac:dyDescent="0.35">
      <c r="A43" s="446"/>
      <c r="B43" s="459" t="s">
        <v>918</v>
      </c>
      <c r="C43" s="451" t="s">
        <v>1095</v>
      </c>
      <c r="D43" s="448"/>
      <c r="E43" s="448"/>
      <c r="F43" s="448"/>
      <c r="G43" s="448"/>
      <c r="H43" s="547"/>
      <c r="I43" s="452" t="s">
        <v>1332</v>
      </c>
      <c r="J43" s="363" t="s">
        <v>613</v>
      </c>
      <c r="K43" s="785">
        <v>4819591.7</v>
      </c>
      <c r="L43" s="448"/>
      <c r="M43" s="487">
        <f>315426.44+431192.12+330694.17+459187.93+413932.84+335326</f>
        <v>2285759.5</v>
      </c>
      <c r="N43" s="448"/>
      <c r="O43" s="1316" t="s">
        <v>1097</v>
      </c>
      <c r="P43" s="365"/>
    </row>
    <row r="44" spans="1:16" s="366" customFormat="1" ht="18" x14ac:dyDescent="0.35">
      <c r="A44" s="446"/>
      <c r="B44" s="459" t="s">
        <v>921</v>
      </c>
      <c r="C44" s="451" t="s">
        <v>1095</v>
      </c>
      <c r="D44" s="448"/>
      <c r="E44" s="448"/>
      <c r="F44" s="448"/>
      <c r="G44" s="448"/>
      <c r="H44" s="547"/>
      <c r="I44" s="452" t="s">
        <v>1333</v>
      </c>
      <c r="J44" s="363" t="s">
        <v>613</v>
      </c>
      <c r="K44" s="785">
        <f>2775762.7+47577.97</f>
        <v>2823340.6700000004</v>
      </c>
      <c r="L44" s="448"/>
      <c r="M44" s="487">
        <f>141775.76+314481.03+172468.79+169088.79+163666.25+150093.37</f>
        <v>1111573.9900000002</v>
      </c>
      <c r="N44" s="448"/>
      <c r="O44" s="1317"/>
      <c r="P44" s="365"/>
    </row>
    <row r="45" spans="1:16" s="366" customFormat="1" ht="18" x14ac:dyDescent="0.35">
      <c r="A45" s="446"/>
      <c r="B45" s="459" t="s">
        <v>924</v>
      </c>
      <c r="C45" s="451" t="s">
        <v>1095</v>
      </c>
      <c r="D45" s="365"/>
      <c r="E45" s="365"/>
      <c r="F45" s="365"/>
      <c r="G45" s="365"/>
      <c r="H45" s="365"/>
      <c r="I45" s="452" t="s">
        <v>1334</v>
      </c>
      <c r="J45" s="363" t="s">
        <v>613</v>
      </c>
      <c r="K45" s="577">
        <f>4419004.25+800000</f>
        <v>5219004.25</v>
      </c>
      <c r="L45" s="448"/>
      <c r="M45" s="487">
        <f>240001.74+477497.23+367908.22+120949+287606.76+427107.66+193114.77</f>
        <v>2114185.38</v>
      </c>
      <c r="N45" s="448"/>
      <c r="O45" s="1317"/>
      <c r="P45" s="365"/>
    </row>
    <row r="46" spans="1:16" s="366" customFormat="1" ht="53.25" hidden="1" customHeight="1" x14ac:dyDescent="0.35">
      <c r="A46" s="446"/>
      <c r="B46" s="521" t="s">
        <v>926</v>
      </c>
      <c r="C46" s="451" t="s">
        <v>1095</v>
      </c>
      <c r="D46" s="365"/>
      <c r="E46" s="365"/>
      <c r="F46" s="365"/>
      <c r="G46" s="365"/>
      <c r="H46" s="365"/>
      <c r="I46" s="484" t="s">
        <v>1194</v>
      </c>
      <c r="J46" s="389" t="s">
        <v>613</v>
      </c>
      <c r="K46" s="786"/>
      <c r="L46" s="448"/>
      <c r="M46" s="533"/>
      <c r="N46" s="448"/>
      <c r="O46" s="1290"/>
      <c r="P46" s="365"/>
    </row>
    <row r="47" spans="1:16" s="366" customFormat="1" ht="52.8" x14ac:dyDescent="0.35">
      <c r="A47" s="446">
        <v>4</v>
      </c>
      <c r="B47" s="447" t="s">
        <v>1098</v>
      </c>
      <c r="C47" s="557"/>
      <c r="D47" s="448"/>
      <c r="E47" s="448"/>
      <c r="F47" s="448"/>
      <c r="G47" s="448"/>
      <c r="H47" s="448"/>
      <c r="I47" s="429" t="s">
        <v>1339</v>
      </c>
      <c r="J47" s="430"/>
      <c r="K47" s="548">
        <f>K49+K50+K51+K55+K53+K56+K54+K57+K48+K52</f>
        <v>2059831.3199999998</v>
      </c>
      <c r="L47" s="448"/>
      <c r="M47" s="548">
        <f>M49+M50+M51+M55+M53+M56+M54+M57+M48+M52</f>
        <v>202812</v>
      </c>
      <c r="N47" s="448"/>
      <c r="O47" s="432" t="s">
        <v>1160</v>
      </c>
      <c r="P47" s="365"/>
    </row>
    <row r="48" spans="1:16" s="366" customFormat="1" ht="31.8" x14ac:dyDescent="0.35">
      <c r="A48" s="446"/>
      <c r="B48" s="558" t="s">
        <v>1249</v>
      </c>
      <c r="C48" s="451" t="s">
        <v>1099</v>
      </c>
      <c r="D48" s="365"/>
      <c r="E48" s="365"/>
      <c r="F48" s="365"/>
      <c r="G48" s="365"/>
      <c r="H48" s="365"/>
      <c r="I48" s="452" t="s">
        <v>1250</v>
      </c>
      <c r="J48" s="389" t="s">
        <v>586</v>
      </c>
      <c r="K48" s="486">
        <f>100000-78000</f>
        <v>22000</v>
      </c>
      <c r="L48" s="368"/>
      <c r="M48" s="361"/>
      <c r="N48" s="448"/>
      <c r="O48" s="520"/>
      <c r="P48" s="365"/>
    </row>
    <row r="49" spans="1:16" s="366" customFormat="1" ht="15.6" x14ac:dyDescent="0.3">
      <c r="A49" s="388"/>
      <c r="B49" s="459" t="s">
        <v>651</v>
      </c>
      <c r="C49" s="451" t="s">
        <v>1099</v>
      </c>
      <c r="D49" s="365"/>
      <c r="E49" s="365"/>
      <c r="F49" s="365"/>
      <c r="G49" s="365"/>
      <c r="H49" s="365"/>
      <c r="I49" s="452" t="s">
        <v>1248</v>
      </c>
      <c r="J49" s="389" t="s">
        <v>586</v>
      </c>
      <c r="K49" s="486">
        <v>564980</v>
      </c>
      <c r="L49" s="368"/>
      <c r="M49" s="361"/>
      <c r="N49" s="365"/>
      <c r="O49" s="1318"/>
      <c r="P49" s="365"/>
    </row>
    <row r="50" spans="1:16" s="366" customFormat="1" ht="31.2" hidden="1" x14ac:dyDescent="0.3">
      <c r="A50" s="388"/>
      <c r="B50" s="423" t="s">
        <v>1027</v>
      </c>
      <c r="C50" s="451" t="s">
        <v>1101</v>
      </c>
      <c r="D50" s="365"/>
      <c r="E50" s="365"/>
      <c r="F50" s="365"/>
      <c r="G50" s="365"/>
      <c r="H50" s="365"/>
      <c r="I50" s="452" t="s">
        <v>1100</v>
      </c>
      <c r="J50" s="363" t="s">
        <v>586</v>
      </c>
      <c r="K50" s="785">
        <f>100000-50000-50000</f>
        <v>0</v>
      </c>
      <c r="L50" s="368"/>
      <c r="M50" s="361"/>
      <c r="N50" s="365"/>
      <c r="O50" s="1319"/>
      <c r="P50" s="365"/>
    </row>
    <row r="51" spans="1:16" s="366" customFormat="1" ht="42.75" customHeight="1" x14ac:dyDescent="0.3">
      <c r="A51" s="388"/>
      <c r="B51" s="1293" t="s">
        <v>1376</v>
      </c>
      <c r="C51" s="451" t="s">
        <v>1101</v>
      </c>
      <c r="D51" s="365"/>
      <c r="E51" s="365"/>
      <c r="F51" s="365"/>
      <c r="G51" s="365"/>
      <c r="H51" s="365"/>
      <c r="I51" s="1295" t="s">
        <v>1266</v>
      </c>
      <c r="J51" s="363" t="s">
        <v>586</v>
      </c>
      <c r="K51" s="785">
        <f>800000-800000+279990</f>
        <v>279990</v>
      </c>
      <c r="L51" s="368"/>
      <c r="M51" s="361"/>
      <c r="N51" s="365"/>
      <c r="O51" s="1319"/>
      <c r="P51" s="365"/>
    </row>
    <row r="52" spans="1:16" s="366" customFormat="1" ht="42.75" customHeight="1" x14ac:dyDescent="0.3">
      <c r="A52" s="388"/>
      <c r="B52" s="1294"/>
      <c r="C52" s="451" t="s">
        <v>1377</v>
      </c>
      <c r="D52" s="365"/>
      <c r="E52" s="365"/>
      <c r="F52" s="365"/>
      <c r="G52" s="365"/>
      <c r="H52" s="365"/>
      <c r="I52" s="1296"/>
      <c r="J52" s="363" t="s">
        <v>813</v>
      </c>
      <c r="K52" s="785">
        <f>800000-279990</f>
        <v>520010</v>
      </c>
      <c r="L52" s="368"/>
      <c r="M52" s="361">
        <f>32500+90312</f>
        <v>122812</v>
      </c>
      <c r="N52" s="365"/>
      <c r="O52" s="1320"/>
      <c r="P52" s="367"/>
    </row>
    <row r="53" spans="1:16" s="366" customFormat="1" ht="15.6" x14ac:dyDescent="0.3">
      <c r="A53" s="388"/>
      <c r="B53" s="459" t="s">
        <v>706</v>
      </c>
      <c r="C53" s="451" t="s">
        <v>1101</v>
      </c>
      <c r="D53" s="365"/>
      <c r="E53" s="365"/>
      <c r="F53" s="365"/>
      <c r="G53" s="365"/>
      <c r="H53" s="365"/>
      <c r="I53" s="452" t="s">
        <v>1267</v>
      </c>
      <c r="J53" s="363" t="s">
        <v>586</v>
      </c>
      <c r="K53" s="785">
        <v>380449.21</v>
      </c>
      <c r="L53" s="368"/>
      <c r="M53" s="361"/>
      <c r="N53" s="365"/>
      <c r="O53" s="1319"/>
      <c r="P53" s="367"/>
    </row>
    <row r="54" spans="1:16" s="366" customFormat="1" ht="15.6" x14ac:dyDescent="0.3">
      <c r="A54" s="388"/>
      <c r="B54" s="423" t="s">
        <v>1362</v>
      </c>
      <c r="C54" s="451" t="s">
        <v>1101</v>
      </c>
      <c r="D54" s="365"/>
      <c r="E54" s="365"/>
      <c r="F54" s="365"/>
      <c r="G54" s="365"/>
      <c r="H54" s="365"/>
      <c r="I54" s="452" t="s">
        <v>1363</v>
      </c>
      <c r="J54" s="363" t="s">
        <v>586</v>
      </c>
      <c r="K54" s="785">
        <v>78000</v>
      </c>
      <c r="L54" s="368"/>
      <c r="M54" s="361">
        <v>78000</v>
      </c>
      <c r="N54" s="365"/>
      <c r="O54" s="1320"/>
      <c r="P54" s="367"/>
    </row>
    <row r="55" spans="1:16" s="366" customFormat="1" ht="31.2" hidden="1" x14ac:dyDescent="0.3">
      <c r="A55" s="388"/>
      <c r="B55" s="459" t="s">
        <v>1158</v>
      </c>
      <c r="C55" s="451" t="s">
        <v>1159</v>
      </c>
      <c r="D55" s="365"/>
      <c r="E55" s="365"/>
      <c r="F55" s="365"/>
      <c r="G55" s="365"/>
      <c r="H55" s="365"/>
      <c r="I55" s="480" t="s">
        <v>707</v>
      </c>
      <c r="J55" s="363" t="s">
        <v>813</v>
      </c>
      <c r="K55" s="577"/>
      <c r="L55" s="368"/>
      <c r="M55" s="361"/>
      <c r="N55" s="365"/>
      <c r="O55" s="1321"/>
    </row>
    <row r="56" spans="1:16" s="366" customFormat="1" ht="31.2" x14ac:dyDescent="0.3">
      <c r="A56" s="388"/>
      <c r="B56" s="459" t="s">
        <v>1237</v>
      </c>
      <c r="C56" s="451" t="s">
        <v>1170</v>
      </c>
      <c r="D56" s="365"/>
      <c r="E56" s="365"/>
      <c r="F56" s="365"/>
      <c r="G56" s="365"/>
      <c r="H56" s="365"/>
      <c r="I56" s="389" t="s">
        <v>1238</v>
      </c>
      <c r="J56" s="389" t="s">
        <v>586</v>
      </c>
      <c r="K56" s="786">
        <v>214402.11</v>
      </c>
      <c r="L56" s="368"/>
      <c r="M56" s="361">
        <v>2000</v>
      </c>
      <c r="N56" s="365"/>
      <c r="O56" s="820"/>
    </row>
    <row r="57" spans="1:16" s="366" customFormat="1" ht="46.8" hidden="1" x14ac:dyDescent="0.3">
      <c r="A57" s="388"/>
      <c r="B57" s="521" t="s">
        <v>1195</v>
      </c>
      <c r="C57" s="451" t="s">
        <v>1101</v>
      </c>
      <c r="D57" s="365"/>
      <c r="E57" s="365"/>
      <c r="F57" s="365"/>
      <c r="G57" s="365"/>
      <c r="H57" s="365"/>
      <c r="I57" s="484" t="s">
        <v>1196</v>
      </c>
      <c r="J57" s="389" t="s">
        <v>586</v>
      </c>
      <c r="K57" s="786"/>
      <c r="L57" s="368"/>
      <c r="M57" s="486"/>
      <c r="N57" s="365"/>
      <c r="O57" s="820"/>
    </row>
    <row r="58" spans="1:16" s="366" customFormat="1" ht="54" x14ac:dyDescent="0.35">
      <c r="A58" s="446">
        <v>5</v>
      </c>
      <c r="B58" s="447" t="s">
        <v>1102</v>
      </c>
      <c r="C58" s="448"/>
      <c r="D58" s="448"/>
      <c r="E58" s="448"/>
      <c r="F58" s="448"/>
      <c r="G58" s="448"/>
      <c r="H58" s="448"/>
      <c r="I58" s="429" t="s">
        <v>1340</v>
      </c>
      <c r="J58" s="430"/>
      <c r="K58" s="548">
        <f>K62+K63+K65+K60+K59+K61+K64</f>
        <v>9873354.629999999</v>
      </c>
      <c r="L58" s="448"/>
      <c r="M58" s="548">
        <f>M62+M63+M65+M60+M59+M61+M64</f>
        <v>2562004.3199999998</v>
      </c>
      <c r="N58" s="448"/>
      <c r="O58" s="432" t="s">
        <v>1183</v>
      </c>
    </row>
    <row r="59" spans="1:16" s="366" customFormat="1" ht="26.25" customHeight="1" x14ac:dyDescent="0.35">
      <c r="A59" s="446"/>
      <c r="B59" s="660" t="s">
        <v>1197</v>
      </c>
      <c r="C59" s="451" t="s">
        <v>1103</v>
      </c>
      <c r="D59" s="448"/>
      <c r="E59" s="448"/>
      <c r="F59" s="448"/>
      <c r="G59" s="448"/>
      <c r="H59" s="448"/>
      <c r="I59" s="1334" t="s">
        <v>1364</v>
      </c>
      <c r="J59" s="389" t="s">
        <v>586</v>
      </c>
      <c r="K59" s="464">
        <f>5385000-924000+1504587.33-1780000-240000</f>
        <v>3945587.33</v>
      </c>
      <c r="L59" s="495"/>
      <c r="M59" s="789">
        <v>85000</v>
      </c>
      <c r="N59" s="448"/>
      <c r="O59" s="454" t="s">
        <v>151</v>
      </c>
    </row>
    <row r="60" spans="1:16" s="366" customFormat="1" ht="62.4" x14ac:dyDescent="0.35">
      <c r="A60" s="446"/>
      <c r="B60" s="455" t="s">
        <v>1184</v>
      </c>
      <c r="C60" s="451" t="s">
        <v>1400</v>
      </c>
      <c r="D60" s="448"/>
      <c r="E60" s="448"/>
      <c r="F60" s="448"/>
      <c r="G60" s="448"/>
      <c r="H60" s="448"/>
      <c r="I60" s="1296"/>
      <c r="J60" s="430">
        <v>500</v>
      </c>
      <c r="K60" s="464">
        <f>924000+780000+383767.3</f>
        <v>2087767.3</v>
      </c>
      <c r="L60" s="448"/>
      <c r="M60" s="785">
        <f>924000+780000</f>
        <v>1704000</v>
      </c>
      <c r="N60" s="448"/>
      <c r="O60" s="456" t="s">
        <v>1179</v>
      </c>
    </row>
    <row r="61" spans="1:16" s="366" customFormat="1" ht="47.4" x14ac:dyDescent="0.35">
      <c r="A61" s="446"/>
      <c r="B61" s="831" t="s">
        <v>1402</v>
      </c>
      <c r="C61" s="451" t="s">
        <v>1400</v>
      </c>
      <c r="D61" s="448"/>
      <c r="E61" s="448"/>
      <c r="F61" s="448"/>
      <c r="G61" s="448"/>
      <c r="H61" s="448"/>
      <c r="I61" s="452" t="s">
        <v>1401</v>
      </c>
      <c r="J61" s="430">
        <v>500</v>
      </c>
      <c r="K61" s="464">
        <v>340000</v>
      </c>
      <c r="L61" s="448"/>
      <c r="M61" s="790">
        <v>340000</v>
      </c>
      <c r="N61" s="448"/>
      <c r="O61" s="815"/>
    </row>
    <row r="62" spans="1:16" s="366" customFormat="1" ht="31.2" hidden="1" x14ac:dyDescent="0.3">
      <c r="A62" s="388"/>
      <c r="B62" s="459" t="s">
        <v>822</v>
      </c>
      <c r="C62" s="451" t="s">
        <v>1105</v>
      </c>
      <c r="D62" s="365"/>
      <c r="E62" s="365"/>
      <c r="F62" s="365"/>
      <c r="G62" s="365"/>
      <c r="H62" s="365"/>
      <c r="I62" s="452" t="s">
        <v>823</v>
      </c>
      <c r="J62" s="363" t="s">
        <v>613</v>
      </c>
      <c r="K62" s="785"/>
      <c r="L62" s="368"/>
      <c r="M62" s="361"/>
      <c r="N62" s="365"/>
      <c r="O62" s="1322" t="s">
        <v>968</v>
      </c>
    </row>
    <row r="63" spans="1:16" s="366" customFormat="1" ht="15.6" hidden="1" x14ac:dyDescent="0.3">
      <c r="A63" s="460"/>
      <c r="B63" s="459" t="s">
        <v>825</v>
      </c>
      <c r="C63" s="451" t="s">
        <v>1105</v>
      </c>
      <c r="D63" s="461"/>
      <c r="E63" s="461"/>
      <c r="F63" s="461"/>
      <c r="G63" s="461"/>
      <c r="H63" s="461"/>
      <c r="I63" s="452" t="s">
        <v>826</v>
      </c>
      <c r="J63" s="363" t="s">
        <v>613</v>
      </c>
      <c r="K63" s="785"/>
      <c r="L63" s="368"/>
      <c r="M63" s="361"/>
      <c r="N63" s="461"/>
      <c r="O63" s="1323"/>
      <c r="P63" s="462"/>
    </row>
    <row r="64" spans="1:16" s="366" customFormat="1" ht="15.6" x14ac:dyDescent="0.3">
      <c r="A64" s="460"/>
      <c r="B64" s="1293" t="s">
        <v>828</v>
      </c>
      <c r="C64" s="451" t="s">
        <v>1142</v>
      </c>
      <c r="D64" s="365"/>
      <c r="E64" s="365"/>
      <c r="F64" s="365"/>
      <c r="G64" s="365"/>
      <c r="H64" s="365"/>
      <c r="I64" s="452" t="s">
        <v>1306</v>
      </c>
      <c r="J64" s="363" t="s">
        <v>613</v>
      </c>
      <c r="K64" s="785">
        <v>681008.52</v>
      </c>
      <c r="L64" s="368"/>
      <c r="M64" s="361">
        <v>433004.32</v>
      </c>
      <c r="N64" s="461"/>
      <c r="O64" s="1323"/>
      <c r="P64" s="462"/>
    </row>
    <row r="65" spans="1:15" s="366" customFormat="1" ht="15.6" x14ac:dyDescent="0.3">
      <c r="A65" s="388"/>
      <c r="B65" s="1415"/>
      <c r="C65" s="451" t="s">
        <v>1105</v>
      </c>
      <c r="D65" s="365"/>
      <c r="E65" s="365"/>
      <c r="F65" s="365"/>
      <c r="G65" s="365"/>
      <c r="H65" s="365"/>
      <c r="I65" s="452" t="s">
        <v>1306</v>
      </c>
      <c r="J65" s="363" t="s">
        <v>613</v>
      </c>
      <c r="K65" s="464">
        <f>3500000-681008.52</f>
        <v>2818991.48</v>
      </c>
      <c r="L65" s="368"/>
      <c r="M65" s="361"/>
      <c r="N65" s="365"/>
      <c r="O65" s="1324"/>
    </row>
    <row r="66" spans="1:15" s="366" customFormat="1" ht="54" x14ac:dyDescent="0.35">
      <c r="A66" s="446">
        <v>6</v>
      </c>
      <c r="B66" s="447" t="s">
        <v>1106</v>
      </c>
      <c r="C66" s="557"/>
      <c r="D66" s="448"/>
      <c r="E66" s="448"/>
      <c r="F66" s="448"/>
      <c r="G66" s="448"/>
      <c r="H66" s="448"/>
      <c r="I66" s="429" t="s">
        <v>1341</v>
      </c>
      <c r="J66" s="430"/>
      <c r="K66" s="548">
        <f>K67</f>
        <v>50000</v>
      </c>
      <c r="L66" s="448"/>
      <c r="M66" s="548">
        <f>M67</f>
        <v>0</v>
      </c>
      <c r="N66" s="448"/>
      <c r="O66" s="432" t="s">
        <v>151</v>
      </c>
    </row>
    <row r="67" spans="1:15" s="366" customFormat="1" ht="31.2" x14ac:dyDescent="0.3">
      <c r="A67" s="561"/>
      <c r="B67" s="459" t="s">
        <v>728</v>
      </c>
      <c r="C67" s="387" t="s">
        <v>1107</v>
      </c>
      <c r="D67" s="562"/>
      <c r="E67" s="562"/>
      <c r="F67" s="562"/>
      <c r="G67" s="562"/>
      <c r="H67" s="562"/>
      <c r="I67" s="452" t="s">
        <v>1273</v>
      </c>
      <c r="J67" s="363" t="s">
        <v>586</v>
      </c>
      <c r="K67" s="785">
        <v>50000</v>
      </c>
      <c r="L67" s="368"/>
      <c r="M67" s="361"/>
      <c r="N67" s="365"/>
      <c r="O67" s="563"/>
    </row>
    <row r="68" spans="1:15" s="474" customFormat="1" ht="36" x14ac:dyDescent="0.35">
      <c r="A68" s="467">
        <v>7</v>
      </c>
      <c r="B68" s="468" t="s">
        <v>1108</v>
      </c>
      <c r="C68" s="469"/>
      <c r="D68" s="470"/>
      <c r="E68" s="470"/>
      <c r="F68" s="470"/>
      <c r="G68" s="470"/>
      <c r="H68" s="470"/>
      <c r="I68" s="471" t="s">
        <v>1342</v>
      </c>
      <c r="J68" s="472"/>
      <c r="K68" s="436">
        <f>K69+K70+K71</f>
        <v>26551599.059999999</v>
      </c>
      <c r="L68" s="448"/>
      <c r="M68" s="436">
        <f>M69+M70+M71</f>
        <v>1065343.3</v>
      </c>
      <c r="N68" s="470"/>
      <c r="O68" s="432" t="s">
        <v>151</v>
      </c>
    </row>
    <row r="69" spans="1:15" s="474" customFormat="1" ht="46.8" x14ac:dyDescent="0.3">
      <c r="A69" s="475"/>
      <c r="B69" s="423" t="s">
        <v>697</v>
      </c>
      <c r="C69" s="395" t="s">
        <v>1109</v>
      </c>
      <c r="D69" s="476"/>
      <c r="E69" s="476"/>
      <c r="F69" s="476"/>
      <c r="G69" s="476"/>
      <c r="H69" s="476"/>
      <c r="I69" s="477" t="s">
        <v>1262</v>
      </c>
      <c r="J69" s="371" t="s">
        <v>700</v>
      </c>
      <c r="K69" s="785">
        <v>2500000</v>
      </c>
      <c r="L69" s="368"/>
      <c r="M69" s="361">
        <f>1065343.3-1065343.3</f>
        <v>0</v>
      </c>
      <c r="N69" s="476"/>
      <c r="O69" s="1325"/>
    </row>
    <row r="70" spans="1:15" s="366" customFormat="1" ht="31.2" x14ac:dyDescent="0.3">
      <c r="A70" s="388"/>
      <c r="B70" s="459" t="s">
        <v>768</v>
      </c>
      <c r="C70" s="387" t="s">
        <v>1111</v>
      </c>
      <c r="D70" s="365"/>
      <c r="E70" s="365"/>
      <c r="F70" s="365"/>
      <c r="G70" s="365"/>
      <c r="H70" s="365"/>
      <c r="I70" s="452" t="s">
        <v>1289</v>
      </c>
      <c r="J70" s="363" t="s">
        <v>764</v>
      </c>
      <c r="K70" s="785">
        <v>1000000</v>
      </c>
      <c r="L70" s="368"/>
      <c r="M70" s="361"/>
      <c r="N70" s="365"/>
      <c r="O70" s="1326"/>
    </row>
    <row r="71" spans="1:15" s="366" customFormat="1" ht="46.8" x14ac:dyDescent="0.3">
      <c r="A71" s="388"/>
      <c r="B71" s="423" t="s">
        <v>1360</v>
      </c>
      <c r="C71" s="387" t="s">
        <v>1109</v>
      </c>
      <c r="D71" s="365"/>
      <c r="E71" s="365"/>
      <c r="F71" s="365"/>
      <c r="G71" s="365"/>
      <c r="H71" s="365"/>
      <c r="I71" s="452" t="s">
        <v>1359</v>
      </c>
      <c r="J71" s="363" t="s">
        <v>700</v>
      </c>
      <c r="K71" s="785">
        <f>18304436.83+5535587.23-788425</f>
        <v>23051599.059999999</v>
      </c>
      <c r="L71" s="368"/>
      <c r="M71" s="791">
        <v>1065343.3</v>
      </c>
      <c r="N71" s="365"/>
      <c r="O71" s="811"/>
    </row>
    <row r="72" spans="1:15" s="366" customFormat="1" ht="35.4" x14ac:dyDescent="0.35">
      <c r="A72" s="425">
        <v>8</v>
      </c>
      <c r="B72" s="437" t="s">
        <v>561</v>
      </c>
      <c r="C72" s="427"/>
      <c r="D72" s="428"/>
      <c r="E72" s="428"/>
      <c r="F72" s="428"/>
      <c r="G72" s="428"/>
      <c r="H72" s="428"/>
      <c r="I72" s="429" t="s">
        <v>1343</v>
      </c>
      <c r="J72" s="430"/>
      <c r="K72" s="438">
        <f>K73+K74+K75+K76+K77</f>
        <v>233880</v>
      </c>
      <c r="L72" s="428"/>
      <c r="M72" s="438">
        <f>M73+M74+M75+M76+M77</f>
        <v>6534</v>
      </c>
      <c r="N72" s="428"/>
      <c r="O72" s="432" t="s">
        <v>151</v>
      </c>
    </row>
    <row r="73" spans="1:15" s="366" customFormat="1" ht="31.2" x14ac:dyDescent="0.3">
      <c r="A73" s="388"/>
      <c r="B73" s="459" t="s">
        <v>684</v>
      </c>
      <c r="C73" s="387" t="s">
        <v>1114</v>
      </c>
      <c r="D73" s="365"/>
      <c r="E73" s="365"/>
      <c r="F73" s="365"/>
      <c r="G73" s="365"/>
      <c r="H73" s="365"/>
      <c r="I73" s="452" t="s">
        <v>1259</v>
      </c>
      <c r="J73" s="363" t="s">
        <v>528</v>
      </c>
      <c r="K73" s="785">
        <v>106000</v>
      </c>
      <c r="L73" s="368"/>
      <c r="M73" s="361"/>
      <c r="N73" s="365"/>
      <c r="O73" s="1325"/>
    </row>
    <row r="74" spans="1:15" s="366" customFormat="1" ht="62.4" x14ac:dyDescent="0.3">
      <c r="A74" s="388"/>
      <c r="B74" s="459" t="s">
        <v>687</v>
      </c>
      <c r="C74" s="387" t="s">
        <v>1114</v>
      </c>
      <c r="D74" s="365"/>
      <c r="E74" s="365"/>
      <c r="F74" s="365"/>
      <c r="G74" s="365"/>
      <c r="H74" s="365"/>
      <c r="I74" s="452" t="s">
        <v>1260</v>
      </c>
      <c r="J74" s="363" t="s">
        <v>528</v>
      </c>
      <c r="K74" s="785">
        <v>53000</v>
      </c>
      <c r="L74" s="368"/>
      <c r="M74" s="361"/>
      <c r="N74" s="365"/>
      <c r="O74" s="1327"/>
    </row>
    <row r="75" spans="1:15" s="366" customFormat="1" ht="31.2" x14ac:dyDescent="0.3">
      <c r="A75" s="388"/>
      <c r="B75" s="459" t="s">
        <v>690</v>
      </c>
      <c r="C75" s="826" t="s">
        <v>1114</v>
      </c>
      <c r="D75" s="482"/>
      <c r="E75" s="482"/>
      <c r="F75" s="482"/>
      <c r="G75" s="482"/>
      <c r="H75" s="482"/>
      <c r="I75" s="480" t="s">
        <v>1261</v>
      </c>
      <c r="J75" s="564" t="s">
        <v>586</v>
      </c>
      <c r="K75" s="577">
        <v>24000</v>
      </c>
      <c r="L75" s="368"/>
      <c r="M75" s="361">
        <v>6534</v>
      </c>
      <c r="N75" s="365"/>
      <c r="O75" s="1326"/>
    </row>
    <row r="76" spans="1:15" s="366" customFormat="1" ht="31.2" x14ac:dyDescent="0.3">
      <c r="A76" s="388"/>
      <c r="B76" s="565" t="s">
        <v>1171</v>
      </c>
      <c r="C76" s="387" t="s">
        <v>1172</v>
      </c>
      <c r="D76" s="365"/>
      <c r="E76" s="365"/>
      <c r="F76" s="365"/>
      <c r="G76" s="365"/>
      <c r="H76" s="365"/>
      <c r="I76" s="389" t="s">
        <v>1246</v>
      </c>
      <c r="J76" s="389" t="s">
        <v>528</v>
      </c>
      <c r="K76" s="786">
        <v>31800</v>
      </c>
      <c r="L76" s="368"/>
      <c r="M76" s="361"/>
      <c r="N76" s="365"/>
      <c r="O76" s="811"/>
    </row>
    <row r="77" spans="1:15" s="366" customFormat="1" ht="62.4" x14ac:dyDescent="0.3">
      <c r="A77" s="388"/>
      <c r="B77" s="565" t="s">
        <v>1173</v>
      </c>
      <c r="C77" s="387" t="s">
        <v>1172</v>
      </c>
      <c r="D77" s="365"/>
      <c r="E77" s="365"/>
      <c r="F77" s="365"/>
      <c r="G77" s="365"/>
      <c r="H77" s="365"/>
      <c r="I77" s="389" t="s">
        <v>1247</v>
      </c>
      <c r="J77" s="389" t="s">
        <v>528</v>
      </c>
      <c r="K77" s="786">
        <v>19080</v>
      </c>
      <c r="L77" s="368"/>
      <c r="M77" s="361"/>
      <c r="N77" s="365"/>
      <c r="O77" s="811"/>
    </row>
    <row r="78" spans="1:15" s="366" customFormat="1" ht="36" x14ac:dyDescent="0.35">
      <c r="A78" s="446">
        <v>9</v>
      </c>
      <c r="B78" s="566" t="s">
        <v>560</v>
      </c>
      <c r="C78" s="365"/>
      <c r="D78" s="365"/>
      <c r="E78" s="365"/>
      <c r="F78" s="365"/>
      <c r="G78" s="365"/>
      <c r="H78" s="365"/>
      <c r="I78" s="429" t="s">
        <v>1344</v>
      </c>
      <c r="J78" s="430"/>
      <c r="K78" s="436">
        <f>K79+K80+K81+K82+K83</f>
        <v>6439308.7000000002</v>
      </c>
      <c r="L78" s="368"/>
      <c r="M78" s="436">
        <f>M79+M80+M81+M82+M83</f>
        <v>337367.51</v>
      </c>
      <c r="N78" s="365"/>
      <c r="O78" s="432" t="s">
        <v>151</v>
      </c>
    </row>
    <row r="79" spans="1:15" s="366" customFormat="1" ht="18" x14ac:dyDescent="0.35">
      <c r="A79" s="446"/>
      <c r="B79" s="459" t="s">
        <v>787</v>
      </c>
      <c r="C79" s="387" t="s">
        <v>1116</v>
      </c>
      <c r="D79" s="365"/>
      <c r="E79" s="365"/>
      <c r="F79" s="365"/>
      <c r="G79" s="365"/>
      <c r="H79" s="365"/>
      <c r="I79" s="452" t="s">
        <v>1295</v>
      </c>
      <c r="J79" s="363" t="s">
        <v>586</v>
      </c>
      <c r="K79" s="785">
        <v>476999</v>
      </c>
      <c r="L79" s="368"/>
      <c r="M79" s="361">
        <f>10146.64+26907+37893.28+15554.98+10789.64</f>
        <v>101291.54</v>
      </c>
      <c r="N79" s="365"/>
      <c r="O79" s="1325"/>
    </row>
    <row r="80" spans="1:15" s="366" customFormat="1" ht="15.6" x14ac:dyDescent="0.3">
      <c r="A80" s="388"/>
      <c r="B80" s="534" t="s">
        <v>781</v>
      </c>
      <c r="C80" s="387" t="s">
        <v>1115</v>
      </c>
      <c r="D80" s="365"/>
      <c r="E80" s="365"/>
      <c r="F80" s="365"/>
      <c r="G80" s="365"/>
      <c r="H80" s="365"/>
      <c r="I80" s="452" t="s">
        <v>1293</v>
      </c>
      <c r="J80" s="363" t="s">
        <v>586</v>
      </c>
      <c r="K80" s="785">
        <f>450000+928700</f>
        <v>1378700</v>
      </c>
      <c r="L80" s="368"/>
      <c r="M80" s="361"/>
      <c r="N80" s="365"/>
      <c r="O80" s="1327"/>
    </row>
    <row r="81" spans="1:15" s="366" customFormat="1" ht="15.6" x14ac:dyDescent="0.3">
      <c r="A81" s="388"/>
      <c r="B81" s="459" t="s">
        <v>790</v>
      </c>
      <c r="C81" s="387" t="s">
        <v>1116</v>
      </c>
      <c r="D81" s="365"/>
      <c r="E81" s="365"/>
      <c r="F81" s="365"/>
      <c r="G81" s="365"/>
      <c r="H81" s="365"/>
      <c r="I81" s="452" t="s">
        <v>1296</v>
      </c>
      <c r="J81" s="363" t="s">
        <v>586</v>
      </c>
      <c r="K81" s="785">
        <v>529999</v>
      </c>
      <c r="L81" s="368"/>
      <c r="M81" s="361">
        <f>189150-107882+28785.7+126022.27</f>
        <v>236075.97</v>
      </c>
      <c r="N81" s="365"/>
      <c r="O81" s="1327"/>
    </row>
    <row r="82" spans="1:15" s="366" customFormat="1" ht="31.2" x14ac:dyDescent="0.3">
      <c r="A82" s="388"/>
      <c r="B82" s="459" t="s">
        <v>784</v>
      </c>
      <c r="C82" s="387" t="s">
        <v>1115</v>
      </c>
      <c r="D82" s="365"/>
      <c r="E82" s="365"/>
      <c r="F82" s="365"/>
      <c r="G82" s="365"/>
      <c r="H82" s="365"/>
      <c r="I82" s="452" t="s">
        <v>1294</v>
      </c>
      <c r="J82" s="363" t="s">
        <v>586</v>
      </c>
      <c r="K82" s="785">
        <f>100000-50000</f>
        <v>50000</v>
      </c>
      <c r="L82" s="368"/>
      <c r="M82" s="361"/>
      <c r="N82" s="365"/>
      <c r="O82" s="1326"/>
    </row>
    <row r="83" spans="1:15" s="366" customFormat="1" ht="31.2" x14ac:dyDescent="0.3">
      <c r="A83" s="388"/>
      <c r="B83" s="521" t="s">
        <v>1297</v>
      </c>
      <c r="C83" s="387" t="s">
        <v>1116</v>
      </c>
      <c r="D83" s="365"/>
      <c r="E83" s="365"/>
      <c r="F83" s="365"/>
      <c r="G83" s="365"/>
      <c r="H83" s="365"/>
      <c r="I83" s="452" t="s">
        <v>1298</v>
      </c>
      <c r="J83" s="363" t="s">
        <v>700</v>
      </c>
      <c r="K83" s="464">
        <f>6000000-152000-1210622-633767.3</f>
        <v>4003610.7</v>
      </c>
      <c r="L83" s="368"/>
      <c r="M83" s="361"/>
      <c r="N83" s="365"/>
      <c r="O83" s="811"/>
    </row>
    <row r="84" spans="1:15" s="366" customFormat="1" ht="70.2" x14ac:dyDescent="0.35">
      <c r="A84" s="446">
        <v>10</v>
      </c>
      <c r="B84" s="447" t="s">
        <v>562</v>
      </c>
      <c r="C84" s="365"/>
      <c r="D84" s="365"/>
      <c r="E84" s="365"/>
      <c r="F84" s="365"/>
      <c r="G84" s="365"/>
      <c r="H84" s="365"/>
      <c r="I84" s="429" t="s">
        <v>1345</v>
      </c>
      <c r="J84" s="430"/>
      <c r="K84" s="436">
        <f>K85+K89+K91+K92+K94+K98+K101+K107+K109+K111+K110+K108+K112+K93+K106+K105+K90</f>
        <v>79545067.74000001</v>
      </c>
      <c r="L84" s="368"/>
      <c r="M84" s="436">
        <f>M85+M89+M91+M92+M94+M98+M101+M107+M109+M111+M110+M108+M112+M93+M106+M105+M90</f>
        <v>38404095.530000009</v>
      </c>
      <c r="N84" s="365"/>
      <c r="O84" s="432" t="s">
        <v>1135</v>
      </c>
    </row>
    <row r="85" spans="1:15" s="366" customFormat="1" ht="15.6" x14ac:dyDescent="0.3">
      <c r="A85" s="1343"/>
      <c r="B85" s="1346" t="s">
        <v>796</v>
      </c>
      <c r="C85" s="387" t="s">
        <v>1131</v>
      </c>
      <c r="D85" s="388"/>
      <c r="E85" s="388"/>
      <c r="F85" s="388"/>
      <c r="G85" s="388"/>
      <c r="H85" s="388"/>
      <c r="I85" s="389" t="s">
        <v>1299</v>
      </c>
      <c r="J85" s="363"/>
      <c r="K85" s="785">
        <f>K86+K87+K88</f>
        <v>10546860.609999999</v>
      </c>
      <c r="L85" s="368"/>
      <c r="M85" s="785">
        <f>M86+M87+M88</f>
        <v>4870640.49</v>
      </c>
      <c r="N85" s="365"/>
      <c r="O85" s="1350" t="s">
        <v>1136</v>
      </c>
    </row>
    <row r="86" spans="1:15" s="366" customFormat="1" ht="15.6" x14ac:dyDescent="0.3">
      <c r="A86" s="1344"/>
      <c r="B86" s="1298"/>
      <c r="C86" s="382"/>
      <c r="D86" s="386"/>
      <c r="E86" s="386"/>
      <c r="F86" s="386"/>
      <c r="G86" s="386"/>
      <c r="H86" s="386"/>
      <c r="I86" s="383"/>
      <c r="J86" s="363" t="s">
        <v>162</v>
      </c>
      <c r="K86" s="785">
        <v>9687260.6099999994</v>
      </c>
      <c r="L86" s="368"/>
      <c r="M86" s="361">
        <f>524429.57+75+158298.21+536955.67+75+192902.57+568054.78+75+162342.28+648114.12+75+198805.22+573128.6+2476.7+169380.03+1012284.12</f>
        <v>4747471.87</v>
      </c>
      <c r="N86" s="365"/>
      <c r="O86" s="1351"/>
    </row>
    <row r="87" spans="1:15" s="366" customFormat="1" ht="15.6" x14ac:dyDescent="0.3">
      <c r="A87" s="1344"/>
      <c r="B87" s="1298"/>
      <c r="C87" s="382"/>
      <c r="D87" s="362"/>
      <c r="E87" s="362"/>
      <c r="F87" s="362"/>
      <c r="G87" s="362"/>
      <c r="H87" s="362"/>
      <c r="I87" s="383"/>
      <c r="J87" s="363" t="s">
        <v>586</v>
      </c>
      <c r="K87" s="785">
        <v>847600</v>
      </c>
      <c r="L87" s="368"/>
      <c r="M87" s="361">
        <f>815.14+20591.29+30465.97+12189.2+28272.17+30034.85</f>
        <v>122368.62</v>
      </c>
      <c r="N87" s="365"/>
      <c r="O87" s="1351"/>
    </row>
    <row r="88" spans="1:15" s="366" customFormat="1" ht="15.6" x14ac:dyDescent="0.3">
      <c r="A88" s="1345"/>
      <c r="B88" s="1299"/>
      <c r="C88" s="384"/>
      <c r="D88" s="362"/>
      <c r="E88" s="362"/>
      <c r="F88" s="362"/>
      <c r="G88" s="362"/>
      <c r="H88" s="362"/>
      <c r="I88" s="385"/>
      <c r="J88" s="363" t="s">
        <v>528</v>
      </c>
      <c r="K88" s="785">
        <v>12000</v>
      </c>
      <c r="L88" s="368"/>
      <c r="M88" s="361">
        <f>800</f>
        <v>800</v>
      </c>
      <c r="N88" s="365"/>
      <c r="O88" s="1351"/>
    </row>
    <row r="89" spans="1:15" s="366" customFormat="1" ht="78" x14ac:dyDescent="0.35">
      <c r="A89" s="446"/>
      <c r="B89" s="478" t="s">
        <v>810</v>
      </c>
      <c r="C89" s="387" t="s">
        <v>1133</v>
      </c>
      <c r="D89" s="365"/>
      <c r="E89" s="365"/>
      <c r="F89" s="365"/>
      <c r="G89" s="365"/>
      <c r="H89" s="365"/>
      <c r="I89" s="452" t="s">
        <v>1302</v>
      </c>
      <c r="J89" s="363" t="s">
        <v>813</v>
      </c>
      <c r="K89" s="785">
        <v>18000000</v>
      </c>
      <c r="L89" s="368"/>
      <c r="M89" s="361">
        <f>2126908+1469292+2403796+1499999+1499999</f>
        <v>8999994</v>
      </c>
      <c r="N89" s="365"/>
      <c r="O89" s="1351"/>
    </row>
    <row r="90" spans="1:15" s="366" customFormat="1" ht="62.4" x14ac:dyDescent="0.35">
      <c r="A90" s="446"/>
      <c r="B90" s="832" t="s">
        <v>1405</v>
      </c>
      <c r="C90" s="387" t="s">
        <v>1403</v>
      </c>
      <c r="D90" s="365"/>
      <c r="E90" s="365"/>
      <c r="F90" s="365"/>
      <c r="G90" s="365"/>
      <c r="H90" s="365"/>
      <c r="I90" s="452" t="s">
        <v>1404</v>
      </c>
      <c r="J90" s="363" t="s">
        <v>813</v>
      </c>
      <c r="K90" s="464">
        <v>150000</v>
      </c>
      <c r="L90" s="368"/>
      <c r="M90" s="361"/>
      <c r="N90" s="365"/>
      <c r="O90" s="1351"/>
    </row>
    <row r="91" spans="1:15" s="366" customFormat="1" ht="31.2" x14ac:dyDescent="0.35">
      <c r="A91" s="446"/>
      <c r="B91" s="459" t="s">
        <v>805</v>
      </c>
      <c r="C91" s="387" t="s">
        <v>1132</v>
      </c>
      <c r="D91" s="365"/>
      <c r="E91" s="365"/>
      <c r="F91" s="365"/>
      <c r="G91" s="365"/>
      <c r="H91" s="365"/>
      <c r="I91" s="452" t="s">
        <v>1301</v>
      </c>
      <c r="J91" s="363" t="s">
        <v>808</v>
      </c>
      <c r="K91" s="785">
        <f>51963.84-51963.84</f>
        <v>0</v>
      </c>
      <c r="L91" s="368"/>
      <c r="M91" s="361"/>
      <c r="N91" s="365"/>
      <c r="O91" s="1351"/>
    </row>
    <row r="92" spans="1:15" s="366" customFormat="1" ht="49.5" customHeight="1" x14ac:dyDescent="0.35">
      <c r="A92" s="493"/>
      <c r="B92" s="1297" t="s">
        <v>801</v>
      </c>
      <c r="C92" s="1347" t="s">
        <v>1131</v>
      </c>
      <c r="D92" s="522"/>
      <c r="E92" s="522"/>
      <c r="F92" s="522"/>
      <c r="G92" s="522"/>
      <c r="H92" s="522"/>
      <c r="I92" s="1295" t="s">
        <v>1300</v>
      </c>
      <c r="J92" s="363" t="s">
        <v>162</v>
      </c>
      <c r="K92" s="785">
        <f>600000+10000</f>
        <v>610000</v>
      </c>
      <c r="L92" s="368"/>
      <c r="M92" s="361">
        <f>30041.46+9072.51+32340.46+8828.94+38624.73+10544.55+33976.9+10661.72+35118.46+8201.31+38242.77</f>
        <v>255653.81</v>
      </c>
      <c r="N92" s="365"/>
      <c r="O92" s="1352"/>
    </row>
    <row r="93" spans="1:15" s="366" customFormat="1" ht="27.75" hidden="1" customHeight="1" x14ac:dyDescent="0.35">
      <c r="A93" s="494"/>
      <c r="B93" s="1299"/>
      <c r="C93" s="1348"/>
      <c r="D93" s="522"/>
      <c r="E93" s="522"/>
      <c r="F93" s="522"/>
      <c r="G93" s="522"/>
      <c r="H93" s="522"/>
      <c r="I93" s="1285"/>
      <c r="J93" s="363" t="s">
        <v>586</v>
      </c>
      <c r="K93" s="785"/>
      <c r="L93" s="368"/>
      <c r="M93" s="491"/>
      <c r="N93" s="365"/>
      <c r="O93" s="801"/>
    </row>
    <row r="94" spans="1:15" s="366" customFormat="1" ht="15.6" x14ac:dyDescent="0.3">
      <c r="A94" s="1349"/>
      <c r="B94" s="1297" t="s">
        <v>904</v>
      </c>
      <c r="C94" s="387" t="s">
        <v>1134</v>
      </c>
      <c r="D94" s="388"/>
      <c r="E94" s="388"/>
      <c r="F94" s="388"/>
      <c r="G94" s="388"/>
      <c r="H94" s="388"/>
      <c r="I94" s="389" t="s">
        <v>1328</v>
      </c>
      <c r="J94" s="363"/>
      <c r="K94" s="785">
        <f>K95+K96+K97</f>
        <v>5332603.96</v>
      </c>
      <c r="L94" s="368"/>
      <c r="M94" s="785">
        <f>M95+M96+M97</f>
        <v>2422473.65</v>
      </c>
      <c r="N94" s="365"/>
      <c r="O94" s="1288" t="s">
        <v>1097</v>
      </c>
    </row>
    <row r="95" spans="1:15" s="366" customFormat="1" ht="15.6" x14ac:dyDescent="0.3">
      <c r="A95" s="1344"/>
      <c r="B95" s="1298"/>
      <c r="C95" s="382"/>
      <c r="D95" s="386"/>
      <c r="E95" s="386"/>
      <c r="F95" s="386"/>
      <c r="G95" s="386"/>
      <c r="H95" s="386"/>
      <c r="I95" s="383"/>
      <c r="J95" s="363" t="s">
        <v>162</v>
      </c>
      <c r="K95" s="785">
        <v>5094348.96</v>
      </c>
      <c r="L95" s="368"/>
      <c r="M95" s="361">
        <f>267156.78+80681.33+323666.55+97747.31+286809.24+85408.41+372193.19+370.8+103763+293452.7+87623.72+368354.62</f>
        <v>2367227.65</v>
      </c>
      <c r="N95" s="365"/>
      <c r="O95" s="1289"/>
    </row>
    <row r="96" spans="1:15" s="366" customFormat="1" ht="15.6" x14ac:dyDescent="0.3">
      <c r="A96" s="1344"/>
      <c r="B96" s="1298"/>
      <c r="C96" s="382"/>
      <c r="D96" s="362"/>
      <c r="E96" s="362"/>
      <c r="F96" s="362"/>
      <c r="G96" s="362"/>
      <c r="H96" s="362"/>
      <c r="I96" s="383"/>
      <c r="J96" s="363" t="s">
        <v>586</v>
      </c>
      <c r="K96" s="785">
        <f>237874-2000-1000</f>
        <v>234874</v>
      </c>
      <c r="L96" s="368"/>
      <c r="M96" s="361">
        <f>2490+14256+5500+20000+10000</f>
        <v>52246</v>
      </c>
      <c r="N96" s="365"/>
      <c r="O96" s="1289"/>
    </row>
    <row r="97" spans="1:15" s="366" customFormat="1" ht="15.6" x14ac:dyDescent="0.3">
      <c r="A97" s="1345"/>
      <c r="B97" s="1299"/>
      <c r="C97" s="384"/>
      <c r="D97" s="362"/>
      <c r="E97" s="362"/>
      <c r="F97" s="362"/>
      <c r="G97" s="362"/>
      <c r="H97" s="362"/>
      <c r="I97" s="383"/>
      <c r="J97" s="363" t="s">
        <v>528</v>
      </c>
      <c r="K97" s="785">
        <f>381+2000+1000</f>
        <v>3381</v>
      </c>
      <c r="L97" s="368"/>
      <c r="M97" s="361">
        <f>2000+1000</f>
        <v>3000</v>
      </c>
      <c r="N97" s="365"/>
      <c r="O97" s="1289"/>
    </row>
    <row r="98" spans="1:15" s="366" customFormat="1" ht="18" x14ac:dyDescent="0.35">
      <c r="A98" s="446"/>
      <c r="B98" s="1300" t="s">
        <v>909</v>
      </c>
      <c r="C98" s="807" t="s">
        <v>1134</v>
      </c>
      <c r="D98" s="479"/>
      <c r="E98" s="479"/>
      <c r="F98" s="479"/>
      <c r="G98" s="479"/>
      <c r="H98" s="479"/>
      <c r="I98" s="389" t="s">
        <v>1329</v>
      </c>
      <c r="J98" s="363"/>
      <c r="K98" s="785">
        <f>K99+K100</f>
        <v>3291989.5300000003</v>
      </c>
      <c r="L98" s="368"/>
      <c r="M98" s="785">
        <f>M99+M100</f>
        <v>1224619.92</v>
      </c>
      <c r="N98" s="365"/>
      <c r="O98" s="1290"/>
    </row>
    <row r="99" spans="1:15" s="366" customFormat="1" ht="18" x14ac:dyDescent="0.35">
      <c r="A99" s="481"/>
      <c r="B99" s="1301"/>
      <c r="C99" s="1303"/>
      <c r="D99" s="482"/>
      <c r="E99" s="482"/>
      <c r="F99" s="482"/>
      <c r="G99" s="482"/>
      <c r="H99" s="482"/>
      <c r="I99" s="1305"/>
      <c r="J99" s="363" t="s">
        <v>586</v>
      </c>
      <c r="K99" s="577">
        <f>810750.26+771343.92+219062+1472707.35</f>
        <v>3273863.5300000003</v>
      </c>
      <c r="L99" s="368"/>
      <c r="M99" s="361">
        <f>26103.04+260144.02+193989.2+163893.5+435030.02+144610.14</f>
        <v>1223769.92</v>
      </c>
      <c r="N99" s="365"/>
      <c r="O99" s="812"/>
    </row>
    <row r="100" spans="1:15" s="366" customFormat="1" ht="18" x14ac:dyDescent="0.35">
      <c r="A100" s="481"/>
      <c r="B100" s="1302"/>
      <c r="C100" s="1304"/>
      <c r="D100" s="482"/>
      <c r="E100" s="482"/>
      <c r="F100" s="482"/>
      <c r="G100" s="482"/>
      <c r="H100" s="482"/>
      <c r="I100" s="1306"/>
      <c r="J100" s="363" t="s">
        <v>528</v>
      </c>
      <c r="K100" s="577">
        <v>18126</v>
      </c>
      <c r="L100" s="368"/>
      <c r="M100" s="361">
        <v>850</v>
      </c>
      <c r="N100" s="365"/>
      <c r="O100" s="812"/>
    </row>
    <row r="101" spans="1:15" s="474" customFormat="1" ht="15.6" x14ac:dyDescent="0.3">
      <c r="A101" s="1357"/>
      <c r="B101" s="1360" t="s">
        <v>1230</v>
      </c>
      <c r="C101" s="395" t="s">
        <v>1093</v>
      </c>
      <c r="D101" s="475"/>
      <c r="E101" s="475"/>
      <c r="F101" s="475"/>
      <c r="G101" s="475"/>
      <c r="H101" s="475"/>
      <c r="I101" s="397" t="s">
        <v>1226</v>
      </c>
      <c r="J101" s="371"/>
      <c r="K101" s="577">
        <f>K102+K103+K104</f>
        <v>28501970.560000002</v>
      </c>
      <c r="L101" s="368"/>
      <c r="M101" s="577">
        <f>M102+M103+M104</f>
        <v>13454675.340000002</v>
      </c>
      <c r="N101" s="476"/>
      <c r="O101" s="1280" t="s">
        <v>151</v>
      </c>
    </row>
    <row r="102" spans="1:15" s="474" customFormat="1" ht="15.6" x14ac:dyDescent="0.3">
      <c r="A102" s="1358"/>
      <c r="B102" s="1361"/>
      <c r="C102" s="390"/>
      <c r="D102" s="517"/>
      <c r="E102" s="517"/>
      <c r="F102" s="517"/>
      <c r="G102" s="517"/>
      <c r="H102" s="517"/>
      <c r="I102" s="391"/>
      <c r="J102" s="371" t="s">
        <v>162</v>
      </c>
      <c r="K102" s="577">
        <f>24557419.37-365566-80593.54</f>
        <v>24111259.830000002</v>
      </c>
      <c r="L102" s="368"/>
      <c r="M102" s="361">
        <f>1217872.51+88843.54+627345.62+1042801.37+36724.5+434017.63+1452587.28+18150+467538.72+1868313.96+17423.5+199936.57+1685104.01-72964.54+667346.52+2026170.98</f>
        <v>11777212.170000002</v>
      </c>
      <c r="N102" s="476"/>
      <c r="O102" s="1282"/>
    </row>
    <row r="103" spans="1:15" s="474" customFormat="1" ht="15.6" x14ac:dyDescent="0.3">
      <c r="A103" s="1358"/>
      <c r="B103" s="1361"/>
      <c r="C103" s="390"/>
      <c r="D103" s="518"/>
      <c r="E103" s="518"/>
      <c r="F103" s="518"/>
      <c r="G103" s="518"/>
      <c r="H103" s="518"/>
      <c r="I103" s="391"/>
      <c r="J103" s="371" t="s">
        <v>586</v>
      </c>
      <c r="K103" s="577">
        <f>3678500+365566+80593.54</f>
        <v>4124659.54</v>
      </c>
      <c r="L103" s="368"/>
      <c r="M103" s="361">
        <f>101785.52+235044.2+480428.05+313585.37+311743.82+225066.21</f>
        <v>1667653.1700000002</v>
      </c>
      <c r="N103" s="476"/>
      <c r="O103" s="1282"/>
    </row>
    <row r="104" spans="1:15" s="474" customFormat="1" ht="15.6" x14ac:dyDescent="0.3">
      <c r="A104" s="1359"/>
      <c r="B104" s="1362"/>
      <c r="C104" s="392"/>
      <c r="D104" s="518"/>
      <c r="E104" s="518"/>
      <c r="F104" s="518"/>
      <c r="G104" s="518"/>
      <c r="H104" s="518"/>
      <c r="I104" s="393"/>
      <c r="J104" s="371" t="s">
        <v>528</v>
      </c>
      <c r="K104" s="577">
        <v>266051.19</v>
      </c>
      <c r="L104" s="368"/>
      <c r="M104" s="361">
        <f>3197+6613</f>
        <v>9810</v>
      </c>
      <c r="N104" s="476"/>
      <c r="O104" s="1282"/>
    </row>
    <row r="105" spans="1:15" s="474" customFormat="1" ht="62.4" x14ac:dyDescent="0.3">
      <c r="A105" s="708"/>
      <c r="B105" s="748" t="s">
        <v>1383</v>
      </c>
      <c r="C105" s="387" t="s">
        <v>1130</v>
      </c>
      <c r="D105" s="518"/>
      <c r="E105" s="518"/>
      <c r="F105" s="518"/>
      <c r="G105" s="518"/>
      <c r="H105" s="518"/>
      <c r="I105" s="397" t="s">
        <v>1384</v>
      </c>
      <c r="J105" s="371" t="s">
        <v>528</v>
      </c>
      <c r="K105" s="650">
        <f>494846.92+10000</f>
        <v>504846.92</v>
      </c>
      <c r="L105" s="368"/>
      <c r="M105" s="361">
        <f>6000+304037.52</f>
        <v>310037.52</v>
      </c>
      <c r="N105" s="476"/>
      <c r="O105" s="1281"/>
    </row>
    <row r="106" spans="1:15" s="474" customFormat="1" ht="31.2" x14ac:dyDescent="0.3">
      <c r="A106" s="708"/>
      <c r="B106" s="709" t="s">
        <v>1353</v>
      </c>
      <c r="C106" s="395" t="s">
        <v>1093</v>
      </c>
      <c r="D106" s="475"/>
      <c r="E106" s="475"/>
      <c r="F106" s="475"/>
      <c r="G106" s="475"/>
      <c r="H106" s="475"/>
      <c r="I106" s="397" t="s">
        <v>1354</v>
      </c>
      <c r="J106" s="371" t="s">
        <v>528</v>
      </c>
      <c r="K106" s="577">
        <v>400000</v>
      </c>
      <c r="L106" s="368"/>
      <c r="M106" s="361">
        <v>320747.28000000003</v>
      </c>
      <c r="N106" s="476"/>
      <c r="O106" s="1281"/>
    </row>
    <row r="107" spans="1:15" s="366" customFormat="1" ht="46.8" x14ac:dyDescent="0.3">
      <c r="A107" s="388"/>
      <c r="B107" s="459" t="s">
        <v>610</v>
      </c>
      <c r="C107" s="387" t="s">
        <v>1130</v>
      </c>
      <c r="D107" s="365"/>
      <c r="E107" s="365"/>
      <c r="F107" s="365"/>
      <c r="G107" s="365"/>
      <c r="H107" s="365"/>
      <c r="I107" s="452" t="s">
        <v>1233</v>
      </c>
      <c r="J107" s="363" t="s">
        <v>613</v>
      </c>
      <c r="K107" s="785">
        <v>11822578.16</v>
      </c>
      <c r="L107" s="368"/>
      <c r="M107" s="361">
        <f>582207.78+1087559.96+1228848.09+1469746.84+1031323.13+1145567.72</f>
        <v>6545253.5199999996</v>
      </c>
      <c r="N107" s="365"/>
      <c r="O107" s="1282"/>
    </row>
    <row r="108" spans="1:15" s="366" customFormat="1" ht="15.6" hidden="1" x14ac:dyDescent="0.3">
      <c r="A108" s="388"/>
      <c r="B108" s="459" t="s">
        <v>1174</v>
      </c>
      <c r="C108" s="387" t="s">
        <v>1130</v>
      </c>
      <c r="D108" s="365"/>
      <c r="E108" s="365"/>
      <c r="F108" s="365"/>
      <c r="G108" s="365"/>
      <c r="H108" s="365"/>
      <c r="I108" s="452" t="s">
        <v>1175</v>
      </c>
      <c r="J108" s="363" t="s">
        <v>528</v>
      </c>
      <c r="K108" s="785"/>
      <c r="L108" s="368"/>
      <c r="M108" s="361"/>
      <c r="N108" s="365"/>
      <c r="O108" s="1282"/>
    </row>
    <row r="109" spans="1:15" s="474" customFormat="1" ht="15.6" x14ac:dyDescent="0.3">
      <c r="A109" s="475"/>
      <c r="B109" s="423" t="s">
        <v>604</v>
      </c>
      <c r="C109" s="395" t="s">
        <v>1129</v>
      </c>
      <c r="D109" s="476"/>
      <c r="E109" s="476"/>
      <c r="F109" s="476"/>
      <c r="G109" s="476"/>
      <c r="H109" s="476"/>
      <c r="I109" s="477" t="s">
        <v>1229</v>
      </c>
      <c r="J109" s="371" t="s">
        <v>528</v>
      </c>
      <c r="K109" s="785">
        <v>334218</v>
      </c>
      <c r="L109" s="368"/>
      <c r="M109" s="361"/>
      <c r="N109" s="476"/>
      <c r="O109" s="1282"/>
    </row>
    <row r="110" spans="1:15" s="366" customFormat="1" ht="31.2" x14ac:dyDescent="0.3">
      <c r="A110" s="388"/>
      <c r="B110" s="459" t="s">
        <v>771</v>
      </c>
      <c r="C110" s="387" t="s">
        <v>1111</v>
      </c>
      <c r="D110" s="365"/>
      <c r="E110" s="365"/>
      <c r="F110" s="365"/>
      <c r="G110" s="365"/>
      <c r="H110" s="365"/>
      <c r="I110" s="452" t="s">
        <v>1290</v>
      </c>
      <c r="J110" s="363" t="s">
        <v>586</v>
      </c>
      <c r="K110" s="785">
        <v>50000</v>
      </c>
      <c r="L110" s="368"/>
      <c r="M110" s="361"/>
      <c r="N110" s="365"/>
      <c r="O110" s="1282"/>
    </row>
    <row r="111" spans="1:15" s="366" customFormat="1" ht="62.4" hidden="1" x14ac:dyDescent="0.3">
      <c r="A111" s="388"/>
      <c r="B111" s="483" t="s">
        <v>1187</v>
      </c>
      <c r="C111" s="387" t="s">
        <v>1161</v>
      </c>
      <c r="D111" s="365"/>
      <c r="E111" s="365"/>
      <c r="F111" s="365"/>
      <c r="G111" s="365"/>
      <c r="H111" s="365"/>
      <c r="I111" s="452" t="s">
        <v>1162</v>
      </c>
      <c r="J111" s="363" t="s">
        <v>528</v>
      </c>
      <c r="K111" s="577"/>
      <c r="L111" s="368"/>
      <c r="M111" s="361"/>
      <c r="N111" s="365"/>
      <c r="O111" s="1283"/>
    </row>
    <row r="112" spans="1:15" s="366" customFormat="1" ht="62.4" hidden="1" x14ac:dyDescent="0.3">
      <c r="A112" s="388"/>
      <c r="B112" s="423" t="s">
        <v>1188</v>
      </c>
      <c r="C112" s="387" t="s">
        <v>1185</v>
      </c>
      <c r="D112" s="365"/>
      <c r="E112" s="365"/>
      <c r="F112" s="365"/>
      <c r="G112" s="365"/>
      <c r="H112" s="365"/>
      <c r="I112" s="484" t="s">
        <v>1186</v>
      </c>
      <c r="J112" s="389" t="s">
        <v>528</v>
      </c>
      <c r="K112" s="786"/>
      <c r="L112" s="368"/>
      <c r="M112" s="486"/>
      <c r="N112" s="365"/>
      <c r="O112" s="816" t="s">
        <v>968</v>
      </c>
    </row>
    <row r="113" spans="1:15" s="366" customFormat="1" ht="72" x14ac:dyDescent="0.35">
      <c r="A113" s="425">
        <v>11</v>
      </c>
      <c r="B113" s="435" t="s">
        <v>563</v>
      </c>
      <c r="C113" s="428"/>
      <c r="D113" s="428"/>
      <c r="E113" s="428"/>
      <c r="F113" s="428"/>
      <c r="G113" s="428"/>
      <c r="H113" s="428"/>
      <c r="I113" s="429" t="s">
        <v>1346</v>
      </c>
      <c r="J113" s="430"/>
      <c r="K113" s="436">
        <f>K114+K115+K116+K117+K118+K119+K121+K122+K120</f>
        <v>5308249.99</v>
      </c>
      <c r="L113" s="428"/>
      <c r="M113" s="436">
        <f>M114+M115+M116+M117+M118+M119+M121+M122+M120</f>
        <v>1051060.52</v>
      </c>
      <c r="N113" s="428"/>
      <c r="O113" s="432" t="s">
        <v>1147</v>
      </c>
    </row>
    <row r="114" spans="1:15" s="366" customFormat="1" ht="46.8" x14ac:dyDescent="0.35">
      <c r="A114" s="425"/>
      <c r="B114" s="459" t="s">
        <v>618</v>
      </c>
      <c r="C114" s="387" t="s">
        <v>1137</v>
      </c>
      <c r="D114" s="428"/>
      <c r="E114" s="428"/>
      <c r="F114" s="428"/>
      <c r="G114" s="428"/>
      <c r="H114" s="428"/>
      <c r="I114" s="452" t="s">
        <v>1235</v>
      </c>
      <c r="J114" s="363" t="s">
        <v>586</v>
      </c>
      <c r="K114" s="785">
        <f>515000-250000</f>
        <v>265000</v>
      </c>
      <c r="L114" s="428"/>
      <c r="M114" s="487">
        <f>30000-25141</f>
        <v>4859</v>
      </c>
      <c r="N114" s="428"/>
      <c r="O114" s="1288" t="s">
        <v>151</v>
      </c>
    </row>
    <row r="115" spans="1:15" s="366" customFormat="1" ht="18" x14ac:dyDescent="0.35">
      <c r="A115" s="425"/>
      <c r="B115" s="459" t="s">
        <v>621</v>
      </c>
      <c r="C115" s="387" t="s">
        <v>1137</v>
      </c>
      <c r="D115" s="428"/>
      <c r="E115" s="428"/>
      <c r="F115" s="428"/>
      <c r="G115" s="428"/>
      <c r="H115" s="428"/>
      <c r="I115" s="452" t="s">
        <v>1236</v>
      </c>
      <c r="J115" s="363" t="s">
        <v>586</v>
      </c>
      <c r="K115" s="785">
        <f>212500+250000</f>
        <v>462500</v>
      </c>
      <c r="L115" s="428"/>
      <c r="M115" s="487">
        <v>20531.04</v>
      </c>
      <c r="N115" s="428"/>
      <c r="O115" s="1289"/>
    </row>
    <row r="116" spans="1:15" s="366" customFormat="1" ht="31.2" x14ac:dyDescent="0.35">
      <c r="A116" s="425"/>
      <c r="B116" s="459" t="s">
        <v>731</v>
      </c>
      <c r="C116" s="387" t="s">
        <v>1107</v>
      </c>
      <c r="D116" s="428"/>
      <c r="E116" s="428"/>
      <c r="F116" s="428"/>
      <c r="G116" s="428"/>
      <c r="H116" s="428"/>
      <c r="I116" s="452" t="s">
        <v>1274</v>
      </c>
      <c r="J116" s="363" t="s">
        <v>586</v>
      </c>
      <c r="K116" s="785">
        <v>50000</v>
      </c>
      <c r="L116" s="428"/>
      <c r="M116" s="487"/>
      <c r="N116" s="428"/>
      <c r="O116" s="1289"/>
    </row>
    <row r="117" spans="1:15" s="515" customFormat="1" ht="31.2" x14ac:dyDescent="0.35">
      <c r="A117" s="567"/>
      <c r="B117" s="423" t="s">
        <v>736</v>
      </c>
      <c r="C117" s="395" t="s">
        <v>1107</v>
      </c>
      <c r="D117" s="568"/>
      <c r="E117" s="568"/>
      <c r="F117" s="568"/>
      <c r="G117" s="568"/>
      <c r="H117" s="568"/>
      <c r="I117" s="477" t="s">
        <v>1275</v>
      </c>
      <c r="J117" s="371" t="s">
        <v>586</v>
      </c>
      <c r="K117" s="785">
        <v>53000</v>
      </c>
      <c r="L117" s="428"/>
      <c r="M117" s="487"/>
      <c r="N117" s="570"/>
      <c r="O117" s="1290"/>
    </row>
    <row r="118" spans="1:15" s="366" customFormat="1" ht="31.2" x14ac:dyDescent="0.35">
      <c r="A118" s="425"/>
      <c r="B118" s="459" t="s">
        <v>834</v>
      </c>
      <c r="C118" s="387" t="s">
        <v>1105</v>
      </c>
      <c r="D118" s="428"/>
      <c r="E118" s="428"/>
      <c r="F118" s="428"/>
      <c r="G118" s="428"/>
      <c r="H118" s="428"/>
      <c r="I118" s="452" t="s">
        <v>1308</v>
      </c>
      <c r="J118" s="363" t="s">
        <v>613</v>
      </c>
      <c r="K118" s="785">
        <v>1650000</v>
      </c>
      <c r="L118" s="428"/>
      <c r="M118" s="487"/>
      <c r="N118" s="428"/>
      <c r="O118" s="1291" t="s">
        <v>968</v>
      </c>
    </row>
    <row r="119" spans="1:15" s="366" customFormat="1" ht="31.5" customHeight="1" x14ac:dyDescent="0.35">
      <c r="A119" s="425"/>
      <c r="B119" s="1293" t="s">
        <v>831</v>
      </c>
      <c r="C119" s="387" t="s">
        <v>1105</v>
      </c>
      <c r="D119" s="428"/>
      <c r="E119" s="428"/>
      <c r="F119" s="428"/>
      <c r="G119" s="428"/>
      <c r="H119" s="428"/>
      <c r="I119" s="1295" t="s">
        <v>1307</v>
      </c>
      <c r="J119" s="363" t="s">
        <v>613</v>
      </c>
      <c r="K119" s="785">
        <v>300000</v>
      </c>
      <c r="L119" s="428"/>
      <c r="M119" s="487"/>
      <c r="N119" s="428"/>
      <c r="O119" s="1292"/>
    </row>
    <row r="120" spans="1:15" s="366" customFormat="1" ht="18" hidden="1" x14ac:dyDescent="0.35">
      <c r="A120" s="425"/>
      <c r="B120" s="1294"/>
      <c r="C120" s="387" t="s">
        <v>1142</v>
      </c>
      <c r="D120" s="428"/>
      <c r="E120" s="428"/>
      <c r="F120" s="428"/>
      <c r="G120" s="428"/>
      <c r="H120" s="428"/>
      <c r="I120" s="1296"/>
      <c r="J120" s="363" t="s">
        <v>613</v>
      </c>
      <c r="K120" s="577"/>
      <c r="L120" s="428"/>
      <c r="M120" s="487"/>
      <c r="N120" s="428"/>
      <c r="O120" s="825"/>
    </row>
    <row r="121" spans="1:15" s="366" customFormat="1" ht="31.2" x14ac:dyDescent="0.35">
      <c r="A121" s="425"/>
      <c r="B121" s="459" t="s">
        <v>912</v>
      </c>
      <c r="C121" s="387" t="s">
        <v>1138</v>
      </c>
      <c r="D121" s="428"/>
      <c r="E121" s="428"/>
      <c r="F121" s="428"/>
      <c r="G121" s="428"/>
      <c r="H121" s="428"/>
      <c r="I121" s="452" t="s">
        <v>1330</v>
      </c>
      <c r="J121" s="363" t="s">
        <v>613</v>
      </c>
      <c r="K121" s="577">
        <v>2497749.9900000002</v>
      </c>
      <c r="L121" s="428"/>
      <c r="M121" s="487">
        <f>156868.34+144625.25+188115.22+194249.18+207874.54+133937.95</f>
        <v>1025670.48</v>
      </c>
      <c r="N121" s="428"/>
      <c r="O121" s="495" t="s">
        <v>1097</v>
      </c>
    </row>
    <row r="122" spans="1:15" s="366" customFormat="1" ht="51" customHeight="1" x14ac:dyDescent="0.35">
      <c r="A122" s="425"/>
      <c r="B122" s="521" t="s">
        <v>1198</v>
      </c>
      <c r="C122" s="387" t="s">
        <v>1107</v>
      </c>
      <c r="D122" s="428"/>
      <c r="E122" s="428"/>
      <c r="F122" s="428"/>
      <c r="G122" s="428"/>
      <c r="H122" s="428"/>
      <c r="I122" s="484" t="s">
        <v>1276</v>
      </c>
      <c r="J122" s="389" t="s">
        <v>586</v>
      </c>
      <c r="K122" s="786">
        <v>30000</v>
      </c>
      <c r="L122" s="428"/>
      <c r="M122" s="533"/>
      <c r="N122" s="428"/>
      <c r="O122" s="495"/>
    </row>
    <row r="123" spans="1:15" s="366" customFormat="1" ht="52.8" x14ac:dyDescent="0.35">
      <c r="A123" s="425">
        <v>12</v>
      </c>
      <c r="B123" s="435" t="s">
        <v>558</v>
      </c>
      <c r="C123" s="428"/>
      <c r="D123" s="428"/>
      <c r="E123" s="428"/>
      <c r="F123" s="428"/>
      <c r="G123" s="428"/>
      <c r="H123" s="428"/>
      <c r="I123" s="429" t="s">
        <v>1347</v>
      </c>
      <c r="J123" s="430"/>
      <c r="K123" s="436">
        <f>K124+K125+K126+K127+K128+K129+K130+K131+K132+K133+K134+K137+K138+K139+K140+K144+K148+K136+K135</f>
        <v>206816970.47000006</v>
      </c>
      <c r="L123" s="428"/>
      <c r="M123" s="436">
        <f>M124+M125+M126+M127+M128+M129+M130+M131+M132+M133+M134+M137+M138+M139+M140+M144+M148+M136+M135</f>
        <v>89243109.829999983</v>
      </c>
      <c r="N123" s="428"/>
      <c r="O123" s="432" t="s">
        <v>1147</v>
      </c>
    </row>
    <row r="124" spans="1:15" s="366" customFormat="1" ht="18" hidden="1" x14ac:dyDescent="0.35">
      <c r="A124" s="425"/>
      <c r="B124" s="423" t="s">
        <v>1153</v>
      </c>
      <c r="C124" s="387" t="s">
        <v>1139</v>
      </c>
      <c r="D124" s="428"/>
      <c r="E124" s="428"/>
      <c r="F124" s="428"/>
      <c r="G124" s="428"/>
      <c r="H124" s="428"/>
      <c r="I124" s="452" t="s">
        <v>818</v>
      </c>
      <c r="J124" s="363" t="s">
        <v>586</v>
      </c>
      <c r="K124" s="785">
        <v>0</v>
      </c>
      <c r="L124" s="428"/>
      <c r="M124" s="487"/>
      <c r="N124" s="428"/>
      <c r="O124" s="1288" t="s">
        <v>151</v>
      </c>
    </row>
    <row r="125" spans="1:15" s="366" customFormat="1" ht="18" x14ac:dyDescent="0.35">
      <c r="A125" s="425"/>
      <c r="B125" s="459" t="s">
        <v>725</v>
      </c>
      <c r="C125" s="387" t="s">
        <v>1140</v>
      </c>
      <c r="D125" s="428"/>
      <c r="E125" s="428"/>
      <c r="F125" s="428"/>
      <c r="G125" s="428"/>
      <c r="H125" s="428"/>
      <c r="I125" s="452" t="s">
        <v>1272</v>
      </c>
      <c r="J125" s="363" t="s">
        <v>586</v>
      </c>
      <c r="K125" s="785">
        <v>8000000</v>
      </c>
      <c r="L125" s="428"/>
      <c r="M125" s="487"/>
      <c r="N125" s="428"/>
      <c r="O125" s="1289"/>
    </row>
    <row r="126" spans="1:15" s="366" customFormat="1" ht="31.2" x14ac:dyDescent="0.35">
      <c r="A126" s="425"/>
      <c r="B126" s="459" t="s">
        <v>1278</v>
      </c>
      <c r="C126" s="387" t="s">
        <v>1107</v>
      </c>
      <c r="D126" s="428"/>
      <c r="E126" s="428"/>
      <c r="F126" s="428"/>
      <c r="G126" s="428"/>
      <c r="H126" s="428"/>
      <c r="I126" s="452" t="s">
        <v>1277</v>
      </c>
      <c r="J126" s="363" t="s">
        <v>586</v>
      </c>
      <c r="K126" s="785">
        <v>114734.39999999999</v>
      </c>
      <c r="L126" s="428"/>
      <c r="M126" s="487">
        <f>1100+10234+53656.71+9000+36200</f>
        <v>110190.70999999999</v>
      </c>
      <c r="N126" s="428"/>
      <c r="O126" s="1290"/>
    </row>
    <row r="127" spans="1:15" s="366" customFormat="1" ht="31.2" x14ac:dyDescent="0.35">
      <c r="A127" s="425"/>
      <c r="B127" s="459" t="s">
        <v>915</v>
      </c>
      <c r="C127" s="387" t="s">
        <v>1146</v>
      </c>
      <c r="D127" s="428"/>
      <c r="E127" s="428"/>
      <c r="F127" s="428"/>
      <c r="G127" s="428"/>
      <c r="H127" s="428"/>
      <c r="I127" s="452" t="s">
        <v>1331</v>
      </c>
      <c r="J127" s="363" t="s">
        <v>613</v>
      </c>
      <c r="K127" s="785">
        <v>7636834.5599999996</v>
      </c>
      <c r="L127" s="428"/>
      <c r="M127" s="487">
        <f>363230.85+492151.88+489303.4+384974.99+579918.09+351555.26</f>
        <v>2661134.4699999997</v>
      </c>
      <c r="N127" s="428"/>
      <c r="O127" s="813" t="s">
        <v>1097</v>
      </c>
    </row>
    <row r="128" spans="1:15" s="366" customFormat="1" ht="18" x14ac:dyDescent="0.35">
      <c r="A128" s="425"/>
      <c r="B128" s="459" t="s">
        <v>817</v>
      </c>
      <c r="C128" s="387" t="s">
        <v>1142</v>
      </c>
      <c r="D128" s="428"/>
      <c r="E128" s="428"/>
      <c r="F128" s="428"/>
      <c r="G128" s="428"/>
      <c r="H128" s="428"/>
      <c r="I128" s="452" t="s">
        <v>1304</v>
      </c>
      <c r="J128" s="363" t="s">
        <v>613</v>
      </c>
      <c r="K128" s="464">
        <f>1200000+36882185.35-36300000+1500000</f>
        <v>3282185.3500000015</v>
      </c>
      <c r="L128" s="428"/>
      <c r="M128" s="487">
        <f>585817.49+80129.95+50000+99000+28788+34320+428496.66</f>
        <v>1306552.0999999999</v>
      </c>
      <c r="N128" s="428"/>
      <c r="O128" s="1288" t="s">
        <v>968</v>
      </c>
    </row>
    <row r="129" spans="1:15" s="366" customFormat="1" ht="31.2" x14ac:dyDescent="0.35">
      <c r="A129" s="425"/>
      <c r="B129" s="459" t="s">
        <v>814</v>
      </c>
      <c r="C129" s="387" t="s">
        <v>1142</v>
      </c>
      <c r="D129" s="428"/>
      <c r="E129" s="428"/>
      <c r="F129" s="428"/>
      <c r="G129" s="428"/>
      <c r="H129" s="428"/>
      <c r="I129" s="452" t="s">
        <v>1303</v>
      </c>
      <c r="J129" s="363" t="s">
        <v>613</v>
      </c>
      <c r="K129" s="785">
        <f>34085991.49+3149000+14433000</f>
        <v>51667991.490000002</v>
      </c>
      <c r="L129" s="428"/>
      <c r="M129" s="487">
        <f>2356160.12+452255.67+3660357.99+873532.27+21680+65980+4123273.33+883777.74+3586455.13+32990+710340.32+10840+3262742.11+26482.5+604256.74+10840+3477644.88</f>
        <v>24159608.799999997</v>
      </c>
      <c r="N129" s="428"/>
      <c r="O129" s="1289"/>
    </row>
    <row r="130" spans="1:15" s="366" customFormat="1" ht="31.2" x14ac:dyDescent="0.35">
      <c r="A130" s="425"/>
      <c r="B130" s="459" t="s">
        <v>837</v>
      </c>
      <c r="C130" s="387" t="s">
        <v>1105</v>
      </c>
      <c r="D130" s="428"/>
      <c r="E130" s="428"/>
      <c r="F130" s="428"/>
      <c r="G130" s="428"/>
      <c r="H130" s="428"/>
      <c r="I130" s="452" t="s">
        <v>1309</v>
      </c>
      <c r="J130" s="363" t="s">
        <v>613</v>
      </c>
      <c r="K130" s="785">
        <f>95155748.66+5078000-14769460.99-500000+500000</f>
        <v>85464287.670000002</v>
      </c>
      <c r="L130" s="428"/>
      <c r="M130" s="487">
        <f>4290134.18+215001.81+6724002.5+346703.2+245656.77+23755+8882268.11+288534.14+6866405.26+180487+233607.5+11877.5+5549070.62+172487+196307.64+11877.5+4720390.26</f>
        <v>38958565.989999995</v>
      </c>
      <c r="N130" s="428"/>
      <c r="O130" s="1289"/>
    </row>
    <row r="131" spans="1:15" s="366" customFormat="1" ht="31.2" x14ac:dyDescent="0.35">
      <c r="A131" s="425"/>
      <c r="B131" s="459" t="s">
        <v>840</v>
      </c>
      <c r="C131" s="387" t="s">
        <v>1105</v>
      </c>
      <c r="D131" s="428"/>
      <c r="E131" s="428"/>
      <c r="F131" s="428"/>
      <c r="G131" s="428"/>
      <c r="H131" s="428"/>
      <c r="I131" s="452" t="s">
        <v>1310</v>
      </c>
      <c r="J131" s="363" t="s">
        <v>613</v>
      </c>
      <c r="K131" s="785">
        <f>6355514.52+25000</f>
        <v>6380514.5199999996</v>
      </c>
      <c r="L131" s="428"/>
      <c r="M131" s="487">
        <f>588256.75+563774.2+525742.9+562037.94+1160756.67+98257.09</f>
        <v>3498825.55</v>
      </c>
      <c r="N131" s="428"/>
      <c r="O131" s="1289"/>
    </row>
    <row r="132" spans="1:15" s="366" customFormat="1" ht="18" x14ac:dyDescent="0.35">
      <c r="A132" s="425"/>
      <c r="B132" s="459" t="s">
        <v>725</v>
      </c>
      <c r="C132" s="387" t="s">
        <v>1105</v>
      </c>
      <c r="D132" s="428"/>
      <c r="E132" s="428"/>
      <c r="F132" s="428"/>
      <c r="G132" s="428"/>
      <c r="H132" s="428"/>
      <c r="I132" s="452" t="s">
        <v>1272</v>
      </c>
      <c r="J132" s="363" t="s">
        <v>613</v>
      </c>
      <c r="K132" s="464">
        <f>17174500+1467814.65-500000-1500000</f>
        <v>16642314.649999999</v>
      </c>
      <c r="L132" s="428"/>
      <c r="M132" s="487">
        <f>2307366.72+54716.15+53834+411162.21+250477+1245413.01</f>
        <v>4322969.09</v>
      </c>
      <c r="N132" s="428"/>
      <c r="O132" s="1289"/>
    </row>
    <row r="133" spans="1:15" s="366" customFormat="1" ht="15.6" x14ac:dyDescent="0.3">
      <c r="A133" s="388"/>
      <c r="B133" s="459" t="s">
        <v>844</v>
      </c>
      <c r="C133" s="387" t="s">
        <v>1105</v>
      </c>
      <c r="D133" s="365"/>
      <c r="E133" s="365"/>
      <c r="F133" s="365"/>
      <c r="G133" s="365"/>
      <c r="H133" s="365"/>
      <c r="I133" s="452" t="s">
        <v>1311</v>
      </c>
      <c r="J133" s="363" t="s">
        <v>613</v>
      </c>
      <c r="K133" s="785">
        <v>483000</v>
      </c>
      <c r="L133" s="368"/>
      <c r="M133" s="487">
        <f>36608.7+1260.6</f>
        <v>37869.299999999996</v>
      </c>
      <c r="N133" s="365"/>
      <c r="O133" s="1289"/>
    </row>
    <row r="134" spans="1:15" s="366" customFormat="1" ht="46.8" x14ac:dyDescent="0.3">
      <c r="A134" s="388"/>
      <c r="B134" s="459" t="s">
        <v>847</v>
      </c>
      <c r="C134" s="387" t="s">
        <v>1105</v>
      </c>
      <c r="D134" s="365"/>
      <c r="E134" s="365"/>
      <c r="F134" s="365"/>
      <c r="G134" s="365"/>
      <c r="H134" s="365"/>
      <c r="I134" s="452" t="s">
        <v>1312</v>
      </c>
      <c r="J134" s="363" t="s">
        <v>613</v>
      </c>
      <c r="K134" s="785">
        <v>50000</v>
      </c>
      <c r="L134" s="368"/>
      <c r="M134" s="487"/>
      <c r="N134" s="365"/>
      <c r="O134" s="1289"/>
    </row>
    <row r="135" spans="1:15" s="366" customFormat="1" ht="15.6" x14ac:dyDescent="0.3">
      <c r="A135" s="1307"/>
      <c r="B135" s="1297" t="s">
        <v>864</v>
      </c>
      <c r="C135" s="1354" t="s">
        <v>1143</v>
      </c>
      <c r="D135" s="365"/>
      <c r="E135" s="365"/>
      <c r="F135" s="365"/>
      <c r="G135" s="365"/>
      <c r="H135" s="365"/>
      <c r="I135" s="1355" t="s">
        <v>1317</v>
      </c>
      <c r="J135" s="363" t="s">
        <v>586</v>
      </c>
      <c r="K135" s="464">
        <v>100000</v>
      </c>
      <c r="L135" s="368"/>
      <c r="M135" s="487">
        <v>24500</v>
      </c>
      <c r="N135" s="365"/>
      <c r="O135" s="1317"/>
    </row>
    <row r="136" spans="1:15" s="366" customFormat="1" ht="15.75" customHeight="1" x14ac:dyDescent="0.3">
      <c r="A136" s="1336"/>
      <c r="B136" s="1298"/>
      <c r="C136" s="1416"/>
      <c r="D136" s="365"/>
      <c r="E136" s="365"/>
      <c r="F136" s="365"/>
      <c r="G136" s="365"/>
      <c r="H136" s="365"/>
      <c r="I136" s="1417"/>
      <c r="J136" s="363" t="s">
        <v>764</v>
      </c>
      <c r="K136" s="785"/>
      <c r="L136" s="368"/>
      <c r="M136" s="487"/>
      <c r="N136" s="365"/>
      <c r="O136" s="1317"/>
    </row>
    <row r="137" spans="1:15" s="366" customFormat="1" ht="15.6" x14ac:dyDescent="0.3">
      <c r="A137" s="1308"/>
      <c r="B137" s="1299"/>
      <c r="C137" s="1304"/>
      <c r="D137" s="365"/>
      <c r="E137" s="365"/>
      <c r="F137" s="365"/>
      <c r="G137" s="365"/>
      <c r="H137" s="365"/>
      <c r="I137" s="1356"/>
      <c r="J137" s="363" t="s">
        <v>613</v>
      </c>
      <c r="K137" s="785">
        <f>1900000+500000</f>
        <v>2400000</v>
      </c>
      <c r="L137" s="368"/>
      <c r="M137" s="487">
        <f>405934.4+14760+30982.8+707149.6</f>
        <v>1158826.8</v>
      </c>
      <c r="N137" s="365"/>
      <c r="O137" s="1289"/>
    </row>
    <row r="138" spans="1:15" s="366" customFormat="1" ht="31.2" x14ac:dyDescent="0.3">
      <c r="A138" s="388"/>
      <c r="B138" s="459" t="s">
        <v>867</v>
      </c>
      <c r="C138" s="387" t="s">
        <v>1143</v>
      </c>
      <c r="D138" s="365"/>
      <c r="E138" s="365"/>
      <c r="F138" s="365"/>
      <c r="G138" s="365"/>
      <c r="H138" s="365"/>
      <c r="I138" s="452" t="s">
        <v>1318</v>
      </c>
      <c r="J138" s="363" t="s">
        <v>613</v>
      </c>
      <c r="K138" s="464">
        <f>100000-100000</f>
        <v>0</v>
      </c>
      <c r="L138" s="368"/>
      <c r="M138" s="487"/>
      <c r="N138" s="365"/>
      <c r="O138" s="1289"/>
    </row>
    <row r="139" spans="1:15" s="366" customFormat="1" ht="15.6" hidden="1" x14ac:dyDescent="0.3">
      <c r="A139" s="388"/>
      <c r="B139" s="459" t="s">
        <v>870</v>
      </c>
      <c r="C139" s="807" t="s">
        <v>1143</v>
      </c>
      <c r="D139" s="479"/>
      <c r="E139" s="479"/>
      <c r="F139" s="479"/>
      <c r="G139" s="479"/>
      <c r="H139" s="479"/>
      <c r="I139" s="480" t="s">
        <v>871</v>
      </c>
      <c r="J139" s="363" t="s">
        <v>613</v>
      </c>
      <c r="K139" s="785">
        <v>0</v>
      </c>
      <c r="L139" s="368"/>
      <c r="M139" s="487"/>
      <c r="N139" s="365"/>
      <c r="O139" s="1289"/>
    </row>
    <row r="140" spans="1:15" s="366" customFormat="1" ht="15.6" x14ac:dyDescent="0.3">
      <c r="A140" s="1307"/>
      <c r="B140" s="1297" t="s">
        <v>877</v>
      </c>
      <c r="C140" s="387" t="s">
        <v>1144</v>
      </c>
      <c r="D140" s="388"/>
      <c r="E140" s="388"/>
      <c r="F140" s="388"/>
      <c r="G140" s="388"/>
      <c r="H140" s="388"/>
      <c r="I140" s="389" t="s">
        <v>1320</v>
      </c>
      <c r="J140" s="363"/>
      <c r="K140" s="785">
        <f>K141+K142+K143</f>
        <v>5523184.1100000003</v>
      </c>
      <c r="L140" s="368"/>
      <c r="M140" s="785">
        <f>M141+M142+M143</f>
        <v>2796346.6</v>
      </c>
      <c r="N140" s="365"/>
      <c r="O140" s="1289"/>
    </row>
    <row r="141" spans="1:15" s="366" customFormat="1" ht="15.6" x14ac:dyDescent="0.3">
      <c r="A141" s="1336"/>
      <c r="B141" s="1298"/>
      <c r="C141" s="1337"/>
      <c r="D141" s="386"/>
      <c r="E141" s="386"/>
      <c r="F141" s="386"/>
      <c r="G141" s="386"/>
      <c r="H141" s="386"/>
      <c r="I141" s="1340"/>
      <c r="J141" s="363" t="s">
        <v>162</v>
      </c>
      <c r="K141" s="785">
        <v>5429984.1100000003</v>
      </c>
      <c r="L141" s="368"/>
      <c r="M141" s="487">
        <f>267903.28+3600+367432.83+1840+187591.01+312722.84+1715+86278.38+380556.18+112813.98+282694.46+9938.7+47519.41+707646.03</f>
        <v>2770252.1</v>
      </c>
      <c r="N141" s="365"/>
      <c r="O141" s="1289"/>
    </row>
    <row r="142" spans="1:15" s="366" customFormat="1" ht="15.6" x14ac:dyDescent="0.3">
      <c r="A142" s="1336"/>
      <c r="B142" s="1298"/>
      <c r="C142" s="1338"/>
      <c r="D142" s="362"/>
      <c r="E142" s="362"/>
      <c r="F142" s="362"/>
      <c r="G142" s="362"/>
      <c r="H142" s="362"/>
      <c r="I142" s="1341"/>
      <c r="J142" s="363" t="s">
        <v>586</v>
      </c>
      <c r="K142" s="785">
        <v>93200</v>
      </c>
      <c r="L142" s="368"/>
      <c r="M142" s="487">
        <f>6475.39+5003.42+5126.63+4386.41+5102.65</f>
        <v>26094.5</v>
      </c>
      <c r="N142" s="365"/>
      <c r="O142" s="1289"/>
    </row>
    <row r="143" spans="1:15" s="366" customFormat="1" ht="15.6" x14ac:dyDescent="0.3">
      <c r="A143" s="1308"/>
      <c r="B143" s="1299"/>
      <c r="C143" s="1338"/>
      <c r="D143" s="488"/>
      <c r="E143" s="488"/>
      <c r="F143" s="488"/>
      <c r="G143" s="488"/>
      <c r="H143" s="488"/>
      <c r="I143" s="1341"/>
      <c r="J143" s="363" t="s">
        <v>528</v>
      </c>
      <c r="K143" s="785">
        <f>6000-6000</f>
        <v>0</v>
      </c>
      <c r="L143" s="368"/>
      <c r="M143" s="487"/>
      <c r="N143" s="365"/>
      <c r="O143" s="1289"/>
    </row>
    <row r="144" spans="1:15" s="366" customFormat="1" ht="15.6" x14ac:dyDescent="0.3">
      <c r="A144" s="1307"/>
      <c r="B144" s="1297" t="s">
        <v>882</v>
      </c>
      <c r="C144" s="387" t="s">
        <v>1144</v>
      </c>
      <c r="D144" s="388"/>
      <c r="E144" s="388"/>
      <c r="F144" s="388"/>
      <c r="G144" s="388"/>
      <c r="H144" s="388"/>
      <c r="I144" s="389" t="s">
        <v>1321</v>
      </c>
      <c r="J144" s="363"/>
      <c r="K144" s="785">
        <f>K145+K146+K147</f>
        <v>16686770.050000001</v>
      </c>
      <c r="L144" s="368"/>
      <c r="M144" s="785">
        <f>M145+M146+M147</f>
        <v>8888480.6300000008</v>
      </c>
      <c r="N144" s="365"/>
      <c r="O144" s="1289"/>
    </row>
    <row r="145" spans="1:15" s="366" customFormat="1" ht="15.6" x14ac:dyDescent="0.3">
      <c r="A145" s="1336"/>
      <c r="B145" s="1298"/>
      <c r="C145" s="1337"/>
      <c r="D145" s="386"/>
      <c r="E145" s="386"/>
      <c r="F145" s="386"/>
      <c r="G145" s="386"/>
      <c r="H145" s="386"/>
      <c r="I145" s="1340"/>
      <c r="J145" s="363" t="s">
        <v>162</v>
      </c>
      <c r="K145" s="785">
        <v>12358242.65</v>
      </c>
      <c r="L145" s="368"/>
      <c r="M145" s="487">
        <f>641319.57+6605.75+854663.7+4600+442773.64+706630.5+212830.71+2982353.46+4600+889773.06-2202613.77-4600-662210.1+724964.69+17598.8+225547.34+2721952.83</f>
        <v>7566790.1800000006</v>
      </c>
      <c r="N145" s="365"/>
      <c r="O145" s="1289"/>
    </row>
    <row r="146" spans="1:15" s="366" customFormat="1" ht="15.6" x14ac:dyDescent="0.3">
      <c r="A146" s="1336"/>
      <c r="B146" s="1298"/>
      <c r="C146" s="1338"/>
      <c r="D146" s="362"/>
      <c r="E146" s="362"/>
      <c r="F146" s="362"/>
      <c r="G146" s="362"/>
      <c r="H146" s="362"/>
      <c r="I146" s="1341"/>
      <c r="J146" s="363" t="s">
        <v>586</v>
      </c>
      <c r="K146" s="464">
        <f>4275140.4-10000+45000</f>
        <v>4310140.4000000004</v>
      </c>
      <c r="L146" s="368"/>
      <c r="M146" s="487">
        <f>37923.85+226540.51+208735.04+279803.86+241274.93+318025.26</f>
        <v>1312303.45</v>
      </c>
      <c r="N146" s="365"/>
      <c r="O146" s="1289"/>
    </row>
    <row r="147" spans="1:15" s="366" customFormat="1" ht="15.6" x14ac:dyDescent="0.3">
      <c r="A147" s="1308"/>
      <c r="B147" s="1299"/>
      <c r="C147" s="1339"/>
      <c r="D147" s="362"/>
      <c r="E147" s="362"/>
      <c r="F147" s="362"/>
      <c r="G147" s="362"/>
      <c r="H147" s="362"/>
      <c r="I147" s="1342"/>
      <c r="J147" s="363" t="s">
        <v>528</v>
      </c>
      <c r="K147" s="464">
        <f>8387+10000</f>
        <v>18387</v>
      </c>
      <c r="L147" s="368"/>
      <c r="M147" s="487">
        <f>2652+45+38+1852+4800</f>
        <v>9387</v>
      </c>
      <c r="N147" s="365"/>
      <c r="O147" s="1289"/>
    </row>
    <row r="148" spans="1:15" s="366" customFormat="1" ht="31.2" x14ac:dyDescent="0.3">
      <c r="A148" s="388"/>
      <c r="B148" s="459" t="s">
        <v>887</v>
      </c>
      <c r="C148" s="808" t="s">
        <v>1144</v>
      </c>
      <c r="D148" s="489"/>
      <c r="E148" s="489"/>
      <c r="F148" s="489"/>
      <c r="G148" s="489"/>
      <c r="H148" s="489"/>
      <c r="I148" s="490" t="s">
        <v>1322</v>
      </c>
      <c r="J148" s="363" t="s">
        <v>613</v>
      </c>
      <c r="K148" s="785">
        <f>2678797.79-293644.12</f>
        <v>2385153.67</v>
      </c>
      <c r="L148" s="368"/>
      <c r="M148" s="487">
        <f>170122.74+204050.19+272354.51+235420.64+293941.25+143350.46</f>
        <v>1319239.79</v>
      </c>
      <c r="N148" s="365"/>
      <c r="O148" s="1290"/>
    </row>
    <row r="149" spans="1:15" s="366" customFormat="1" ht="52.8" x14ac:dyDescent="0.35">
      <c r="A149" s="446">
        <v>13</v>
      </c>
      <c r="B149" s="447" t="s">
        <v>564</v>
      </c>
      <c r="C149" s="448"/>
      <c r="D149" s="448"/>
      <c r="E149" s="448"/>
      <c r="F149" s="448"/>
      <c r="G149" s="448"/>
      <c r="H149" s="448"/>
      <c r="I149" s="429" t="s">
        <v>1348</v>
      </c>
      <c r="J149" s="430"/>
      <c r="K149" s="548">
        <f>K150+K152+K154+K155+K156+K157+K158+K159+K160+K161+K165+K166+K167+K151+K153+K162+K163+K164</f>
        <v>17703934.920000002</v>
      </c>
      <c r="L149" s="448"/>
      <c r="M149" s="548">
        <f>M150+M152+M154+M155+M156+M157+M158+M159+M160+M161+M165+M166+M167+M151+M153+M162+M163+M164</f>
        <v>4057738.7</v>
      </c>
      <c r="N149" s="448"/>
      <c r="O149" s="432" t="s">
        <v>1083</v>
      </c>
    </row>
    <row r="150" spans="1:15" s="366" customFormat="1" ht="15.6" x14ac:dyDescent="0.3">
      <c r="A150" s="388"/>
      <c r="B150" s="459" t="s">
        <v>654</v>
      </c>
      <c r="C150" s="387" t="s">
        <v>1148</v>
      </c>
      <c r="D150" s="365"/>
      <c r="E150" s="365"/>
      <c r="F150" s="365"/>
      <c r="G150" s="365"/>
      <c r="H150" s="365"/>
      <c r="I150" s="452" t="s">
        <v>1251</v>
      </c>
      <c r="J150" s="363" t="s">
        <v>586</v>
      </c>
      <c r="K150" s="785">
        <f>300000+1938000</f>
        <v>2238000</v>
      </c>
      <c r="L150" s="368"/>
      <c r="M150" s="361"/>
      <c r="N150" s="365"/>
      <c r="O150" s="1280" t="s">
        <v>151</v>
      </c>
    </row>
    <row r="151" spans="1:15" s="366" customFormat="1" ht="15.6" x14ac:dyDescent="0.3">
      <c r="A151" s="388"/>
      <c r="B151" s="459" t="s">
        <v>1357</v>
      </c>
      <c r="C151" s="387" t="s">
        <v>1148</v>
      </c>
      <c r="D151" s="365"/>
      <c r="E151" s="365"/>
      <c r="F151" s="365"/>
      <c r="G151" s="365"/>
      <c r="H151" s="365"/>
      <c r="I151" s="452" t="s">
        <v>1356</v>
      </c>
      <c r="J151" s="363" t="s">
        <v>586</v>
      </c>
      <c r="K151" s="785">
        <v>5400000</v>
      </c>
      <c r="L151" s="368"/>
      <c r="M151" s="361">
        <v>1762666.67</v>
      </c>
      <c r="N151" s="365"/>
      <c r="O151" s="1281"/>
    </row>
    <row r="152" spans="1:15" s="366" customFormat="1" ht="31.2" x14ac:dyDescent="0.3">
      <c r="A152" s="388"/>
      <c r="B152" s="459" t="s">
        <v>657</v>
      </c>
      <c r="C152" s="387" t="s">
        <v>1148</v>
      </c>
      <c r="D152" s="365"/>
      <c r="E152" s="365"/>
      <c r="F152" s="365"/>
      <c r="G152" s="365"/>
      <c r="H152" s="365"/>
      <c r="I152" s="452" t="s">
        <v>1252</v>
      </c>
      <c r="J152" s="363" t="s">
        <v>586</v>
      </c>
      <c r="K152" s="785">
        <f>59000+351000</f>
        <v>410000</v>
      </c>
      <c r="L152" s="368"/>
      <c r="M152" s="361"/>
      <c r="N152" s="365"/>
      <c r="O152" s="1282"/>
    </row>
    <row r="153" spans="1:15" s="366" customFormat="1" ht="31.2" x14ac:dyDescent="0.3">
      <c r="A153" s="388"/>
      <c r="B153" s="181" t="s">
        <v>660</v>
      </c>
      <c r="C153" s="387" t="s">
        <v>1148</v>
      </c>
      <c r="D153" s="365"/>
      <c r="E153" s="365"/>
      <c r="F153" s="365"/>
      <c r="G153" s="365"/>
      <c r="H153" s="365"/>
      <c r="I153" s="452" t="s">
        <v>1358</v>
      </c>
      <c r="J153" s="363" t="s">
        <v>586</v>
      </c>
      <c r="K153" s="785">
        <f>50000+51000</f>
        <v>101000</v>
      </c>
      <c r="L153" s="368"/>
      <c r="M153" s="361">
        <v>47090</v>
      </c>
      <c r="N153" s="365"/>
      <c r="O153" s="1281"/>
    </row>
    <row r="154" spans="1:15" s="366" customFormat="1" ht="31.2" hidden="1" x14ac:dyDescent="0.3">
      <c r="A154" s="388"/>
      <c r="B154" s="459" t="s">
        <v>660</v>
      </c>
      <c r="C154" s="387" t="s">
        <v>1148</v>
      </c>
      <c r="D154" s="365"/>
      <c r="E154" s="365"/>
      <c r="F154" s="365"/>
      <c r="G154" s="365"/>
      <c r="H154" s="365"/>
      <c r="I154" s="452" t="s">
        <v>661</v>
      </c>
      <c r="J154" s="363" t="s">
        <v>586</v>
      </c>
      <c r="K154" s="785"/>
      <c r="L154" s="368"/>
      <c r="M154" s="361"/>
      <c r="N154" s="365"/>
      <c r="O154" s="1282"/>
    </row>
    <row r="155" spans="1:15" s="366" customFormat="1" ht="15.6" x14ac:dyDescent="0.3">
      <c r="A155" s="388"/>
      <c r="B155" s="459" t="s">
        <v>663</v>
      </c>
      <c r="C155" s="387" t="s">
        <v>1148</v>
      </c>
      <c r="D155" s="365"/>
      <c r="E155" s="365"/>
      <c r="F155" s="365"/>
      <c r="G155" s="365"/>
      <c r="H155" s="365"/>
      <c r="I155" s="452" t="s">
        <v>1253</v>
      </c>
      <c r="J155" s="363" t="s">
        <v>586</v>
      </c>
      <c r="K155" s="785">
        <f>360000+206000</f>
        <v>566000</v>
      </c>
      <c r="L155" s="368"/>
      <c r="M155" s="361">
        <f>171000+390000</f>
        <v>561000</v>
      </c>
      <c r="N155" s="365"/>
      <c r="O155" s="1282"/>
    </row>
    <row r="156" spans="1:15" s="366" customFormat="1" ht="31.2" x14ac:dyDescent="0.3">
      <c r="A156" s="388"/>
      <c r="B156" s="459" t="s">
        <v>666</v>
      </c>
      <c r="C156" s="387" t="s">
        <v>1148</v>
      </c>
      <c r="D156" s="365"/>
      <c r="E156" s="365"/>
      <c r="F156" s="365"/>
      <c r="G156" s="365"/>
      <c r="H156" s="365"/>
      <c r="I156" s="452" t="s">
        <v>1254</v>
      </c>
      <c r="J156" s="363" t="s">
        <v>528</v>
      </c>
      <c r="K156" s="785">
        <f>500000-50000-10000</f>
        <v>440000</v>
      </c>
      <c r="L156" s="368"/>
      <c r="M156" s="361"/>
      <c r="N156" s="365"/>
      <c r="O156" s="1282"/>
    </row>
    <row r="157" spans="1:15" s="366" customFormat="1" ht="15.6" x14ac:dyDescent="0.3">
      <c r="A157" s="388"/>
      <c r="B157" s="459" t="s">
        <v>669</v>
      </c>
      <c r="C157" s="387" t="s">
        <v>1148</v>
      </c>
      <c r="D157" s="365"/>
      <c r="E157" s="365"/>
      <c r="F157" s="365"/>
      <c r="G157" s="365"/>
      <c r="H157" s="365"/>
      <c r="I157" s="452" t="s">
        <v>1255</v>
      </c>
      <c r="J157" s="363" t="s">
        <v>586</v>
      </c>
      <c r="K157" s="785">
        <v>150000</v>
      </c>
      <c r="L157" s="368"/>
      <c r="M157" s="361"/>
      <c r="N157" s="365"/>
      <c r="O157" s="1282"/>
    </row>
    <row r="158" spans="1:15" s="366" customFormat="1" ht="46.8" x14ac:dyDescent="0.3">
      <c r="A158" s="388"/>
      <c r="B158" s="459" t="s">
        <v>672</v>
      </c>
      <c r="C158" s="387" t="s">
        <v>1148</v>
      </c>
      <c r="D158" s="365"/>
      <c r="E158" s="365"/>
      <c r="F158" s="365"/>
      <c r="G158" s="365"/>
      <c r="H158" s="365"/>
      <c r="I158" s="452" t="s">
        <v>1256</v>
      </c>
      <c r="J158" s="363" t="s">
        <v>586</v>
      </c>
      <c r="K158" s="785">
        <v>106000</v>
      </c>
      <c r="L158" s="368"/>
      <c r="M158" s="361"/>
      <c r="N158" s="365"/>
      <c r="O158" s="1282"/>
    </row>
    <row r="159" spans="1:15" s="366" customFormat="1" ht="31.2" hidden="1" x14ac:dyDescent="0.3">
      <c r="A159" s="388"/>
      <c r="B159" s="519" t="s">
        <v>675</v>
      </c>
      <c r="C159" s="826" t="s">
        <v>1148</v>
      </c>
      <c r="D159" s="482"/>
      <c r="E159" s="482"/>
      <c r="F159" s="482"/>
      <c r="G159" s="482"/>
      <c r="H159" s="482"/>
      <c r="I159" s="480" t="s">
        <v>1257</v>
      </c>
      <c r="J159" s="363" t="s">
        <v>586</v>
      </c>
      <c r="K159" s="577"/>
      <c r="L159" s="368"/>
      <c r="M159" s="361">
        <f>183800-183800</f>
        <v>0</v>
      </c>
      <c r="N159" s="365"/>
      <c r="O159" s="1282"/>
    </row>
    <row r="160" spans="1:15" s="532" customFormat="1" ht="31.2" x14ac:dyDescent="0.3">
      <c r="A160" s="572"/>
      <c r="B160" s="573" t="s">
        <v>675</v>
      </c>
      <c r="C160" s="826" t="s">
        <v>1163</v>
      </c>
      <c r="D160" s="574"/>
      <c r="E160" s="574"/>
      <c r="F160" s="574"/>
      <c r="G160" s="574"/>
      <c r="H160" s="574"/>
      <c r="I160" s="575" t="s">
        <v>1257</v>
      </c>
      <c r="J160" s="576" t="s">
        <v>586</v>
      </c>
      <c r="K160" s="650">
        <f>4966877.4-1076104.48</f>
        <v>3890772.9200000004</v>
      </c>
      <c r="L160" s="368"/>
      <c r="M160" s="361">
        <f>182571.51+362696.52+121714</f>
        <v>666982.03</v>
      </c>
      <c r="N160" s="368"/>
      <c r="O160" s="1282"/>
    </row>
    <row r="161" spans="1:15" s="366" customFormat="1" ht="46.8" hidden="1" x14ac:dyDescent="0.3">
      <c r="A161" s="530"/>
      <c r="B161" s="519" t="s">
        <v>681</v>
      </c>
      <c r="C161" s="826" t="s">
        <v>1148</v>
      </c>
      <c r="D161" s="482"/>
      <c r="E161" s="482"/>
      <c r="F161" s="482"/>
      <c r="G161" s="482"/>
      <c r="H161" s="482"/>
      <c r="I161" s="480" t="s">
        <v>682</v>
      </c>
      <c r="J161" s="564" t="s">
        <v>586</v>
      </c>
      <c r="K161" s="577">
        <v>0</v>
      </c>
      <c r="L161" s="574"/>
      <c r="M161" s="601"/>
      <c r="N161" s="365"/>
      <c r="O161" s="1282"/>
    </row>
    <row r="162" spans="1:15" s="366" customFormat="1" ht="3" customHeight="1" x14ac:dyDescent="0.3">
      <c r="A162" s="388"/>
      <c r="B162" s="1408" t="s">
        <v>681</v>
      </c>
      <c r="C162" s="1407" t="s">
        <v>1163</v>
      </c>
      <c r="D162" s="365"/>
      <c r="E162" s="365"/>
      <c r="F162" s="365"/>
      <c r="G162" s="365"/>
      <c r="H162" s="365"/>
      <c r="I162" s="1409" t="s">
        <v>1258</v>
      </c>
      <c r="J162" s="363"/>
      <c r="K162" s="842"/>
      <c r="L162" s="368"/>
      <c r="M162" s="361"/>
      <c r="N162" s="365"/>
      <c r="O162" s="1281"/>
    </row>
    <row r="163" spans="1:15" s="366" customFormat="1" ht="20.25" customHeight="1" x14ac:dyDescent="0.3">
      <c r="A163" s="388"/>
      <c r="B163" s="1408"/>
      <c r="C163" s="1407"/>
      <c r="D163" s="658"/>
      <c r="E163" s="658"/>
      <c r="F163" s="658"/>
      <c r="G163" s="658"/>
      <c r="H163" s="658"/>
      <c r="I163" s="1409"/>
      <c r="J163" s="363" t="s">
        <v>586</v>
      </c>
      <c r="K163" s="843">
        <f>3176057.52-2000000-1176057.52</f>
        <v>0</v>
      </c>
      <c r="L163" s="368"/>
      <c r="M163" s="361">
        <v>0</v>
      </c>
      <c r="N163" s="365"/>
      <c r="O163" s="1283"/>
    </row>
    <row r="164" spans="1:15" s="366" customFormat="1" ht="20.25" customHeight="1" x14ac:dyDescent="0.3">
      <c r="A164" s="388"/>
      <c r="B164" s="1408"/>
      <c r="C164" s="840" t="s">
        <v>1386</v>
      </c>
      <c r="D164" s="658"/>
      <c r="E164" s="658"/>
      <c r="F164" s="658"/>
      <c r="G164" s="658"/>
      <c r="H164" s="658"/>
      <c r="I164" s="1409"/>
      <c r="J164" s="363" t="s">
        <v>813</v>
      </c>
      <c r="K164" s="842">
        <f>2000000+2252162</f>
        <v>4252162</v>
      </c>
      <c r="L164" s="368"/>
      <c r="M164" s="361">
        <v>1000000</v>
      </c>
      <c r="N164" s="365"/>
      <c r="O164" s="824" t="s">
        <v>1407</v>
      </c>
    </row>
    <row r="165" spans="1:15" s="366" customFormat="1" ht="15.6" x14ac:dyDescent="0.3">
      <c r="A165" s="830"/>
      <c r="B165" s="534" t="s">
        <v>852</v>
      </c>
      <c r="C165" s="829" t="s">
        <v>1105</v>
      </c>
      <c r="D165" s="489"/>
      <c r="E165" s="489"/>
      <c r="F165" s="489"/>
      <c r="G165" s="489"/>
      <c r="H165" s="489"/>
      <c r="I165" s="490" t="s">
        <v>1314</v>
      </c>
      <c r="J165" s="662" t="s">
        <v>613</v>
      </c>
      <c r="K165" s="525">
        <v>80000</v>
      </c>
      <c r="L165" s="841"/>
      <c r="M165" s="526"/>
      <c r="N165" s="365"/>
      <c r="O165" s="1280" t="s">
        <v>968</v>
      </c>
    </row>
    <row r="166" spans="1:15" s="366" customFormat="1" ht="15.6" x14ac:dyDescent="0.3">
      <c r="A166" s="388"/>
      <c r="B166" s="459" t="s">
        <v>855</v>
      </c>
      <c r="C166" s="387" t="s">
        <v>1105</v>
      </c>
      <c r="D166" s="365"/>
      <c r="E166" s="365"/>
      <c r="F166" s="365"/>
      <c r="G166" s="365"/>
      <c r="H166" s="365"/>
      <c r="I166" s="452" t="s">
        <v>1315</v>
      </c>
      <c r="J166" s="363" t="s">
        <v>613</v>
      </c>
      <c r="K166" s="785">
        <v>50000</v>
      </c>
      <c r="L166" s="368"/>
      <c r="M166" s="361"/>
      <c r="N166" s="365"/>
      <c r="O166" s="1282"/>
    </row>
    <row r="167" spans="1:15" s="366" customFormat="1" ht="15.6" x14ac:dyDescent="0.3">
      <c r="A167" s="388"/>
      <c r="B167" s="459" t="s">
        <v>858</v>
      </c>
      <c r="C167" s="387" t="s">
        <v>1105</v>
      </c>
      <c r="D167" s="365"/>
      <c r="E167" s="365"/>
      <c r="F167" s="365"/>
      <c r="G167" s="365"/>
      <c r="H167" s="365"/>
      <c r="I167" s="452" t="s">
        <v>1316</v>
      </c>
      <c r="J167" s="363" t="s">
        <v>613</v>
      </c>
      <c r="K167" s="785">
        <v>20000</v>
      </c>
      <c r="L167" s="368"/>
      <c r="M167" s="361">
        <v>20000</v>
      </c>
      <c r="N167" s="365"/>
      <c r="O167" s="1283"/>
    </row>
    <row r="168" spans="1:15" s="433" customFormat="1" ht="18" x14ac:dyDescent="0.35">
      <c r="A168" s="425">
        <v>14</v>
      </c>
      <c r="B168" s="426" t="s">
        <v>559</v>
      </c>
      <c r="C168" s="427"/>
      <c r="D168" s="428"/>
      <c r="E168" s="428"/>
      <c r="F168" s="428"/>
      <c r="G168" s="428"/>
      <c r="H168" s="428"/>
      <c r="I168" s="429" t="s">
        <v>1349</v>
      </c>
      <c r="J168" s="430"/>
      <c r="K168" s="792">
        <f>K171+K172+K174+K173+K169+K170</f>
        <v>2510229</v>
      </c>
      <c r="L168" s="428"/>
      <c r="M168" s="792">
        <f>M171+M172+M174+M173+M169+M170</f>
        <v>1826518.98</v>
      </c>
      <c r="N168" s="428"/>
      <c r="O168" s="432"/>
    </row>
    <row r="169" spans="1:15" s="433" customFormat="1" ht="18" x14ac:dyDescent="0.35">
      <c r="A169" s="425"/>
      <c r="B169" s="521" t="s">
        <v>709</v>
      </c>
      <c r="C169" s="826" t="s">
        <v>1101</v>
      </c>
      <c r="D169" s="365"/>
      <c r="E169" s="365"/>
      <c r="F169" s="365"/>
      <c r="G169" s="365"/>
      <c r="H169" s="365"/>
      <c r="I169" s="452" t="s">
        <v>1268</v>
      </c>
      <c r="J169" s="363" t="s">
        <v>586</v>
      </c>
      <c r="K169" s="785">
        <v>100000</v>
      </c>
      <c r="L169" s="428"/>
      <c r="M169" s="792"/>
      <c r="N169" s="428"/>
      <c r="O169" s="520"/>
    </row>
    <row r="170" spans="1:15" s="433" customFormat="1" ht="18" x14ac:dyDescent="0.35">
      <c r="A170" s="425"/>
      <c r="B170" s="466" t="s">
        <v>712</v>
      </c>
      <c r="C170" s="826" t="s">
        <v>1101</v>
      </c>
      <c r="D170" s="365"/>
      <c r="E170" s="365"/>
      <c r="F170" s="365"/>
      <c r="G170" s="365"/>
      <c r="H170" s="365"/>
      <c r="I170" s="452" t="s">
        <v>1361</v>
      </c>
      <c r="J170" s="363" t="s">
        <v>586</v>
      </c>
      <c r="K170" s="785">
        <f>3500000-1429771</f>
        <v>2070229</v>
      </c>
      <c r="L170" s="428"/>
      <c r="M170" s="787">
        <v>1826518.98</v>
      </c>
      <c r="N170" s="428"/>
      <c r="O170" s="520"/>
    </row>
    <row r="171" spans="1:15" s="366" customFormat="1" ht="15.6" x14ac:dyDescent="0.3">
      <c r="A171" s="388"/>
      <c r="B171" s="534" t="s">
        <v>715</v>
      </c>
      <c r="C171" s="826" t="s">
        <v>1101</v>
      </c>
      <c r="D171" s="365"/>
      <c r="E171" s="365"/>
      <c r="F171" s="365"/>
      <c r="G171" s="365"/>
      <c r="H171" s="365"/>
      <c r="I171" s="452" t="s">
        <v>1269</v>
      </c>
      <c r="J171" s="363" t="s">
        <v>586</v>
      </c>
      <c r="K171" s="785">
        <v>200000</v>
      </c>
      <c r="L171" s="368"/>
      <c r="M171" s="368"/>
      <c r="N171" s="365"/>
      <c r="O171" s="1380" t="s">
        <v>151</v>
      </c>
    </row>
    <row r="172" spans="1:15" s="366" customFormat="1" ht="15.6" x14ac:dyDescent="0.3">
      <c r="A172" s="388"/>
      <c r="B172" s="459" t="s">
        <v>718</v>
      </c>
      <c r="C172" s="826" t="s">
        <v>1101</v>
      </c>
      <c r="D172" s="365"/>
      <c r="E172" s="365"/>
      <c r="F172" s="365"/>
      <c r="G172" s="365"/>
      <c r="H172" s="365"/>
      <c r="I172" s="452" t="s">
        <v>1270</v>
      </c>
      <c r="J172" s="363" t="s">
        <v>586</v>
      </c>
      <c r="K172" s="577">
        <v>40000</v>
      </c>
      <c r="L172" s="368"/>
      <c r="M172" s="368"/>
      <c r="N172" s="365"/>
      <c r="O172" s="1381"/>
    </row>
    <row r="173" spans="1:15" s="366" customFormat="1" ht="15.6" x14ac:dyDescent="0.3">
      <c r="A173" s="388"/>
      <c r="B173" s="521" t="s">
        <v>1205</v>
      </c>
      <c r="C173" s="826" t="s">
        <v>1101</v>
      </c>
      <c r="D173" s="365"/>
      <c r="E173" s="365"/>
      <c r="F173" s="365"/>
      <c r="G173" s="365"/>
      <c r="H173" s="365"/>
      <c r="I173" s="484" t="s">
        <v>1271</v>
      </c>
      <c r="J173" s="389" t="s">
        <v>586</v>
      </c>
      <c r="K173" s="786">
        <v>100000</v>
      </c>
      <c r="L173" s="368"/>
      <c r="M173" s="672"/>
      <c r="N173" s="365"/>
      <c r="O173" s="581"/>
    </row>
    <row r="174" spans="1:15" s="366" customFormat="1" ht="15.6" hidden="1" x14ac:dyDescent="0.3">
      <c r="A174" s="388"/>
      <c r="B174" s="521" t="s">
        <v>1205</v>
      </c>
      <c r="C174" s="826" t="s">
        <v>1159</v>
      </c>
      <c r="D174" s="365"/>
      <c r="E174" s="365"/>
      <c r="F174" s="365"/>
      <c r="G174" s="365"/>
      <c r="H174" s="365"/>
      <c r="I174" s="389" t="s">
        <v>1206</v>
      </c>
      <c r="J174" s="389" t="s">
        <v>813</v>
      </c>
      <c r="K174" s="582"/>
      <c r="L174" s="365"/>
      <c r="M174" s="486"/>
      <c r="N174" s="365"/>
      <c r="O174" s="824" t="s">
        <v>1136</v>
      </c>
    </row>
    <row r="175" spans="1:15" ht="21" x14ac:dyDescent="0.4">
      <c r="A175" s="401"/>
      <c r="B175" s="402" t="s">
        <v>1149</v>
      </c>
      <c r="C175" s="403"/>
      <c r="D175" s="401"/>
      <c r="E175" s="401"/>
      <c r="F175" s="401"/>
      <c r="G175" s="401"/>
      <c r="H175" s="401"/>
      <c r="I175" s="404"/>
      <c r="J175" s="405"/>
      <c r="K175" s="671">
        <f>K21+K34+K36+K47+K58+K66+K68+K72+K78+K84+K113+K123+K149+K168</f>
        <v>380047698.45000011</v>
      </c>
      <c r="L175" s="401"/>
      <c r="M175" s="406">
        <f>M21+M34+M36+M47+M58+M66+M68+M72+M78+M84+M113+M123+M149+M168</f>
        <v>147866360.42999998</v>
      </c>
      <c r="N175" s="400"/>
      <c r="O175" s="400"/>
    </row>
    <row r="176" spans="1:15" ht="15.6" x14ac:dyDescent="0.3">
      <c r="A176" s="146"/>
      <c r="B176" s="146"/>
      <c r="C176" s="146"/>
      <c r="D176" s="146"/>
      <c r="E176" s="146"/>
      <c r="F176" s="146"/>
      <c r="G176" s="146"/>
      <c r="H176" s="146"/>
      <c r="I176" s="358"/>
      <c r="J176" s="360"/>
      <c r="K176" s="672"/>
      <c r="L176" s="146"/>
      <c r="M176" s="146"/>
      <c r="N176" s="146"/>
      <c r="O176" s="146"/>
    </row>
    <row r="177" spans="1:16" s="375" customFormat="1" ht="31.2" x14ac:dyDescent="0.3">
      <c r="A177" s="1382">
        <v>1</v>
      </c>
      <c r="B177" s="1366" t="s">
        <v>1355</v>
      </c>
      <c r="C177" s="395" t="s">
        <v>1110</v>
      </c>
      <c r="D177" s="396"/>
      <c r="E177" s="396"/>
      <c r="F177" s="396"/>
      <c r="G177" s="396"/>
      <c r="H177" s="396"/>
      <c r="I177" s="397" t="s">
        <v>1287</v>
      </c>
      <c r="J177" s="371"/>
      <c r="K177" s="793">
        <f>K178+K179</f>
        <v>573397.05000000005</v>
      </c>
      <c r="L177" s="368"/>
      <c r="M177" s="793">
        <f>M178+M179</f>
        <v>246152.49000000002</v>
      </c>
      <c r="N177" s="373"/>
      <c r="O177" s="374" t="s">
        <v>151</v>
      </c>
    </row>
    <row r="178" spans="1:16" s="375" customFormat="1" ht="15.6" x14ac:dyDescent="0.3">
      <c r="A178" s="1383"/>
      <c r="B178" s="1367"/>
      <c r="C178" s="390"/>
      <c r="D178" s="394"/>
      <c r="E178" s="394"/>
      <c r="F178" s="394"/>
      <c r="G178" s="394"/>
      <c r="H178" s="394"/>
      <c r="I178" s="391"/>
      <c r="J178" s="371" t="s">
        <v>162</v>
      </c>
      <c r="K178" s="577">
        <f>541284-2.95</f>
        <v>541281.05000000005</v>
      </c>
      <c r="L178" s="794"/>
      <c r="M178" s="379">
        <f>18151.56+5481.77+24149.77+5376.57+8916.96+27412.56+8278.59+51009.05+14196.73+27783+8390.46+37669.47</f>
        <v>236816.49000000002</v>
      </c>
      <c r="N178" s="378"/>
      <c r="O178" s="380"/>
    </row>
    <row r="179" spans="1:16" s="375" customFormat="1" ht="76.5" customHeight="1" x14ac:dyDescent="0.3">
      <c r="A179" s="1384"/>
      <c r="B179" s="1368"/>
      <c r="C179" s="392"/>
      <c r="D179" s="377"/>
      <c r="E179" s="377"/>
      <c r="F179" s="377"/>
      <c r="G179" s="377"/>
      <c r="H179" s="377"/>
      <c r="I179" s="393"/>
      <c r="J179" s="371" t="s">
        <v>586</v>
      </c>
      <c r="K179" s="577">
        <v>32116</v>
      </c>
      <c r="L179" s="794"/>
      <c r="M179" s="379">
        <v>9336</v>
      </c>
      <c r="N179" s="378"/>
      <c r="O179" s="380"/>
    </row>
    <row r="180" spans="1:16" s="375" customFormat="1" ht="55.5" customHeight="1" x14ac:dyDescent="0.3">
      <c r="A180" s="749">
        <v>2</v>
      </c>
      <c r="B180" s="750" t="s">
        <v>1385</v>
      </c>
      <c r="C180" s="827" t="s">
        <v>1386</v>
      </c>
      <c r="D180" s="752"/>
      <c r="E180" s="752"/>
      <c r="F180" s="752"/>
      <c r="G180" s="752"/>
      <c r="H180" s="752"/>
      <c r="I180" s="753" t="s">
        <v>1387</v>
      </c>
      <c r="J180" s="371" t="s">
        <v>813</v>
      </c>
      <c r="K180" s="793">
        <v>11787484</v>
      </c>
      <c r="L180" s="574"/>
      <c r="M180" s="601"/>
      <c r="N180" s="588"/>
      <c r="O180" s="374"/>
    </row>
    <row r="181" spans="1:16" s="375" customFormat="1" ht="46.8" x14ac:dyDescent="0.3">
      <c r="A181" s="804">
        <v>3</v>
      </c>
      <c r="B181" s="584" t="s">
        <v>1104</v>
      </c>
      <c r="C181" s="802" t="s">
        <v>1103</v>
      </c>
      <c r="D181" s="586"/>
      <c r="E181" s="586"/>
      <c r="F181" s="586"/>
      <c r="G181" s="586"/>
      <c r="H181" s="586"/>
      <c r="I181" s="587" t="s">
        <v>1265</v>
      </c>
      <c r="J181" s="371" t="s">
        <v>528</v>
      </c>
      <c r="K181" s="659">
        <f>87107200-24.78-4760796.84</f>
        <v>82346378.379999995</v>
      </c>
      <c r="L181" s="574"/>
      <c r="M181" s="589">
        <f>14417772.06+7298261.36+7240617.85+8882707.35</f>
        <v>37839358.620000005</v>
      </c>
      <c r="N181" s="588"/>
      <c r="O181" s="374" t="s">
        <v>151</v>
      </c>
    </row>
    <row r="182" spans="1:16" s="366" customFormat="1" ht="54" customHeight="1" x14ac:dyDescent="0.3">
      <c r="A182" s="804">
        <v>4</v>
      </c>
      <c r="B182" s="590" t="s">
        <v>645</v>
      </c>
      <c r="C182" s="395" t="s">
        <v>1086</v>
      </c>
      <c r="D182" s="591"/>
      <c r="E182" s="592"/>
      <c r="F182" s="592"/>
      <c r="G182" s="592"/>
      <c r="H182" s="593"/>
      <c r="I182" s="594" t="s">
        <v>1245</v>
      </c>
      <c r="J182" s="371" t="s">
        <v>586</v>
      </c>
      <c r="K182" s="793">
        <f>147000+58.82-130391.82</f>
        <v>16667</v>
      </c>
      <c r="L182" s="532"/>
      <c r="M182" s="361"/>
      <c r="N182" s="373"/>
      <c r="O182" s="595" t="s">
        <v>151</v>
      </c>
    </row>
    <row r="183" spans="1:16" s="366" customFormat="1" ht="24.75" customHeight="1" x14ac:dyDescent="0.3">
      <c r="A183" s="1422">
        <v>5</v>
      </c>
      <c r="B183" s="809" t="s">
        <v>893</v>
      </c>
      <c r="C183" s="1410" t="s">
        <v>1090</v>
      </c>
      <c r="D183" s="844"/>
      <c r="E183" s="844"/>
      <c r="F183" s="844"/>
      <c r="G183" s="844"/>
      <c r="H183" s="844"/>
      <c r="I183" s="1412" t="s">
        <v>1323</v>
      </c>
      <c r="J183" s="371" t="s">
        <v>586</v>
      </c>
      <c r="K183" s="659">
        <v>10000</v>
      </c>
      <c r="L183" s="532"/>
      <c r="M183" s="361"/>
      <c r="N183" s="373"/>
      <c r="O183" s="595"/>
    </row>
    <row r="184" spans="1:16" s="375" customFormat="1" ht="22.5" customHeight="1" x14ac:dyDescent="0.3">
      <c r="A184" s="1423"/>
      <c r="B184" s="839"/>
      <c r="C184" s="1411"/>
      <c r="D184" s="844"/>
      <c r="E184" s="844"/>
      <c r="F184" s="844"/>
      <c r="G184" s="844"/>
      <c r="H184" s="844"/>
      <c r="I184" s="1413"/>
      <c r="J184" s="371" t="s">
        <v>764</v>
      </c>
      <c r="K184" s="673">
        <f>1241900-44-10000</f>
        <v>1231856</v>
      </c>
      <c r="L184" s="532"/>
      <c r="M184" s="598">
        <f>620928</f>
        <v>620928</v>
      </c>
      <c r="N184" s="373"/>
      <c r="O184" s="595" t="s">
        <v>1084</v>
      </c>
      <c r="P184" s="599"/>
    </row>
    <row r="185" spans="1:16" s="375" customFormat="1" ht="46.8" x14ac:dyDescent="0.3">
      <c r="A185" s="596">
        <v>6</v>
      </c>
      <c r="B185" s="423" t="s">
        <v>896</v>
      </c>
      <c r="C185" s="395" t="s">
        <v>1091</v>
      </c>
      <c r="D185" s="597"/>
      <c r="E185" s="597"/>
      <c r="F185" s="597"/>
      <c r="G185" s="597"/>
      <c r="H185" s="597"/>
      <c r="I185" s="477" t="s">
        <v>1324</v>
      </c>
      <c r="J185" s="371" t="s">
        <v>764</v>
      </c>
      <c r="K185" s="795">
        <f>55100-2.48</f>
        <v>55097.52</v>
      </c>
      <c r="L185" s="532"/>
      <c r="M185" s="598">
        <v>34095</v>
      </c>
      <c r="N185" s="373"/>
      <c r="O185" s="595" t="s">
        <v>1084</v>
      </c>
      <c r="P185" s="599"/>
    </row>
    <row r="186" spans="1:16" s="375" customFormat="1" ht="15.6" x14ac:dyDescent="0.3">
      <c r="A186" s="1375">
        <v>7</v>
      </c>
      <c r="B186" s="1385" t="s">
        <v>873</v>
      </c>
      <c r="C186" s="802" t="s">
        <v>1090</v>
      </c>
      <c r="D186" s="597"/>
      <c r="E186" s="597"/>
      <c r="F186" s="597"/>
      <c r="G186" s="597"/>
      <c r="H186" s="597"/>
      <c r="I186" s="477" t="s">
        <v>1327</v>
      </c>
      <c r="J186" s="371"/>
      <c r="K186" s="795">
        <f>K187+K188</f>
        <v>1750191.15</v>
      </c>
      <c r="L186" s="532"/>
      <c r="M186" s="795">
        <f>M187+M188</f>
        <v>729377.86999999988</v>
      </c>
      <c r="N186" s="588"/>
      <c r="O186" s="595" t="s">
        <v>1084</v>
      </c>
      <c r="P186" s="600"/>
    </row>
    <row r="187" spans="1:16" s="375" customFormat="1" ht="15.6" x14ac:dyDescent="0.3">
      <c r="A187" s="1364"/>
      <c r="B187" s="1386"/>
      <c r="C187" s="1388"/>
      <c r="D187" s="597"/>
      <c r="E187" s="597"/>
      <c r="F187" s="597"/>
      <c r="G187" s="597"/>
      <c r="H187" s="597"/>
      <c r="I187" s="1389"/>
      <c r="J187" s="371" t="s">
        <v>162</v>
      </c>
      <c r="K187" s="464">
        <f>1635414-8.85-350-150000</f>
        <v>1485055.15</v>
      </c>
      <c r="L187" s="532"/>
      <c r="M187" s="601">
        <f>71790.37+2972.2+22971.77+43749.18+352.62+26090+4450+14249.64+13428.56+119347.71+44706.09+88494.97-2638.65+26833.86+150861.83</f>
        <v>627660.14999999991</v>
      </c>
      <c r="N187" s="588"/>
      <c r="O187" s="595"/>
      <c r="P187" s="600"/>
    </row>
    <row r="188" spans="1:16" s="375" customFormat="1" ht="15.6" x14ac:dyDescent="0.3">
      <c r="A188" s="1365"/>
      <c r="B188" s="1387"/>
      <c r="C188" s="1379"/>
      <c r="D188" s="597"/>
      <c r="E188" s="597"/>
      <c r="F188" s="597"/>
      <c r="G188" s="597"/>
      <c r="H188" s="597"/>
      <c r="I188" s="1390"/>
      <c r="J188" s="371" t="s">
        <v>586</v>
      </c>
      <c r="K188" s="464">
        <f>114786+350+150000</f>
        <v>265136</v>
      </c>
      <c r="L188" s="532"/>
      <c r="M188" s="601">
        <f>26250+4000+28801.64+8344.79+350+30169.51+3801.78</f>
        <v>101717.71999999999</v>
      </c>
      <c r="N188" s="588"/>
      <c r="O188" s="595"/>
      <c r="P188" s="600"/>
    </row>
    <row r="189" spans="1:16" s="375" customFormat="1" ht="24.75" customHeight="1" x14ac:dyDescent="0.3">
      <c r="A189" s="1363">
        <v>8</v>
      </c>
      <c r="B189" s="1385" t="s">
        <v>899</v>
      </c>
      <c r="C189" s="1410" t="s">
        <v>1090</v>
      </c>
      <c r="D189" s="845"/>
      <c r="E189" s="846"/>
      <c r="F189" s="846"/>
      <c r="G189" s="846"/>
      <c r="H189" s="847"/>
      <c r="I189" s="1414" t="s">
        <v>1325</v>
      </c>
      <c r="J189" s="371" t="s">
        <v>586</v>
      </c>
      <c r="K189" s="464">
        <v>100000</v>
      </c>
      <c r="L189" s="532"/>
      <c r="M189" s="379"/>
      <c r="N189" s="378"/>
      <c r="O189" s="595"/>
      <c r="P189" s="600"/>
    </row>
    <row r="190" spans="1:16" s="375" customFormat="1" ht="33.75" customHeight="1" x14ac:dyDescent="0.3">
      <c r="A190" s="1365"/>
      <c r="B190" s="1424"/>
      <c r="C190" s="1411"/>
      <c r="D190" s="845"/>
      <c r="E190" s="846"/>
      <c r="F190" s="846"/>
      <c r="G190" s="846"/>
      <c r="H190" s="847"/>
      <c r="I190" s="1413"/>
      <c r="J190" s="371" t="s">
        <v>764</v>
      </c>
      <c r="K190" s="673">
        <f>15024600+54.55-100000</f>
        <v>14924654.550000001</v>
      </c>
      <c r="L190" s="532"/>
      <c r="M190" s="589">
        <f>1902501+372964.26+186482.16+1933297+186482.1+927384+213822.55+1172850.86</f>
        <v>6895783.9299999997</v>
      </c>
      <c r="N190" s="588"/>
      <c r="O190" s="595" t="s">
        <v>1084</v>
      </c>
      <c r="P190" s="599"/>
    </row>
    <row r="191" spans="1:16" s="366" customFormat="1" ht="31.2" hidden="1" x14ac:dyDescent="0.3">
      <c r="A191" s="596">
        <v>8</v>
      </c>
      <c r="B191" s="605" t="s">
        <v>1032</v>
      </c>
      <c r="C191" s="395" t="s">
        <v>1111</v>
      </c>
      <c r="D191" s="592"/>
      <c r="E191" s="592"/>
      <c r="F191" s="592"/>
      <c r="G191" s="592"/>
      <c r="H191" s="592"/>
      <c r="I191" s="477" t="s">
        <v>1112</v>
      </c>
      <c r="J191" s="371" t="s">
        <v>586</v>
      </c>
      <c r="K191" s="795"/>
      <c r="L191" s="532"/>
      <c r="M191" s="598"/>
      <c r="O191" s="595" t="s">
        <v>151</v>
      </c>
    </row>
    <row r="192" spans="1:16" s="366" customFormat="1" ht="31.2" hidden="1" x14ac:dyDescent="0.3">
      <c r="A192" s="596">
        <v>8</v>
      </c>
      <c r="B192" s="423"/>
      <c r="C192" s="395"/>
      <c r="D192" s="592"/>
      <c r="E192" s="592"/>
      <c r="F192" s="592"/>
      <c r="G192" s="592"/>
      <c r="H192" s="592"/>
      <c r="I192" s="477"/>
      <c r="J192" s="371"/>
      <c r="K192" s="795"/>
      <c r="L192" s="532"/>
      <c r="M192" s="598"/>
      <c r="O192" s="595" t="s">
        <v>151</v>
      </c>
    </row>
    <row r="193" spans="1:15" s="366" customFormat="1" ht="31.2" x14ac:dyDescent="0.3">
      <c r="A193" s="804">
        <v>9</v>
      </c>
      <c r="B193" s="606" t="s">
        <v>1365</v>
      </c>
      <c r="C193" s="802" t="s">
        <v>1103</v>
      </c>
      <c r="D193" s="586"/>
      <c r="E193" s="586"/>
      <c r="F193" s="586"/>
      <c r="G193" s="586"/>
      <c r="H193" s="586"/>
      <c r="I193" s="587" t="s">
        <v>1366</v>
      </c>
      <c r="J193" s="371" t="s">
        <v>586</v>
      </c>
      <c r="K193" s="793">
        <f>2300000+1500000</f>
        <v>3800000</v>
      </c>
      <c r="L193" s="532"/>
      <c r="M193" s="598">
        <f>2300000</f>
        <v>2300000</v>
      </c>
      <c r="O193" s="595"/>
    </row>
    <row r="194" spans="1:15" s="366" customFormat="1" ht="62.4" x14ac:dyDescent="0.3">
      <c r="A194" s="804">
        <v>10</v>
      </c>
      <c r="B194" s="754" t="s">
        <v>1388</v>
      </c>
      <c r="C194" s="802" t="s">
        <v>1111</v>
      </c>
      <c r="D194" s="586"/>
      <c r="E194" s="586"/>
      <c r="F194" s="586"/>
      <c r="G194" s="586"/>
      <c r="H194" s="586"/>
      <c r="I194" s="587" t="s">
        <v>1389</v>
      </c>
      <c r="J194" s="371" t="s">
        <v>764</v>
      </c>
      <c r="K194" s="793">
        <v>471100</v>
      </c>
      <c r="L194" s="532"/>
      <c r="M194" s="598"/>
      <c r="O194" s="595"/>
    </row>
    <row r="195" spans="1:15" s="366" customFormat="1" ht="62.4" x14ac:dyDescent="0.3">
      <c r="A195" s="804">
        <v>11</v>
      </c>
      <c r="B195" s="606" t="s">
        <v>514</v>
      </c>
      <c r="C195" s="802" t="s">
        <v>1113</v>
      </c>
      <c r="D195" s="586"/>
      <c r="E195" s="586"/>
      <c r="F195" s="586"/>
      <c r="G195" s="586"/>
      <c r="H195" s="586"/>
      <c r="I195" s="587" t="s">
        <v>1292</v>
      </c>
      <c r="J195" s="371" t="s">
        <v>700</v>
      </c>
      <c r="K195" s="793">
        <v>2178000</v>
      </c>
      <c r="L195" s="532"/>
      <c r="M195" s="598">
        <v>1518000</v>
      </c>
      <c r="O195" s="595" t="s">
        <v>151</v>
      </c>
    </row>
    <row r="196" spans="1:15" s="366" customFormat="1" ht="31.2" x14ac:dyDescent="0.3">
      <c r="A196" s="1363">
        <v>12</v>
      </c>
      <c r="B196" s="1366" t="s">
        <v>1150</v>
      </c>
      <c r="C196" s="395" t="s">
        <v>1130</v>
      </c>
      <c r="D196" s="396"/>
      <c r="E196" s="396"/>
      <c r="F196" s="396"/>
      <c r="G196" s="396"/>
      <c r="H196" s="396"/>
      <c r="I196" s="397" t="s">
        <v>1234</v>
      </c>
      <c r="J196" s="371"/>
      <c r="K196" s="796">
        <f>K197+K198</f>
        <v>584381.05000000005</v>
      </c>
      <c r="L196" s="368"/>
      <c r="M196" s="796">
        <f>M197+M198</f>
        <v>250555.77999999997</v>
      </c>
      <c r="N196" s="365"/>
      <c r="O196" s="374" t="s">
        <v>151</v>
      </c>
    </row>
    <row r="197" spans="1:15" s="366" customFormat="1" ht="15.6" x14ac:dyDescent="0.3">
      <c r="A197" s="1364"/>
      <c r="B197" s="1367"/>
      <c r="C197" s="390"/>
      <c r="D197" s="399"/>
      <c r="E197" s="399"/>
      <c r="F197" s="399"/>
      <c r="G197" s="399"/>
      <c r="H197" s="399"/>
      <c r="I197" s="391"/>
      <c r="J197" s="371" t="s">
        <v>162</v>
      </c>
      <c r="K197" s="797">
        <f>538299.94-18.95</f>
        <v>538280.99</v>
      </c>
      <c r="L197" s="368"/>
      <c r="M197" s="361">
        <f>25979.4+7845.78+10481.82+35807.18+13979.28+20153.79+6086.43+33773.22+10199.53+25979.4+7845.78+33825.17</f>
        <v>231956.77999999997</v>
      </c>
      <c r="N197" s="365"/>
      <c r="O197" s="380"/>
    </row>
    <row r="198" spans="1:15" s="366" customFormat="1" ht="15.6" x14ac:dyDescent="0.3">
      <c r="A198" s="1365"/>
      <c r="B198" s="1368"/>
      <c r="C198" s="392"/>
      <c r="D198" s="370"/>
      <c r="E198" s="370"/>
      <c r="F198" s="370"/>
      <c r="G198" s="370"/>
      <c r="H198" s="370"/>
      <c r="I198" s="398"/>
      <c r="J198" s="371" t="s">
        <v>586</v>
      </c>
      <c r="K198" s="797">
        <v>46100.06</v>
      </c>
      <c r="L198" s="368"/>
      <c r="M198" s="361">
        <f>8599+10000</f>
        <v>18599</v>
      </c>
      <c r="N198" s="365"/>
      <c r="O198" s="380"/>
    </row>
    <row r="199" spans="1:15" s="366" customFormat="1" ht="34.799999999999997" x14ac:dyDescent="0.3">
      <c r="A199" s="1375">
        <v>13</v>
      </c>
      <c r="B199" s="607" t="s">
        <v>1215</v>
      </c>
      <c r="C199" s="392"/>
      <c r="D199" s="370"/>
      <c r="E199" s="370"/>
      <c r="F199" s="370"/>
      <c r="G199" s="370"/>
      <c r="H199" s="370"/>
      <c r="I199" s="497"/>
      <c r="J199" s="371"/>
      <c r="K199" s="797"/>
      <c r="L199" s="368"/>
      <c r="M199" s="486"/>
      <c r="N199" s="365"/>
      <c r="O199" s="374"/>
    </row>
    <row r="200" spans="1:15" s="366" customFormat="1" ht="31.2" x14ac:dyDescent="0.3">
      <c r="A200" s="1376"/>
      <c r="B200" s="1377" t="s">
        <v>1216</v>
      </c>
      <c r="C200" s="395" t="s">
        <v>1141</v>
      </c>
      <c r="D200" s="592"/>
      <c r="E200" s="592"/>
      <c r="F200" s="592"/>
      <c r="G200" s="592"/>
      <c r="H200" s="592"/>
      <c r="I200" s="594" t="s">
        <v>1279</v>
      </c>
      <c r="J200" s="371"/>
      <c r="K200" s="796">
        <f>K201+K202</f>
        <v>573397.1</v>
      </c>
      <c r="L200" s="368"/>
      <c r="M200" s="796">
        <f>M201+M202</f>
        <v>285475.06</v>
      </c>
      <c r="N200" s="365"/>
      <c r="O200" s="374" t="s">
        <v>151</v>
      </c>
    </row>
    <row r="201" spans="1:15" s="366" customFormat="1" ht="15.6" x14ac:dyDescent="0.3">
      <c r="A201" s="1376"/>
      <c r="B201" s="1377"/>
      <c r="C201" s="1378"/>
      <c r="D201" s="592"/>
      <c r="E201" s="592"/>
      <c r="F201" s="592"/>
      <c r="G201" s="592"/>
      <c r="H201" s="592"/>
      <c r="I201" s="1392"/>
      <c r="J201" s="371" t="s">
        <v>162</v>
      </c>
      <c r="K201" s="797">
        <f>539686.9-2.9</f>
        <v>539684</v>
      </c>
      <c r="L201" s="368"/>
      <c r="M201" s="361">
        <f>29652.04+8954.91+3932.34+57670.74+5700+18604.14+38547.65+11641.39+22413.32+78216.34+113.9</f>
        <v>275446.77</v>
      </c>
      <c r="N201" s="365"/>
      <c r="O201" s="380"/>
    </row>
    <row r="202" spans="1:15" s="366" customFormat="1" ht="15.6" x14ac:dyDescent="0.3">
      <c r="A202" s="1376"/>
      <c r="B202" s="1377"/>
      <c r="C202" s="1379"/>
      <c r="D202" s="592"/>
      <c r="E202" s="592"/>
      <c r="F202" s="592"/>
      <c r="G202" s="592"/>
      <c r="H202" s="592"/>
      <c r="I202" s="1393"/>
      <c r="J202" s="371" t="s">
        <v>586</v>
      </c>
      <c r="K202" s="797">
        <v>33713.1</v>
      </c>
      <c r="L202" s="368"/>
      <c r="M202" s="361">
        <f>1767.46+3423.81+1335.61+1731.41+1770</f>
        <v>10028.290000000001</v>
      </c>
      <c r="N202" s="365"/>
      <c r="O202" s="380"/>
    </row>
    <row r="203" spans="1:15" s="366" customFormat="1" ht="62.4" x14ac:dyDescent="0.3">
      <c r="A203" s="1376"/>
      <c r="B203" s="608" t="s">
        <v>1217</v>
      </c>
      <c r="C203" s="395" t="s">
        <v>1142</v>
      </c>
      <c r="D203" s="592"/>
      <c r="E203" s="592"/>
      <c r="F203" s="592"/>
      <c r="G203" s="592"/>
      <c r="H203" s="592"/>
      <c r="I203" s="594" t="s">
        <v>1305</v>
      </c>
      <c r="J203" s="371" t="s">
        <v>613</v>
      </c>
      <c r="K203" s="796">
        <f>43977400-56.79</f>
        <v>43977343.210000001</v>
      </c>
      <c r="L203" s="368"/>
      <c r="M203" s="598">
        <f>2619427.54+595333.96+2415772.19+683972.58+2501762.64+714093.95+2735760.22+679286.64+2690562.84+672144.96+3701564.9</f>
        <v>20009682.419999998</v>
      </c>
      <c r="N203" s="365"/>
      <c r="O203" s="1350" t="s">
        <v>968</v>
      </c>
    </row>
    <row r="204" spans="1:15" s="366" customFormat="1" ht="15.6" x14ac:dyDescent="0.3">
      <c r="A204" s="1376"/>
      <c r="B204" s="1377" t="s">
        <v>1218</v>
      </c>
      <c r="C204" s="395" t="s">
        <v>1105</v>
      </c>
      <c r="D204" s="592"/>
      <c r="E204" s="592"/>
      <c r="F204" s="592"/>
      <c r="G204" s="592"/>
      <c r="H204" s="592"/>
      <c r="I204" s="594" t="s">
        <v>1313</v>
      </c>
      <c r="J204" s="371"/>
      <c r="K204" s="796">
        <f>K205+K206</f>
        <v>155831249.56999999</v>
      </c>
      <c r="L204" s="368"/>
      <c r="M204" s="796">
        <f>M205+M206</f>
        <v>92780561.280000001</v>
      </c>
      <c r="N204" s="365"/>
      <c r="O204" s="1394"/>
    </row>
    <row r="205" spans="1:15" s="366" customFormat="1" ht="15.6" x14ac:dyDescent="0.3">
      <c r="A205" s="1376"/>
      <c r="B205" s="1377"/>
      <c r="C205" s="1388"/>
      <c r="D205" s="592"/>
      <c r="E205" s="592"/>
      <c r="F205" s="592"/>
      <c r="G205" s="592"/>
      <c r="H205" s="592"/>
      <c r="I205" s="1395"/>
      <c r="J205" s="371" t="s">
        <v>586</v>
      </c>
      <c r="K205" s="797"/>
      <c r="L205" s="368"/>
      <c r="M205" s="361"/>
      <c r="N205" s="365"/>
      <c r="O205" s="1394"/>
    </row>
    <row r="206" spans="1:15" s="366" customFormat="1" ht="15.6" x14ac:dyDescent="0.3">
      <c r="A206" s="1376"/>
      <c r="B206" s="1377"/>
      <c r="C206" s="1379"/>
      <c r="D206" s="592"/>
      <c r="E206" s="592"/>
      <c r="F206" s="592"/>
      <c r="G206" s="592"/>
      <c r="H206" s="592"/>
      <c r="I206" s="1393"/>
      <c r="J206" s="371" t="s">
        <v>613</v>
      </c>
      <c r="K206" s="797">
        <f>155831300-50.43</f>
        <v>155831249.56999999</v>
      </c>
      <c r="L206" s="368"/>
      <c r="M206" s="361">
        <f>9004508.92+591141.05+12556560.11+488552.18+11893748.58+540298.1+12499910.88+540211.56+690980.37+14512375.96+29462273.57</f>
        <v>92780561.280000001</v>
      </c>
      <c r="N206" s="365"/>
      <c r="O206" s="1394"/>
    </row>
    <row r="207" spans="1:15" s="366" customFormat="1" ht="15.6" x14ac:dyDescent="0.3">
      <c r="A207" s="1376"/>
      <c r="B207" s="1377" t="s">
        <v>1368</v>
      </c>
      <c r="C207" s="1388" t="s">
        <v>1145</v>
      </c>
      <c r="D207" s="592"/>
      <c r="E207" s="592"/>
      <c r="F207" s="592"/>
      <c r="G207" s="592"/>
      <c r="H207" s="592"/>
      <c r="I207" s="1395" t="s">
        <v>1326</v>
      </c>
      <c r="J207" s="371"/>
      <c r="K207" s="796">
        <f>K209+K210+K208</f>
        <v>7075422.9199999999</v>
      </c>
      <c r="L207" s="368"/>
      <c r="M207" s="796">
        <f>M209+M210+M208</f>
        <v>5342348.76</v>
      </c>
      <c r="N207" s="365"/>
      <c r="O207" s="1394"/>
    </row>
    <row r="208" spans="1:15" s="366" customFormat="1" ht="15.6" x14ac:dyDescent="0.3">
      <c r="A208" s="1376"/>
      <c r="B208" s="1377"/>
      <c r="C208" s="1405"/>
      <c r="D208" s="592"/>
      <c r="E208" s="592"/>
      <c r="F208" s="592"/>
      <c r="G208" s="592"/>
      <c r="H208" s="592"/>
      <c r="I208" s="1406"/>
      <c r="J208" s="371" t="s">
        <v>586</v>
      </c>
      <c r="K208" s="797">
        <v>50400</v>
      </c>
      <c r="L208" s="368"/>
      <c r="M208" s="787">
        <v>5615.36</v>
      </c>
      <c r="N208" s="365"/>
      <c r="O208" s="1394"/>
    </row>
    <row r="209" spans="1:15" s="366" customFormat="1" ht="15.6" x14ac:dyDescent="0.3">
      <c r="A209" s="1376"/>
      <c r="B209" s="1377"/>
      <c r="C209" s="1405"/>
      <c r="D209" s="592"/>
      <c r="E209" s="592"/>
      <c r="F209" s="592"/>
      <c r="G209" s="592"/>
      <c r="H209" s="592"/>
      <c r="I209" s="1406"/>
      <c r="J209" s="371" t="s">
        <v>764</v>
      </c>
      <c r="K209" s="797">
        <f>7075400+22.92-4825400-50400</f>
        <v>2199622.92</v>
      </c>
      <c r="L209" s="368"/>
      <c r="M209" s="361">
        <f>615180.58+275872.01+285664.98+562777.7</f>
        <v>1739495.2699999998</v>
      </c>
      <c r="N209" s="365"/>
      <c r="O209" s="1394"/>
    </row>
    <row r="210" spans="1:15" s="366" customFormat="1" ht="15.6" x14ac:dyDescent="0.3">
      <c r="A210" s="1376"/>
      <c r="B210" s="1377"/>
      <c r="C210" s="1379"/>
      <c r="D210" s="592"/>
      <c r="E210" s="592"/>
      <c r="F210" s="592"/>
      <c r="G210" s="592"/>
      <c r="H210" s="592"/>
      <c r="I210" s="1393"/>
      <c r="J210" s="371" t="s">
        <v>613</v>
      </c>
      <c r="K210" s="797">
        <v>4825400</v>
      </c>
      <c r="L210" s="368"/>
      <c r="M210" s="361">
        <f>1295117.99+274734.8+136154.6+189158.35+527701.61+166435.54+1007935.24</f>
        <v>3597238.13</v>
      </c>
      <c r="N210" s="365"/>
      <c r="O210" s="1394"/>
    </row>
    <row r="211" spans="1:15" s="366" customFormat="1" ht="46.8" hidden="1" x14ac:dyDescent="0.3">
      <c r="A211" s="1376"/>
      <c r="B211" s="608" t="s">
        <v>1220</v>
      </c>
      <c r="C211" s="803" t="s">
        <v>1105</v>
      </c>
      <c r="D211" s="592"/>
      <c r="E211" s="592"/>
      <c r="F211" s="592"/>
      <c r="G211" s="592"/>
      <c r="H211" s="592"/>
      <c r="I211" s="610" t="s">
        <v>1189</v>
      </c>
      <c r="J211" s="371" t="s">
        <v>613</v>
      </c>
      <c r="K211" s="796"/>
      <c r="L211" s="368"/>
      <c r="M211" s="598"/>
      <c r="N211" s="365"/>
      <c r="O211" s="1394"/>
    </row>
    <row r="212" spans="1:15" s="366" customFormat="1" ht="15.6" x14ac:dyDescent="0.3">
      <c r="A212" s="1376"/>
      <c r="B212" s="1377" t="s">
        <v>1221</v>
      </c>
      <c r="C212" s="803" t="s">
        <v>1143</v>
      </c>
      <c r="D212" s="592"/>
      <c r="E212" s="592"/>
      <c r="F212" s="592"/>
      <c r="G212" s="592"/>
      <c r="H212" s="592"/>
      <c r="I212" s="610" t="s">
        <v>1319</v>
      </c>
      <c r="J212" s="371"/>
      <c r="K212" s="796">
        <f>K214+K215+K213</f>
        <v>1566340</v>
      </c>
      <c r="L212" s="368"/>
      <c r="M212" s="796">
        <f>M214+M215+M213</f>
        <v>1566340</v>
      </c>
      <c r="N212" s="365"/>
      <c r="O212" s="1394"/>
    </row>
    <row r="213" spans="1:15" s="366" customFormat="1" ht="15.6" x14ac:dyDescent="0.3">
      <c r="A213" s="1376"/>
      <c r="B213" s="1377"/>
      <c r="C213" s="803"/>
      <c r="D213" s="592"/>
      <c r="E213" s="592"/>
      <c r="F213" s="592"/>
      <c r="G213" s="592"/>
      <c r="H213" s="592"/>
      <c r="I213" s="610"/>
      <c r="J213" s="371" t="s">
        <v>586</v>
      </c>
      <c r="K213" s="797">
        <v>239030.39999999999</v>
      </c>
      <c r="L213" s="368"/>
      <c r="M213" s="787">
        <v>239030.39999999999</v>
      </c>
      <c r="N213" s="365"/>
      <c r="O213" s="1394"/>
    </row>
    <row r="214" spans="1:15" s="366" customFormat="1" ht="15.6" x14ac:dyDescent="0.3">
      <c r="A214" s="1376"/>
      <c r="B214" s="1377"/>
      <c r="C214" s="803"/>
      <c r="D214" s="592"/>
      <c r="E214" s="592"/>
      <c r="F214" s="592"/>
      <c r="G214" s="592"/>
      <c r="H214" s="592"/>
      <c r="I214" s="610"/>
      <c r="J214" s="371" t="s">
        <v>764</v>
      </c>
      <c r="K214" s="797"/>
      <c r="L214" s="368"/>
      <c r="M214" s="361"/>
      <c r="N214" s="365"/>
      <c r="O214" s="1394"/>
    </row>
    <row r="215" spans="1:15" s="366" customFormat="1" ht="15.6" x14ac:dyDescent="0.3">
      <c r="A215" s="1376"/>
      <c r="B215" s="1377"/>
      <c r="C215" s="803"/>
      <c r="D215" s="592"/>
      <c r="E215" s="592"/>
      <c r="F215" s="592"/>
      <c r="G215" s="592"/>
      <c r="H215" s="592"/>
      <c r="I215" s="610"/>
      <c r="J215" s="371" t="s">
        <v>613</v>
      </c>
      <c r="K215" s="674">
        <f>1361000+130+205210-239030.4</f>
        <v>1327309.6000000001</v>
      </c>
      <c r="L215" s="368"/>
      <c r="M215" s="361">
        <v>1327309.6000000001</v>
      </c>
      <c r="N215" s="365"/>
      <c r="O215" s="1394"/>
    </row>
    <row r="216" spans="1:15" s="366" customFormat="1" ht="46.8" x14ac:dyDescent="0.3">
      <c r="A216" s="1376"/>
      <c r="B216" s="748" t="s">
        <v>1396</v>
      </c>
      <c r="C216" s="550" t="s">
        <v>1398</v>
      </c>
      <c r="D216" s="592"/>
      <c r="E216" s="592"/>
      <c r="F216" s="592"/>
      <c r="G216" s="592"/>
      <c r="H216" s="592"/>
      <c r="I216" s="611" t="s">
        <v>1399</v>
      </c>
      <c r="J216" s="397" t="s">
        <v>613</v>
      </c>
      <c r="K216" s="710">
        <v>456000</v>
      </c>
      <c r="L216" s="368"/>
      <c r="M216" s="613"/>
      <c r="N216" s="365"/>
      <c r="O216" s="1394"/>
    </row>
    <row r="217" spans="1:15" s="713" customFormat="1" ht="46.8" x14ac:dyDescent="0.3">
      <c r="A217" s="1376"/>
      <c r="B217" s="608" t="s">
        <v>1223</v>
      </c>
      <c r="C217" s="550" t="s">
        <v>1142</v>
      </c>
      <c r="D217" s="592"/>
      <c r="E217" s="592"/>
      <c r="F217" s="592"/>
      <c r="G217" s="592"/>
      <c r="H217" s="592"/>
      <c r="I217" s="611" t="s">
        <v>1371</v>
      </c>
      <c r="J217" s="397" t="s">
        <v>700</v>
      </c>
      <c r="K217" s="536">
        <f>1929041.48+80226.97</f>
        <v>2009268.45</v>
      </c>
      <c r="L217" s="368"/>
      <c r="M217" s="613">
        <f>1929041.48+80226.97</f>
        <v>2009268.45</v>
      </c>
      <c r="N217" s="712"/>
      <c r="O217" s="1394"/>
    </row>
    <row r="218" spans="1:15" s="366" customFormat="1" ht="46.8" hidden="1" x14ac:dyDescent="0.3">
      <c r="A218" s="1376"/>
      <c r="B218" s="608" t="s">
        <v>1224</v>
      </c>
      <c r="C218" s="550" t="s">
        <v>1105</v>
      </c>
      <c r="D218" s="592"/>
      <c r="E218" s="592"/>
      <c r="F218" s="592"/>
      <c r="G218" s="592"/>
      <c r="H218" s="592"/>
      <c r="I218" s="611" t="s">
        <v>1193</v>
      </c>
      <c r="J218" s="397" t="s">
        <v>613</v>
      </c>
      <c r="K218" s="536"/>
      <c r="L218" s="368"/>
      <c r="M218" s="613"/>
      <c r="N218" s="365"/>
      <c r="O218" s="1352"/>
    </row>
    <row r="219" spans="1:15" s="366" customFormat="1" ht="17.399999999999999" x14ac:dyDescent="0.3">
      <c r="A219" s="1365"/>
      <c r="B219" s="614" t="s">
        <v>483</v>
      </c>
      <c r="C219" s="615"/>
      <c r="D219" s="616"/>
      <c r="E219" s="616"/>
      <c r="F219" s="616"/>
      <c r="G219" s="616"/>
      <c r="H219" s="616"/>
      <c r="I219" s="617"/>
      <c r="J219" s="371"/>
      <c r="K219" s="796">
        <f>K200+K203+K204+K207+K211+K212+K216+K217+K218</f>
        <v>211489021.24999997</v>
      </c>
      <c r="L219" s="618"/>
      <c r="M219" s="796">
        <f>M200+M203+M204+M207+M211+M212+M216+M217+M218</f>
        <v>121993675.97</v>
      </c>
      <c r="N219" s="365"/>
      <c r="O219" s="619"/>
    </row>
    <row r="220" spans="1:15" s="366" customFormat="1" ht="36" hidden="1" x14ac:dyDescent="0.35">
      <c r="A220" s="805">
        <v>13</v>
      </c>
      <c r="B220" s="620" t="s">
        <v>1164</v>
      </c>
      <c r="C220" s="395" t="s">
        <v>1109</v>
      </c>
      <c r="D220" s="592"/>
      <c r="E220" s="592"/>
      <c r="F220" s="592"/>
      <c r="G220" s="592"/>
      <c r="H220" s="592"/>
      <c r="I220" s="611"/>
      <c r="J220" s="397"/>
      <c r="K220" s="536">
        <f>K221+K222+K223</f>
        <v>0</v>
      </c>
      <c r="L220" s="618"/>
      <c r="M220" s="536"/>
      <c r="N220" s="365"/>
      <c r="O220" s="432" t="s">
        <v>151</v>
      </c>
    </row>
    <row r="221" spans="1:15" s="366" customFormat="1" ht="46.8" hidden="1" x14ac:dyDescent="0.3">
      <c r="A221" s="805">
        <v>14</v>
      </c>
      <c r="B221" s="621" t="s">
        <v>1165</v>
      </c>
      <c r="C221" s="395" t="s">
        <v>1109</v>
      </c>
      <c r="D221" s="592"/>
      <c r="E221" s="592"/>
      <c r="F221" s="592"/>
      <c r="G221" s="592"/>
      <c r="H221" s="592"/>
      <c r="I221" s="611" t="s">
        <v>1166</v>
      </c>
      <c r="J221" s="397" t="s">
        <v>700</v>
      </c>
      <c r="K221" s="536"/>
      <c r="L221" s="618"/>
      <c r="M221" s="798"/>
      <c r="N221" s="365"/>
      <c r="O221" s="619"/>
    </row>
    <row r="222" spans="1:15" s="366" customFormat="1" ht="31.2" hidden="1" x14ac:dyDescent="0.3">
      <c r="A222" s="805">
        <v>15</v>
      </c>
      <c r="B222" s="466" t="s">
        <v>1176</v>
      </c>
      <c r="C222" s="451" t="s">
        <v>1109</v>
      </c>
      <c r="I222" s="531" t="s">
        <v>1177</v>
      </c>
      <c r="J222" s="397" t="s">
        <v>700</v>
      </c>
      <c r="K222" s="536"/>
      <c r="L222" s="618"/>
      <c r="M222" s="798"/>
      <c r="N222" s="365"/>
      <c r="O222" s="619"/>
    </row>
    <row r="223" spans="1:15" s="366" customFormat="1" ht="15.6" hidden="1" x14ac:dyDescent="0.3">
      <c r="A223" s="805">
        <v>16</v>
      </c>
      <c r="B223" s="521" t="s">
        <v>1207</v>
      </c>
      <c r="C223" s="451" t="s">
        <v>1111</v>
      </c>
      <c r="I223" s="531" t="s">
        <v>1208</v>
      </c>
      <c r="J223" s="397" t="s">
        <v>764</v>
      </c>
      <c r="K223" s="536"/>
      <c r="L223" s="618"/>
      <c r="M223" s="536"/>
      <c r="N223" s="365"/>
      <c r="O223" s="619"/>
    </row>
    <row r="224" spans="1:15" s="366" customFormat="1" ht="16.5" hidden="1" customHeight="1" x14ac:dyDescent="0.35">
      <c r="A224" s="805">
        <v>17</v>
      </c>
      <c r="B224" s="623" t="s">
        <v>322</v>
      </c>
      <c r="C224" s="451" t="s">
        <v>1159</v>
      </c>
      <c r="I224" s="531" t="s">
        <v>1178</v>
      </c>
      <c r="J224" s="397" t="s">
        <v>813</v>
      </c>
      <c r="K224" s="536"/>
      <c r="L224" s="618"/>
      <c r="M224" s="536"/>
      <c r="N224" s="365"/>
      <c r="O224" s="448" t="s">
        <v>1179</v>
      </c>
    </row>
    <row r="225" spans="1:15" s="366" customFormat="1" ht="46.5" hidden="1" customHeight="1" x14ac:dyDescent="0.3">
      <c r="A225" s="805">
        <v>18</v>
      </c>
      <c r="B225" s="466" t="s">
        <v>1199</v>
      </c>
      <c r="C225" s="451" t="s">
        <v>1103</v>
      </c>
      <c r="I225" s="531" t="s">
        <v>1200</v>
      </c>
      <c r="J225" s="397" t="s">
        <v>586</v>
      </c>
      <c r="K225" s="536"/>
      <c r="L225" s="618"/>
      <c r="M225" s="536"/>
      <c r="N225" s="365"/>
      <c r="O225" s="432" t="s">
        <v>151</v>
      </c>
    </row>
    <row r="226" spans="1:15" s="474" customFormat="1" ht="46.5" customHeight="1" x14ac:dyDescent="0.3">
      <c r="A226" s="624">
        <v>14</v>
      </c>
      <c r="B226" s="423" t="s">
        <v>601</v>
      </c>
      <c r="C226" s="550" t="s">
        <v>1227</v>
      </c>
      <c r="I226" s="611" t="s">
        <v>1228</v>
      </c>
      <c r="J226" s="397" t="s">
        <v>586</v>
      </c>
      <c r="K226" s="536">
        <f>24200-13.73</f>
        <v>24186.27</v>
      </c>
      <c r="L226" s="618"/>
      <c r="M226" s="536"/>
      <c r="N226" s="476"/>
      <c r="O226" s="432"/>
    </row>
    <row r="227" spans="1:15" s="474" customFormat="1" ht="46.5" customHeight="1" x14ac:dyDescent="0.3">
      <c r="A227" s="624">
        <v>15</v>
      </c>
      <c r="B227" s="416" t="s">
        <v>1369</v>
      </c>
      <c r="C227" s="550" t="s">
        <v>1109</v>
      </c>
      <c r="I227" s="611" t="s">
        <v>1370</v>
      </c>
      <c r="J227" s="397" t="s">
        <v>700</v>
      </c>
      <c r="K227" s="536">
        <f>7065202.59+155395336</f>
        <v>162460538.59</v>
      </c>
      <c r="L227" s="618"/>
      <c r="M227" s="536">
        <f>2660770.7</f>
        <v>2660770.7000000002</v>
      </c>
      <c r="N227" s="476"/>
      <c r="O227" s="432"/>
    </row>
    <row r="228" spans="1:15" ht="21" x14ac:dyDescent="0.4">
      <c r="A228" s="410"/>
      <c r="B228" s="402" t="s">
        <v>1151</v>
      </c>
      <c r="C228" s="411"/>
      <c r="D228" s="411"/>
      <c r="E228" s="411"/>
      <c r="F228" s="411"/>
      <c r="G228" s="411"/>
      <c r="H228" s="411"/>
      <c r="I228" s="412"/>
      <c r="J228" s="413"/>
      <c r="K228" s="676">
        <f>K177+K181+K182+K184+K185+K186+K190+K191+K192+K195+K196+K219+K220+K222+K224+K225+K226+K193+K227+K180+K194+K183+K189</f>
        <v>493802952.80999994</v>
      </c>
      <c r="L228" s="408"/>
      <c r="M228" s="676">
        <f>M177+M181+M182+M184+M185+M186+M190+M191+M192+M195+M196+M219+M220+M222+M224+M225+M226+M193+M227+M180+M194+M183+M189</f>
        <v>175088698.35999998</v>
      </c>
      <c r="N228" s="354"/>
      <c r="O228" s="354"/>
    </row>
    <row r="229" spans="1:15" ht="46.8" x14ac:dyDescent="0.3">
      <c r="A229" s="444">
        <v>1</v>
      </c>
      <c r="B229" s="423" t="s">
        <v>513</v>
      </c>
      <c r="C229" s="806" t="s">
        <v>1113</v>
      </c>
      <c r="D229" s="833"/>
      <c r="E229" s="833"/>
      <c r="F229" s="833"/>
      <c r="G229" s="833"/>
      <c r="H229" s="833"/>
      <c r="I229" s="587" t="s">
        <v>1291</v>
      </c>
      <c r="J229" s="834" t="s">
        <v>700</v>
      </c>
      <c r="K229" s="421">
        <f>4356000+1089000</f>
        <v>5445000</v>
      </c>
      <c r="L229" s="366"/>
      <c r="M229" s="598"/>
      <c r="N229" s="366"/>
      <c r="O229" s="595" t="s">
        <v>151</v>
      </c>
    </row>
    <row r="230" spans="1:15" ht="27.75" customHeight="1" x14ac:dyDescent="0.3">
      <c r="A230" s="1418">
        <v>2</v>
      </c>
      <c r="B230" s="1420" t="s">
        <v>1390</v>
      </c>
      <c r="C230" s="395" t="s">
        <v>1111</v>
      </c>
      <c r="D230" s="592"/>
      <c r="E230" s="592"/>
      <c r="F230" s="592"/>
      <c r="G230" s="592"/>
      <c r="H230" s="592"/>
      <c r="I230" s="397" t="s">
        <v>1391</v>
      </c>
      <c r="J230" s="397" t="s">
        <v>764</v>
      </c>
      <c r="K230" s="838">
        <f>400000-400000</f>
        <v>0</v>
      </c>
      <c r="L230" s="366"/>
      <c r="M230" s="598"/>
      <c r="N230" s="366"/>
      <c r="O230" s="595"/>
    </row>
    <row r="231" spans="1:15" ht="31.5" customHeight="1" x14ac:dyDescent="0.3">
      <c r="A231" s="1419"/>
      <c r="B231" s="1421"/>
      <c r="C231" s="395" t="s">
        <v>1111</v>
      </c>
      <c r="D231" s="592"/>
      <c r="E231" s="592"/>
      <c r="F231" s="592"/>
      <c r="G231" s="592"/>
      <c r="H231" s="592"/>
      <c r="I231" s="397" t="s">
        <v>1406</v>
      </c>
      <c r="J231" s="397" t="s">
        <v>764</v>
      </c>
      <c r="K231" s="838">
        <v>400000</v>
      </c>
      <c r="L231" s="366"/>
      <c r="M231" s="598"/>
      <c r="N231" s="366"/>
      <c r="O231" s="595"/>
    </row>
    <row r="232" spans="1:15" ht="35.25" customHeight="1" x14ac:dyDescent="0.4">
      <c r="A232" s="444">
        <v>3</v>
      </c>
      <c r="B232" s="348" t="s">
        <v>1378</v>
      </c>
      <c r="C232" s="835" t="s">
        <v>1130</v>
      </c>
      <c r="I232" s="836" t="s">
        <v>1379</v>
      </c>
      <c r="J232" s="828" t="s">
        <v>586</v>
      </c>
      <c r="K232" s="837">
        <f>638410.08-95763.09+95763.09</f>
        <v>638410.07999999996</v>
      </c>
      <c r="L232" s="408"/>
      <c r="M232" s="443"/>
      <c r="N232" s="354"/>
      <c r="O232" s="342" t="s">
        <v>151</v>
      </c>
    </row>
    <row r="233" spans="1:15" ht="33" hidden="1" customHeight="1" x14ac:dyDescent="0.4">
      <c r="A233" s="444">
        <v>2</v>
      </c>
      <c r="B233" s="115" t="s">
        <v>1210</v>
      </c>
      <c r="C233" s="351" t="s">
        <v>1105</v>
      </c>
      <c r="I233" s="357" t="s">
        <v>1211</v>
      </c>
      <c r="J233" s="415" t="s">
        <v>613</v>
      </c>
      <c r="K233" s="679"/>
      <c r="L233" s="408"/>
      <c r="M233" s="440"/>
      <c r="N233" s="354"/>
      <c r="O233" s="342" t="s">
        <v>1152</v>
      </c>
    </row>
    <row r="234" spans="1:15" ht="30" customHeight="1" x14ac:dyDescent="0.4">
      <c r="A234" s="444">
        <v>4</v>
      </c>
      <c r="B234" s="748" t="s">
        <v>1396</v>
      </c>
      <c r="C234" s="351" t="s">
        <v>1105</v>
      </c>
      <c r="I234" s="357" t="s">
        <v>1397</v>
      </c>
      <c r="J234" s="415" t="s">
        <v>613</v>
      </c>
      <c r="K234" s="711">
        <v>1064000</v>
      </c>
      <c r="L234" s="408"/>
      <c r="M234" s="440"/>
      <c r="N234" s="354"/>
      <c r="O234" s="342"/>
    </row>
    <row r="235" spans="1:15" ht="30" hidden="1" customHeight="1" x14ac:dyDescent="0.4">
      <c r="A235" s="444"/>
      <c r="B235" s="115"/>
      <c r="C235" s="351"/>
      <c r="I235" s="357"/>
      <c r="J235" s="415"/>
      <c r="K235" s="679"/>
      <c r="L235" s="408"/>
      <c r="M235" s="440"/>
      <c r="N235" s="354"/>
      <c r="O235" s="342"/>
    </row>
    <row r="236" spans="1:15" ht="36.75" hidden="1" customHeight="1" x14ac:dyDescent="0.4">
      <c r="A236" s="444"/>
      <c r="B236" s="115"/>
      <c r="C236" s="351"/>
      <c r="I236" s="357"/>
      <c r="J236" s="415"/>
      <c r="K236" s="679"/>
      <c r="L236" s="408"/>
      <c r="M236" s="440"/>
      <c r="N236" s="354"/>
      <c r="O236" s="342"/>
    </row>
    <row r="237" spans="1:15" ht="32.25" customHeight="1" x14ac:dyDescent="0.4">
      <c r="A237" s="410"/>
      <c r="B237" s="402" t="s">
        <v>1212</v>
      </c>
      <c r="C237" s="411"/>
      <c r="D237" s="411"/>
      <c r="E237" s="411"/>
      <c r="F237" s="411"/>
      <c r="G237" s="411"/>
      <c r="H237" s="411"/>
      <c r="I237" s="413"/>
      <c r="J237" s="413"/>
      <c r="K237" s="680">
        <f>K229+K232+K230+K234+K231</f>
        <v>7547410.0800000001</v>
      </c>
      <c r="L237" s="408"/>
      <c r="M237" s="680">
        <f>M229+M232+M230+M234+M231</f>
        <v>0</v>
      </c>
      <c r="N237" s="354"/>
      <c r="O237" s="354"/>
    </row>
    <row r="240" spans="1:15" ht="18" x14ac:dyDescent="0.35">
      <c r="A240" s="331" t="s">
        <v>1409</v>
      </c>
      <c r="B240" s="331"/>
      <c r="C240" s="331"/>
      <c r="D240" s="331"/>
      <c r="E240" s="331"/>
      <c r="F240" s="331"/>
      <c r="G240" s="331"/>
      <c r="H240" s="331"/>
      <c r="I240" s="355"/>
      <c r="J240" s="355"/>
      <c r="K240" s="681"/>
      <c r="L240" s="355"/>
      <c r="M240" s="331"/>
      <c r="N240" s="331"/>
      <c r="O240" s="331"/>
    </row>
    <row r="241" spans="1:15" ht="18" x14ac:dyDescent="0.35">
      <c r="A241" s="331" t="s">
        <v>1155</v>
      </c>
      <c r="B241" s="331"/>
      <c r="C241" s="331"/>
      <c r="D241" s="331"/>
      <c r="E241" s="331"/>
      <c r="F241" s="331"/>
      <c r="G241" s="331"/>
      <c r="H241" s="331"/>
      <c r="I241" s="355"/>
      <c r="J241" s="355"/>
      <c r="K241" s="681"/>
      <c r="L241" s="355"/>
      <c r="M241" s="331"/>
      <c r="N241" s="1391" t="s">
        <v>1167</v>
      </c>
      <c r="O241" s="1391"/>
    </row>
    <row r="242" spans="1:15" ht="18" x14ac:dyDescent="0.35">
      <c r="A242" s="331"/>
      <c r="B242" s="331"/>
      <c r="C242" s="331"/>
      <c r="D242" s="331"/>
      <c r="E242" s="331"/>
      <c r="F242" s="331"/>
      <c r="G242" s="331"/>
      <c r="H242" s="331"/>
      <c r="I242" s="355"/>
      <c r="J242" s="355"/>
      <c r="K242" s="681"/>
      <c r="L242" s="355"/>
      <c r="M242" s="331"/>
      <c r="N242" s="331"/>
      <c r="O242" s="331"/>
    </row>
    <row r="243" spans="1:15" ht="18" x14ac:dyDescent="0.35">
      <c r="A243" s="331" t="s">
        <v>1156</v>
      </c>
      <c r="B243" s="331" t="s">
        <v>1157</v>
      </c>
      <c r="C243" s="331"/>
      <c r="D243" s="331"/>
      <c r="E243" s="331"/>
      <c r="F243" s="331"/>
      <c r="G243" s="331"/>
      <c r="H243" s="331"/>
      <c r="I243" s="355"/>
      <c r="J243" s="355"/>
      <c r="K243" s="681"/>
      <c r="L243" s="355"/>
      <c r="M243" s="331"/>
      <c r="N243" s="331"/>
      <c r="O243" s="331"/>
    </row>
    <row r="244" spans="1:15" ht="18" x14ac:dyDescent="0.35">
      <c r="A244" s="331"/>
      <c r="B244" s="331" t="s">
        <v>960</v>
      </c>
      <c r="C244" s="331"/>
      <c r="D244" s="331"/>
      <c r="E244" s="331"/>
      <c r="F244" s="331"/>
      <c r="G244" s="331"/>
      <c r="H244" s="331"/>
      <c r="I244" s="355"/>
      <c r="J244" s="355"/>
      <c r="K244" s="681"/>
      <c r="L244" s="355"/>
      <c r="M244" s="331"/>
      <c r="N244" s="331"/>
      <c r="O244" s="331"/>
    </row>
    <row r="246" spans="1:15" ht="15.6" x14ac:dyDescent="0.3">
      <c r="A246" s="420"/>
      <c r="B246" s="414"/>
      <c r="C246" s="417"/>
      <c r="D246" s="336"/>
      <c r="E246" s="336"/>
      <c r="F246" s="336"/>
      <c r="G246" s="336"/>
      <c r="H246" s="336"/>
      <c r="I246" s="418"/>
      <c r="J246" s="418"/>
      <c r="K246" s="367"/>
    </row>
    <row r="249" spans="1:15" ht="15.6" x14ac:dyDescent="0.3">
      <c r="B249" s="414"/>
      <c r="C249" s="417"/>
      <c r="D249" s="336"/>
      <c r="E249" s="336"/>
      <c r="F249" s="336"/>
      <c r="G249" s="336"/>
      <c r="H249" s="336"/>
      <c r="I249" s="418"/>
      <c r="J249" s="418"/>
      <c r="K249" s="582"/>
      <c r="L249" s="336"/>
      <c r="M249" s="336"/>
    </row>
    <row r="250" spans="1:15" x14ac:dyDescent="0.3">
      <c r="B250" s="336"/>
      <c r="C250" s="336"/>
      <c r="D250" s="336"/>
      <c r="E250" s="336"/>
      <c r="F250" s="336"/>
      <c r="G250" s="336"/>
      <c r="H250" s="336"/>
      <c r="I250" s="336"/>
      <c r="J250" s="336"/>
      <c r="K250" s="367"/>
      <c r="L250" s="336"/>
      <c r="M250" s="336"/>
    </row>
  </sheetData>
  <mergeCells count="118">
    <mergeCell ref="N241:O241"/>
    <mergeCell ref="B64:B65"/>
    <mergeCell ref="B135:B137"/>
    <mergeCell ref="A135:A137"/>
    <mergeCell ref="C135:C137"/>
    <mergeCell ref="I135:I137"/>
    <mergeCell ref="A230:A231"/>
    <mergeCell ref="B230:B231"/>
    <mergeCell ref="A183:A184"/>
    <mergeCell ref="A189:A190"/>
    <mergeCell ref="B189:B190"/>
    <mergeCell ref="O203:O218"/>
    <mergeCell ref="B204:B206"/>
    <mergeCell ref="C205:C206"/>
    <mergeCell ref="I205:I206"/>
    <mergeCell ref="B207:B210"/>
    <mergeCell ref="C207:C210"/>
    <mergeCell ref="I207:I210"/>
    <mergeCell ref="B212:B215"/>
    <mergeCell ref="I187:I188"/>
    <mergeCell ref="A196:A198"/>
    <mergeCell ref="B196:B198"/>
    <mergeCell ref="A199:A219"/>
    <mergeCell ref="B200:B202"/>
    <mergeCell ref="C201:C202"/>
    <mergeCell ref="I201:I202"/>
    <mergeCell ref="A144:A147"/>
    <mergeCell ref="B144:B147"/>
    <mergeCell ref="C145:C147"/>
    <mergeCell ref="I145:I147"/>
    <mergeCell ref="O150:O163"/>
    <mergeCell ref="B162:B164"/>
    <mergeCell ref="I162:I164"/>
    <mergeCell ref="A186:A188"/>
    <mergeCell ref="B186:B188"/>
    <mergeCell ref="C187:C188"/>
    <mergeCell ref="C183:C184"/>
    <mergeCell ref="I183:I184"/>
    <mergeCell ref="C189:C190"/>
    <mergeCell ref="I189:I190"/>
    <mergeCell ref="C141:C143"/>
    <mergeCell ref="I141:I143"/>
    <mergeCell ref="A101:A104"/>
    <mergeCell ref="B101:B104"/>
    <mergeCell ref="O101:O111"/>
    <mergeCell ref="O114:O117"/>
    <mergeCell ref="O118:O119"/>
    <mergeCell ref="B119:B120"/>
    <mergeCell ref="I119:I120"/>
    <mergeCell ref="B51:B52"/>
    <mergeCell ref="I51:I52"/>
    <mergeCell ref="I59:I60"/>
    <mergeCell ref="O62:O65"/>
    <mergeCell ref="A29:A30"/>
    <mergeCell ref="B29:B30"/>
    <mergeCell ref="I29:I30"/>
    <mergeCell ref="O31:O32"/>
    <mergeCell ref="O37:O40"/>
    <mergeCell ref="O22:O29"/>
    <mergeCell ref="O43:O46"/>
    <mergeCell ref="O49:O55"/>
    <mergeCell ref="M2:O2"/>
    <mergeCell ref="M3:O3"/>
    <mergeCell ref="B22:B23"/>
    <mergeCell ref="C22:C23"/>
    <mergeCell ref="I22:I23"/>
    <mergeCell ref="A7:B7"/>
    <mergeCell ref="A2:B2"/>
    <mergeCell ref="A3:B3"/>
    <mergeCell ref="A4:B4"/>
    <mergeCell ref="A5:B5"/>
    <mergeCell ref="A6:B6"/>
    <mergeCell ref="A8:B8"/>
    <mergeCell ref="I8:O8"/>
    <mergeCell ref="A9:B9"/>
    <mergeCell ref="I9:O9"/>
    <mergeCell ref="A10:B10"/>
    <mergeCell ref="I10:O10"/>
    <mergeCell ref="A11:B11"/>
    <mergeCell ref="I11:O11"/>
    <mergeCell ref="A12:B12"/>
    <mergeCell ref="A14:O14"/>
    <mergeCell ref="A17:A20"/>
    <mergeCell ref="B17:B20"/>
    <mergeCell ref="C17:C20"/>
    <mergeCell ref="I17:I20"/>
    <mergeCell ref="J17:J20"/>
    <mergeCell ref="K17:K20"/>
    <mergeCell ref="L17:L19"/>
    <mergeCell ref="M17:M20"/>
    <mergeCell ref="N17:N19"/>
    <mergeCell ref="O17:P17"/>
    <mergeCell ref="O18:O20"/>
    <mergeCell ref="P18:P20"/>
    <mergeCell ref="O69:O70"/>
    <mergeCell ref="O73:O75"/>
    <mergeCell ref="O79:O82"/>
    <mergeCell ref="O124:O126"/>
    <mergeCell ref="O128:O148"/>
    <mergeCell ref="O165:O167"/>
    <mergeCell ref="O171:O172"/>
    <mergeCell ref="A177:A179"/>
    <mergeCell ref="B177:B179"/>
    <mergeCell ref="C162:C163"/>
    <mergeCell ref="A94:A97"/>
    <mergeCell ref="B94:B97"/>
    <mergeCell ref="O94:O98"/>
    <mergeCell ref="B98:B100"/>
    <mergeCell ref="C99:C100"/>
    <mergeCell ref="I99:I100"/>
    <mergeCell ref="A85:A88"/>
    <mergeCell ref="B85:B88"/>
    <mergeCell ref="O85:O92"/>
    <mergeCell ref="B92:B93"/>
    <mergeCell ref="C92:C93"/>
    <mergeCell ref="I92:I93"/>
    <mergeCell ref="A140:A143"/>
    <mergeCell ref="B140:B143"/>
  </mergeCells>
  <hyperlinks>
    <hyperlink ref="A8" r:id="rId1" display="mailto:rfo-skv@mail.ru"/>
  </hyperlinks>
  <pageMargins left="0.70866141732283472" right="0.70866141732283472" top="0.74803149606299213" bottom="0.74803149606299213" header="0.31496062992125984" footer="0.31496062992125984"/>
  <pageSetup paperSize="9" scale="58"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3"/>
  <sheetViews>
    <sheetView workbookViewId="0">
      <selection activeCell="B17" sqref="B17:B20"/>
    </sheetView>
  </sheetViews>
  <sheetFormatPr defaultRowHeight="14.4" x14ac:dyDescent="0.3"/>
  <cols>
    <col min="1" max="1" width="8.6640625" customWidth="1"/>
    <col min="2" max="2" width="75.6640625" customWidth="1"/>
    <col min="3" max="3" width="21" customWidth="1"/>
    <col min="4" max="7" width="9.109375" hidden="1" customWidth="1"/>
    <col min="8" max="8" width="5.44140625" hidden="1" customWidth="1"/>
    <col min="9" max="9" width="19.109375" customWidth="1"/>
    <col min="10" max="10" width="12" customWidth="1"/>
    <col min="11" max="11" width="23.5546875" style="366" customWidth="1"/>
    <col min="12" max="12" width="0.33203125" hidden="1" customWidth="1"/>
    <col min="13" max="13" width="26.88671875" customWidth="1"/>
    <col min="14" max="14" width="3" hidden="1" customWidth="1"/>
    <col min="15" max="15" width="37.109375" customWidth="1"/>
    <col min="16" max="16" width="25" hidden="1" customWidth="1"/>
  </cols>
  <sheetData>
    <row r="1" spans="1:15" ht="18" x14ac:dyDescent="0.35">
      <c r="A1" s="331"/>
      <c r="B1" s="868"/>
      <c r="C1" s="330"/>
      <c r="D1" s="330"/>
      <c r="E1" s="873"/>
      <c r="F1" s="331"/>
      <c r="G1" s="331"/>
      <c r="H1" s="331"/>
      <c r="I1" s="352"/>
      <c r="J1" s="352"/>
      <c r="K1" s="666"/>
      <c r="L1" s="352"/>
      <c r="M1" s="352"/>
      <c r="N1" s="352"/>
      <c r="O1" s="353"/>
    </row>
    <row r="2" spans="1:15" ht="18" x14ac:dyDescent="0.35">
      <c r="A2" s="1268" t="s">
        <v>1117</v>
      </c>
      <c r="B2" s="1268"/>
      <c r="C2" s="330"/>
      <c r="D2" s="330"/>
      <c r="E2" s="873"/>
      <c r="F2" s="331"/>
      <c r="G2" s="331"/>
      <c r="H2" s="331"/>
      <c r="I2" s="352"/>
      <c r="J2" s="352"/>
      <c r="K2" s="666"/>
      <c r="L2" s="352" t="s">
        <v>1118</v>
      </c>
      <c r="M2" s="1330" t="s">
        <v>151</v>
      </c>
      <c r="N2" s="1330"/>
      <c r="O2" s="1330"/>
    </row>
    <row r="3" spans="1:15" ht="18" x14ac:dyDescent="0.35">
      <c r="A3" s="1268" t="s">
        <v>1119</v>
      </c>
      <c r="B3" s="1268"/>
      <c r="C3" s="330"/>
      <c r="D3" s="330"/>
      <c r="E3" s="873"/>
      <c r="F3" s="331"/>
      <c r="G3" s="331"/>
      <c r="H3" s="331"/>
      <c r="I3" s="352"/>
      <c r="J3" s="352"/>
      <c r="K3" s="666"/>
      <c r="L3" s="352" t="s">
        <v>1120</v>
      </c>
      <c r="M3" s="1330" t="s">
        <v>1202</v>
      </c>
      <c r="N3" s="1330"/>
      <c r="O3" s="1330"/>
    </row>
    <row r="4" spans="1:15" ht="18" x14ac:dyDescent="0.35">
      <c r="A4" s="1353" t="s">
        <v>1121</v>
      </c>
      <c r="B4" s="1353"/>
      <c r="C4" s="330"/>
      <c r="D4" s="330"/>
      <c r="E4" s="873"/>
      <c r="F4" s="331"/>
      <c r="G4" s="331"/>
      <c r="H4" s="331"/>
      <c r="I4" s="352"/>
      <c r="J4" s="352"/>
      <c r="K4" s="666"/>
      <c r="L4" s="352"/>
      <c r="M4" s="352"/>
      <c r="N4" s="352"/>
      <c r="O4" s="353"/>
    </row>
    <row r="5" spans="1:15" ht="18" x14ac:dyDescent="0.35">
      <c r="A5" s="1353" t="s">
        <v>1122</v>
      </c>
      <c r="B5" s="1353"/>
      <c r="C5" s="330"/>
      <c r="D5" s="330"/>
      <c r="E5" s="873"/>
      <c r="F5" s="331"/>
      <c r="G5" s="331"/>
      <c r="H5" s="331"/>
      <c r="I5" s="352"/>
      <c r="J5" s="352"/>
      <c r="K5" s="666"/>
      <c r="L5" s="352"/>
      <c r="M5" s="352"/>
      <c r="N5" s="352"/>
      <c r="O5" s="353"/>
    </row>
    <row r="6" spans="1:15" ht="18" x14ac:dyDescent="0.35">
      <c r="A6" s="1268" t="s">
        <v>1123</v>
      </c>
      <c r="B6" s="1268"/>
      <c r="C6" s="330"/>
      <c r="D6" s="330"/>
      <c r="E6" s="873"/>
      <c r="F6" s="331"/>
      <c r="G6" s="331"/>
      <c r="H6" s="331"/>
      <c r="I6" s="352"/>
      <c r="J6" s="352"/>
      <c r="K6" s="666"/>
      <c r="L6" s="352"/>
      <c r="M6" s="352"/>
      <c r="N6" s="352"/>
      <c r="O6" s="353"/>
    </row>
    <row r="7" spans="1:15" ht="18" x14ac:dyDescent="0.35">
      <c r="A7" s="1268" t="s">
        <v>1124</v>
      </c>
      <c r="B7" s="1268"/>
      <c r="C7" s="330"/>
      <c r="D7" s="330"/>
      <c r="E7" s="873"/>
      <c r="F7" s="331"/>
      <c r="G7" s="331"/>
      <c r="H7" s="331"/>
      <c r="I7" s="352"/>
      <c r="J7" s="352"/>
      <c r="K7" s="666"/>
      <c r="L7" s="352"/>
      <c r="M7" s="352"/>
      <c r="N7" s="352"/>
      <c r="O7" s="353"/>
    </row>
    <row r="8" spans="1:15" ht="18" x14ac:dyDescent="0.35">
      <c r="A8" s="1309" t="s">
        <v>1125</v>
      </c>
      <c r="B8" s="1309"/>
      <c r="C8" s="330"/>
      <c r="D8" s="330"/>
      <c r="E8" s="873"/>
      <c r="F8" s="331"/>
      <c r="G8" s="331"/>
      <c r="H8" s="331"/>
      <c r="I8" s="1310"/>
      <c r="J8" s="1310"/>
      <c r="K8" s="1310"/>
      <c r="L8" s="1310"/>
      <c r="M8" s="1310"/>
      <c r="N8" s="1310"/>
      <c r="O8" s="1310"/>
    </row>
    <row r="9" spans="1:15" ht="18" x14ac:dyDescent="0.35">
      <c r="A9" s="1268" t="s">
        <v>1126</v>
      </c>
      <c r="B9" s="1268"/>
      <c r="C9" s="330"/>
      <c r="D9" s="330"/>
      <c r="E9" s="873"/>
      <c r="F9" s="331"/>
      <c r="G9" s="331"/>
      <c r="H9" s="331"/>
      <c r="I9" s="1310"/>
      <c r="J9" s="1310"/>
      <c r="K9" s="1310"/>
      <c r="L9" s="1310"/>
      <c r="M9" s="1310"/>
      <c r="N9" s="1310"/>
      <c r="O9" s="1310"/>
    </row>
    <row r="10" spans="1:15" ht="18" x14ac:dyDescent="0.35">
      <c r="A10" s="1268" t="s">
        <v>1127</v>
      </c>
      <c r="B10" s="1268"/>
      <c r="C10" s="330"/>
      <c r="D10" s="330"/>
      <c r="E10" s="873"/>
      <c r="F10" s="331"/>
      <c r="G10" s="331"/>
      <c r="H10" s="331"/>
      <c r="I10" s="1310"/>
      <c r="J10" s="1310"/>
      <c r="K10" s="1310"/>
      <c r="L10" s="1310"/>
      <c r="M10" s="1310"/>
      <c r="N10" s="1310"/>
      <c r="O10" s="1310"/>
    </row>
    <row r="11" spans="1:15" ht="18" x14ac:dyDescent="0.35">
      <c r="A11" s="1268" t="s">
        <v>1412</v>
      </c>
      <c r="B11" s="1268"/>
      <c r="C11" s="330"/>
      <c r="D11" s="330"/>
      <c r="E11" s="873"/>
      <c r="F11" s="331"/>
      <c r="G11" s="331"/>
      <c r="H11" s="331"/>
      <c r="I11" s="1310"/>
      <c r="J11" s="1310"/>
      <c r="K11" s="1310"/>
      <c r="L11" s="1310"/>
      <c r="M11" s="1310"/>
      <c r="N11" s="1310"/>
      <c r="O11" s="1310"/>
    </row>
    <row r="12" spans="1:15" ht="18" x14ac:dyDescent="0.35">
      <c r="A12" s="1268" t="s">
        <v>1128</v>
      </c>
      <c r="B12" s="1268"/>
      <c r="C12" s="330"/>
      <c r="D12" s="330"/>
      <c r="E12" s="873"/>
      <c r="F12" s="331"/>
      <c r="G12" s="331"/>
      <c r="H12" s="331"/>
      <c r="I12" s="871"/>
      <c r="J12" s="871"/>
      <c r="K12" s="667"/>
      <c r="L12" s="871"/>
      <c r="M12" s="871"/>
      <c r="N12" s="871"/>
      <c r="O12" s="871"/>
    </row>
    <row r="13" spans="1:15" ht="18" x14ac:dyDescent="0.35">
      <c r="A13" s="331"/>
      <c r="B13" s="330"/>
      <c r="C13" s="330"/>
      <c r="D13" s="330"/>
      <c r="E13" s="873"/>
      <c r="F13" s="331"/>
      <c r="G13" s="331"/>
      <c r="H13" s="331"/>
      <c r="I13" s="352"/>
      <c r="J13" s="352"/>
      <c r="K13" s="666"/>
      <c r="L13" s="352"/>
      <c r="M13" s="352"/>
      <c r="N13" s="352"/>
      <c r="O13" s="353"/>
    </row>
    <row r="14" spans="1:15" ht="18" x14ac:dyDescent="0.35">
      <c r="A14" s="1315" t="s">
        <v>1335</v>
      </c>
      <c r="B14" s="1315"/>
      <c r="C14" s="1315"/>
      <c r="D14" s="1315"/>
      <c r="E14" s="1315"/>
      <c r="F14" s="1315"/>
      <c r="G14" s="1315"/>
      <c r="H14" s="1315"/>
      <c r="I14" s="1315"/>
      <c r="J14" s="1315"/>
      <c r="K14" s="1315"/>
      <c r="L14" s="1315"/>
      <c r="M14" s="1315"/>
      <c r="N14" s="1315"/>
      <c r="O14" s="1315"/>
    </row>
    <row r="15" spans="1:15" ht="18" x14ac:dyDescent="0.35">
      <c r="A15" s="331"/>
      <c r="B15" s="330"/>
      <c r="C15" s="330"/>
      <c r="D15" s="330"/>
      <c r="E15" s="873"/>
      <c r="F15" s="331"/>
      <c r="G15" s="331"/>
      <c r="H15" s="331"/>
      <c r="I15" s="352"/>
      <c r="J15" s="352"/>
      <c r="K15" s="666"/>
      <c r="L15" s="352"/>
      <c r="M15" s="352"/>
      <c r="N15" s="352"/>
      <c r="O15" s="857" t="s">
        <v>478</v>
      </c>
    </row>
    <row r="17" spans="1:16" ht="18.75" customHeight="1" x14ac:dyDescent="0.35">
      <c r="A17" s="1313" t="s">
        <v>407</v>
      </c>
      <c r="B17" s="1269" t="s">
        <v>479</v>
      </c>
      <c r="C17" s="1274" t="s">
        <v>281</v>
      </c>
      <c r="D17" s="333"/>
      <c r="E17" s="872"/>
      <c r="F17" s="334"/>
      <c r="G17" s="335"/>
      <c r="H17" s="335"/>
      <c r="I17" s="1277" t="s">
        <v>1085</v>
      </c>
      <c r="J17" s="1277" t="s">
        <v>510</v>
      </c>
      <c r="K17" s="1401" t="s">
        <v>1350</v>
      </c>
      <c r="L17" s="1271" t="s">
        <v>1079</v>
      </c>
      <c r="M17" s="1270" t="s">
        <v>1410</v>
      </c>
      <c r="N17" s="1270" t="s">
        <v>1080</v>
      </c>
      <c r="O17" s="1311" t="s">
        <v>480</v>
      </c>
      <c r="P17" s="1311"/>
    </row>
    <row r="18" spans="1:16" ht="18" x14ac:dyDescent="0.35">
      <c r="A18" s="1313"/>
      <c r="B18" s="1269"/>
      <c r="C18" s="1399"/>
      <c r="D18" s="333"/>
      <c r="E18" s="872"/>
      <c r="F18" s="334"/>
      <c r="G18" s="335"/>
      <c r="H18" s="335"/>
      <c r="I18" s="1400"/>
      <c r="J18" s="1400"/>
      <c r="K18" s="1401"/>
      <c r="L18" s="1426"/>
      <c r="M18" s="1270"/>
      <c r="N18" s="1270"/>
      <c r="O18" s="1270" t="s">
        <v>481</v>
      </c>
      <c r="P18" s="1312"/>
    </row>
    <row r="19" spans="1:16" ht="18" x14ac:dyDescent="0.35">
      <c r="A19" s="1313"/>
      <c r="B19" s="1269"/>
      <c r="C19" s="1399"/>
      <c r="D19" s="333"/>
      <c r="E19" s="872"/>
      <c r="F19" s="335"/>
      <c r="G19" s="335"/>
      <c r="H19" s="335"/>
      <c r="I19" s="1400"/>
      <c r="J19" s="1400"/>
      <c r="K19" s="1401"/>
      <c r="L19" s="1273"/>
      <c r="M19" s="1270"/>
      <c r="N19" s="1270"/>
      <c r="O19" s="1270"/>
      <c r="P19" s="1312"/>
    </row>
    <row r="20" spans="1:16" ht="18" x14ac:dyDescent="0.35">
      <c r="A20" s="1314"/>
      <c r="B20" s="1398"/>
      <c r="C20" s="1399"/>
      <c r="D20" s="332"/>
      <c r="E20" s="877"/>
      <c r="F20" s="344"/>
      <c r="G20" s="344"/>
      <c r="H20" s="344"/>
      <c r="I20" s="1400"/>
      <c r="J20" s="1400"/>
      <c r="K20" s="1402"/>
      <c r="L20" s="876"/>
      <c r="M20" s="1271"/>
      <c r="N20" s="876"/>
      <c r="O20" s="1271"/>
      <c r="P20" s="1312"/>
    </row>
    <row r="21" spans="1:16" s="336" customFormat="1" ht="42" customHeight="1" x14ac:dyDescent="0.35">
      <c r="A21" s="347">
        <v>1</v>
      </c>
      <c r="B21" s="343" t="s">
        <v>1081</v>
      </c>
      <c r="C21" s="346"/>
      <c r="D21" s="664"/>
      <c r="E21" s="338"/>
      <c r="F21" s="339"/>
      <c r="G21" s="339"/>
      <c r="H21" s="339"/>
      <c r="I21" s="345" t="s">
        <v>1337</v>
      </c>
      <c r="J21" s="498"/>
      <c r="K21" s="782">
        <f>K22+K24+K25+K26+K27+K28+K30+K31+K32+K29+K33+K23</f>
        <v>9122967.5300000012</v>
      </c>
      <c r="L21" s="783"/>
      <c r="M21" s="784">
        <f>M22+M24+M25+M26+M27+M28+M30+M31+M32+M29+M33+M23</f>
        <v>3591524.87</v>
      </c>
      <c r="N21" s="341"/>
      <c r="O21" s="342" t="s">
        <v>151</v>
      </c>
      <c r="P21" s="663"/>
    </row>
    <row r="22" spans="1:16" s="366" customFormat="1" ht="31.5" customHeight="1" x14ac:dyDescent="0.3">
      <c r="A22" s="875"/>
      <c r="B22" s="1396" t="s">
        <v>627</v>
      </c>
      <c r="C22" s="1397" t="s">
        <v>1086</v>
      </c>
      <c r="D22" s="524"/>
      <c r="E22" s="524"/>
      <c r="F22" s="524"/>
      <c r="G22" s="524"/>
      <c r="H22" s="524"/>
      <c r="I22" s="1374" t="s">
        <v>1239</v>
      </c>
      <c r="J22" s="662" t="s">
        <v>586</v>
      </c>
      <c r="K22" s="525">
        <v>73140</v>
      </c>
      <c r="L22" s="532"/>
      <c r="M22" s="526"/>
      <c r="N22" s="489"/>
      <c r="O22" s="1335" t="s">
        <v>151</v>
      </c>
      <c r="P22" s="662"/>
    </row>
    <row r="23" spans="1:16" s="366" customFormat="1" ht="15.6" hidden="1" x14ac:dyDescent="0.3">
      <c r="A23" s="875"/>
      <c r="B23" s="1294"/>
      <c r="C23" s="1333"/>
      <c r="D23" s="524"/>
      <c r="E23" s="524"/>
      <c r="F23" s="524"/>
      <c r="G23" s="524"/>
      <c r="H23" s="524"/>
      <c r="I23" s="1285"/>
      <c r="J23" s="363" t="s">
        <v>528</v>
      </c>
      <c r="K23" s="525"/>
      <c r="L23" s="532"/>
      <c r="M23" s="526"/>
      <c r="N23" s="489"/>
      <c r="O23" s="1335"/>
      <c r="P23" s="363"/>
    </row>
    <row r="24" spans="1:16" s="366" customFormat="1" ht="36" customHeight="1" x14ac:dyDescent="0.3">
      <c r="A24" s="388"/>
      <c r="B24" s="527" t="s">
        <v>630</v>
      </c>
      <c r="C24" s="451" t="s">
        <v>1086</v>
      </c>
      <c r="I24" s="528" t="s">
        <v>1240</v>
      </c>
      <c r="J24" s="363" t="s">
        <v>586</v>
      </c>
      <c r="K24" s="785">
        <v>106000</v>
      </c>
      <c r="L24" s="532"/>
      <c r="M24" s="361"/>
      <c r="N24" s="365"/>
      <c r="O24" s="1335"/>
      <c r="P24" s="363"/>
    </row>
    <row r="25" spans="1:16" s="366" customFormat="1" ht="46.5" customHeight="1" x14ac:dyDescent="0.3">
      <c r="A25" s="388"/>
      <c r="B25" s="527" t="s">
        <v>633</v>
      </c>
      <c r="C25" s="451" t="s">
        <v>1086</v>
      </c>
      <c r="I25" s="528" t="s">
        <v>1241</v>
      </c>
      <c r="J25" s="363" t="s">
        <v>586</v>
      </c>
      <c r="K25" s="785">
        <v>181000</v>
      </c>
      <c r="L25" s="532"/>
      <c r="M25" s="361"/>
      <c r="N25" s="365"/>
      <c r="O25" s="1335"/>
      <c r="P25" s="363"/>
    </row>
    <row r="26" spans="1:16" s="366" customFormat="1" ht="33.75" customHeight="1" x14ac:dyDescent="0.3">
      <c r="A26" s="388"/>
      <c r="B26" s="527" t="s">
        <v>636</v>
      </c>
      <c r="C26" s="451" t="s">
        <v>1087</v>
      </c>
      <c r="I26" s="528" t="s">
        <v>1242</v>
      </c>
      <c r="J26" s="363" t="s">
        <v>586</v>
      </c>
      <c r="K26" s="785">
        <v>25000</v>
      </c>
      <c r="L26" s="532"/>
      <c r="M26" s="361"/>
      <c r="N26" s="365"/>
      <c r="O26" s="1335"/>
      <c r="P26" s="363"/>
    </row>
    <row r="27" spans="1:16" s="366" customFormat="1" ht="35.25" customHeight="1" x14ac:dyDescent="0.3">
      <c r="A27" s="388"/>
      <c r="B27" s="527" t="s">
        <v>639</v>
      </c>
      <c r="C27" s="451" t="s">
        <v>1086</v>
      </c>
      <c r="I27" s="528" t="s">
        <v>1243</v>
      </c>
      <c r="J27" s="363" t="s">
        <v>586</v>
      </c>
      <c r="K27" s="785">
        <v>30000</v>
      </c>
      <c r="L27" s="532"/>
      <c r="M27" s="361"/>
      <c r="N27" s="365"/>
      <c r="O27" s="1335"/>
      <c r="P27" s="363"/>
    </row>
    <row r="28" spans="1:16" s="366" customFormat="1" ht="30.75" customHeight="1" x14ac:dyDescent="0.3">
      <c r="A28" s="388"/>
      <c r="B28" s="527" t="s">
        <v>642</v>
      </c>
      <c r="C28" s="451" t="s">
        <v>1087</v>
      </c>
      <c r="I28" s="528" t="s">
        <v>1244</v>
      </c>
      <c r="J28" s="363" t="s">
        <v>586</v>
      </c>
      <c r="K28" s="785">
        <v>30000</v>
      </c>
      <c r="L28" s="532"/>
      <c r="M28" s="361"/>
      <c r="N28" s="365"/>
      <c r="O28" s="1335"/>
      <c r="P28" s="363"/>
    </row>
    <row r="29" spans="1:16" s="366" customFormat="1" ht="30.75" customHeight="1" x14ac:dyDescent="0.3">
      <c r="A29" s="1425"/>
      <c r="B29" s="1293" t="s">
        <v>607</v>
      </c>
      <c r="C29" s="451" t="s">
        <v>1088</v>
      </c>
      <c r="I29" s="1334" t="s">
        <v>1232</v>
      </c>
      <c r="J29" s="363" t="s">
        <v>586</v>
      </c>
      <c r="K29" s="577">
        <v>800000</v>
      </c>
      <c r="L29" s="532"/>
      <c r="M29" s="361"/>
      <c r="N29" s="365"/>
      <c r="O29" s="1287"/>
      <c r="P29" s="363"/>
    </row>
    <row r="30" spans="1:16" s="366" customFormat="1" ht="50.25" hidden="1" customHeight="1" x14ac:dyDescent="0.3">
      <c r="A30" s="1329"/>
      <c r="B30" s="1294"/>
      <c r="C30" s="451" t="s">
        <v>1159</v>
      </c>
      <c r="I30" s="1285"/>
      <c r="J30" s="363" t="s">
        <v>813</v>
      </c>
      <c r="K30" s="577"/>
      <c r="L30" s="532"/>
      <c r="M30" s="361"/>
      <c r="N30" s="365"/>
      <c r="O30" s="529" t="s">
        <v>1179</v>
      </c>
      <c r="P30" s="363"/>
    </row>
    <row r="31" spans="1:16" s="366" customFormat="1" ht="50.25" customHeight="1" x14ac:dyDescent="0.3">
      <c r="A31" s="530"/>
      <c r="B31" s="527" t="s">
        <v>1264</v>
      </c>
      <c r="C31" s="451" t="s">
        <v>1103</v>
      </c>
      <c r="I31" s="531" t="s">
        <v>1263</v>
      </c>
      <c r="J31" s="389" t="s">
        <v>586</v>
      </c>
      <c r="K31" s="669">
        <f>500000+3500000+1429771+788425+1000000+1000000-340368.47</f>
        <v>7877827.5300000003</v>
      </c>
      <c r="L31" s="532"/>
      <c r="M31" s="533">
        <v>3591524.87</v>
      </c>
      <c r="N31" s="365"/>
      <c r="O31" s="1427" t="s">
        <v>151</v>
      </c>
      <c r="P31" s="389"/>
    </row>
    <row r="32" spans="1:16" s="366" customFormat="1" ht="30.75" hidden="1" customHeight="1" x14ac:dyDescent="0.3">
      <c r="A32" s="530"/>
      <c r="B32" s="534" t="s">
        <v>1168</v>
      </c>
      <c r="C32" s="451" t="s">
        <v>1130</v>
      </c>
      <c r="I32" s="531" t="s">
        <v>1169</v>
      </c>
      <c r="J32" s="389" t="s">
        <v>586</v>
      </c>
      <c r="K32" s="787"/>
      <c r="L32" s="532"/>
      <c r="M32" s="486"/>
      <c r="N32" s="365"/>
      <c r="O32" s="1287"/>
      <c r="P32" s="389"/>
    </row>
    <row r="33" spans="1:16" s="366" customFormat="1" ht="49.5" hidden="1" customHeight="1" x14ac:dyDescent="0.3">
      <c r="A33" s="530"/>
      <c r="B33" s="521" t="s">
        <v>1201</v>
      </c>
      <c r="C33" s="451"/>
      <c r="I33" s="531"/>
      <c r="J33" s="389"/>
      <c r="K33" s="536">
        <v>0</v>
      </c>
      <c r="L33" s="532"/>
      <c r="M33" s="486"/>
      <c r="N33" s="365"/>
      <c r="O33" s="865"/>
      <c r="P33" s="389"/>
    </row>
    <row r="34" spans="1:16" s="366" customFormat="1" ht="44.25" customHeight="1" x14ac:dyDescent="0.35">
      <c r="A34" s="885">
        <v>2</v>
      </c>
      <c r="B34" s="538" t="s">
        <v>1082</v>
      </c>
      <c r="C34" s="539"/>
      <c r="D34" s="540"/>
      <c r="E34" s="540"/>
      <c r="F34" s="540"/>
      <c r="G34" s="540"/>
      <c r="H34" s="540"/>
      <c r="I34" s="541" t="s">
        <v>1336</v>
      </c>
      <c r="J34" s="542"/>
      <c r="K34" s="788">
        <f>K35</f>
        <v>53000</v>
      </c>
      <c r="L34" s="540"/>
      <c r="M34" s="788">
        <f>M35</f>
        <v>6732</v>
      </c>
      <c r="N34" s="448"/>
      <c r="O34" s="432" t="s">
        <v>151</v>
      </c>
      <c r="P34" s="544"/>
    </row>
    <row r="35" spans="1:16" s="366" customFormat="1" ht="42.75" customHeight="1" x14ac:dyDescent="0.3">
      <c r="A35" s="388"/>
      <c r="B35" s="459" t="s">
        <v>765</v>
      </c>
      <c r="C35" s="545" t="s">
        <v>1089</v>
      </c>
      <c r="I35" s="452" t="s">
        <v>1288</v>
      </c>
      <c r="J35" s="363" t="s">
        <v>586</v>
      </c>
      <c r="K35" s="785">
        <v>53000</v>
      </c>
      <c r="L35" s="532"/>
      <c r="M35" s="361">
        <v>6732</v>
      </c>
      <c r="N35" s="365"/>
      <c r="O35" s="450"/>
      <c r="P35" s="546"/>
    </row>
    <row r="36" spans="1:16" s="366" customFormat="1" ht="52.8" x14ac:dyDescent="0.35">
      <c r="A36" s="885">
        <v>3</v>
      </c>
      <c r="B36" s="447" t="s">
        <v>1092</v>
      </c>
      <c r="C36" s="448"/>
      <c r="D36" s="448"/>
      <c r="E36" s="448"/>
      <c r="F36" s="448"/>
      <c r="G36" s="448"/>
      <c r="H36" s="547"/>
      <c r="I36" s="429" t="s">
        <v>1338</v>
      </c>
      <c r="J36" s="430"/>
      <c r="K36" s="548">
        <f>K37+K38+K39+K40+K43+K44+K45+K41+K46+K42</f>
        <v>13438936.620000001</v>
      </c>
      <c r="L36" s="448"/>
      <c r="M36" s="548">
        <f>M37+M38+M39+M40+M43+M44+M45+M41+M46+M42</f>
        <v>6470346.2199999997</v>
      </c>
      <c r="N36" s="448"/>
      <c r="O36" s="432" t="s">
        <v>1096</v>
      </c>
      <c r="P36" s="365"/>
    </row>
    <row r="37" spans="1:16" s="474" customFormat="1" ht="31.2" x14ac:dyDescent="0.35">
      <c r="A37" s="467"/>
      <c r="B37" s="549" t="s">
        <v>1231</v>
      </c>
      <c r="C37" s="550" t="s">
        <v>1093</v>
      </c>
      <c r="D37" s="476"/>
      <c r="E37" s="476"/>
      <c r="F37" s="476"/>
      <c r="G37" s="476"/>
      <c r="H37" s="551"/>
      <c r="I37" s="552" t="s">
        <v>1225</v>
      </c>
      <c r="J37" s="371" t="s">
        <v>586</v>
      </c>
      <c r="K37" s="525">
        <v>106000</v>
      </c>
      <c r="L37" s="448"/>
      <c r="M37" s="533"/>
      <c r="N37" s="470"/>
      <c r="O37" s="1280" t="s">
        <v>151</v>
      </c>
      <c r="P37" s="476"/>
    </row>
    <row r="38" spans="1:16" s="366" customFormat="1" ht="31.2" x14ac:dyDescent="0.35">
      <c r="A38" s="885"/>
      <c r="B38" s="459" t="s">
        <v>1281</v>
      </c>
      <c r="C38" s="451" t="s">
        <v>1094</v>
      </c>
      <c r="D38" s="365"/>
      <c r="E38" s="365"/>
      <c r="F38" s="365"/>
      <c r="G38" s="365"/>
      <c r="H38" s="365"/>
      <c r="I38" s="452" t="s">
        <v>1280</v>
      </c>
      <c r="J38" s="363" t="s">
        <v>586</v>
      </c>
      <c r="K38" s="785">
        <v>53000</v>
      </c>
      <c r="L38" s="448"/>
      <c r="M38" s="533"/>
      <c r="N38" s="448"/>
      <c r="O38" s="1281"/>
      <c r="P38" s="365"/>
    </row>
    <row r="39" spans="1:16" s="366" customFormat="1" ht="31.2" x14ac:dyDescent="0.35">
      <c r="A39" s="885"/>
      <c r="B39" s="459" t="s">
        <v>1283</v>
      </c>
      <c r="C39" s="451" t="s">
        <v>1094</v>
      </c>
      <c r="D39" s="365"/>
      <c r="E39" s="365"/>
      <c r="F39" s="365"/>
      <c r="G39" s="365"/>
      <c r="H39" s="365"/>
      <c r="I39" s="452" t="s">
        <v>1282</v>
      </c>
      <c r="J39" s="363" t="s">
        <v>586</v>
      </c>
      <c r="K39" s="785">
        <v>106000</v>
      </c>
      <c r="L39" s="448"/>
      <c r="M39" s="533"/>
      <c r="N39" s="448"/>
      <c r="O39" s="1281"/>
      <c r="P39" s="365"/>
    </row>
    <row r="40" spans="1:16" s="366" customFormat="1" ht="18" x14ac:dyDescent="0.35">
      <c r="A40" s="885"/>
      <c r="B40" s="459" t="s">
        <v>751</v>
      </c>
      <c r="C40" s="451" t="s">
        <v>1094</v>
      </c>
      <c r="D40" s="365"/>
      <c r="E40" s="365"/>
      <c r="F40" s="365"/>
      <c r="G40" s="365"/>
      <c r="H40" s="365"/>
      <c r="I40" s="452" t="s">
        <v>1286</v>
      </c>
      <c r="J40" s="363" t="s">
        <v>586</v>
      </c>
      <c r="K40" s="785">
        <v>212000</v>
      </c>
      <c r="L40" s="448"/>
      <c r="M40" s="533"/>
      <c r="N40" s="448"/>
      <c r="O40" s="1283"/>
      <c r="P40" s="365"/>
    </row>
    <row r="41" spans="1:16" s="366" customFormat="1" ht="62.4" hidden="1" x14ac:dyDescent="0.35">
      <c r="A41" s="885"/>
      <c r="B41" s="478" t="s">
        <v>1181</v>
      </c>
      <c r="C41" s="451" t="s">
        <v>1180</v>
      </c>
      <c r="D41" s="365"/>
      <c r="E41" s="365"/>
      <c r="F41" s="365"/>
      <c r="G41" s="365"/>
      <c r="H41" s="555"/>
      <c r="I41" s="452" t="s">
        <v>752</v>
      </c>
      <c r="J41" s="363" t="s">
        <v>813</v>
      </c>
      <c r="K41" s="785"/>
      <c r="L41" s="448"/>
      <c r="M41" s="533"/>
      <c r="N41" s="448"/>
      <c r="O41" s="529" t="s">
        <v>1179</v>
      </c>
      <c r="P41" s="365"/>
    </row>
    <row r="42" spans="1:16" s="366" customFormat="1" ht="31.2" x14ac:dyDescent="0.35">
      <c r="A42" s="885"/>
      <c r="B42" s="478" t="s">
        <v>748</v>
      </c>
      <c r="C42" s="451" t="s">
        <v>1284</v>
      </c>
      <c r="D42" s="365"/>
      <c r="E42" s="365"/>
      <c r="F42" s="365"/>
      <c r="G42" s="365"/>
      <c r="H42" s="555"/>
      <c r="I42" s="452" t="s">
        <v>1285</v>
      </c>
      <c r="J42" s="363" t="s">
        <v>586</v>
      </c>
      <c r="K42" s="785">
        <v>100000</v>
      </c>
      <c r="L42" s="448"/>
      <c r="M42" s="533"/>
      <c r="N42" s="448"/>
      <c r="O42" s="556" t="s">
        <v>151</v>
      </c>
      <c r="P42" s="365"/>
    </row>
    <row r="43" spans="1:16" s="366" customFormat="1" ht="31.2" x14ac:dyDescent="0.35">
      <c r="A43" s="885"/>
      <c r="B43" s="459" t="s">
        <v>918</v>
      </c>
      <c r="C43" s="451" t="s">
        <v>1095</v>
      </c>
      <c r="D43" s="448"/>
      <c r="E43" s="448"/>
      <c r="F43" s="448"/>
      <c r="G43" s="448"/>
      <c r="H43" s="547"/>
      <c r="I43" s="452" t="s">
        <v>1332</v>
      </c>
      <c r="J43" s="363" t="s">
        <v>613</v>
      </c>
      <c r="K43" s="785">
        <v>4819591.7</v>
      </c>
      <c r="L43" s="448"/>
      <c r="M43" s="487">
        <f>315426.44+431192.12+330694.17+459187.93+413932.84+335326+451818.86</f>
        <v>2737578.36</v>
      </c>
      <c r="N43" s="448"/>
      <c r="O43" s="1288" t="s">
        <v>1097</v>
      </c>
      <c r="P43" s="365"/>
    </row>
    <row r="44" spans="1:16" s="366" customFormat="1" ht="18" x14ac:dyDescent="0.35">
      <c r="A44" s="885"/>
      <c r="B44" s="459" t="s">
        <v>921</v>
      </c>
      <c r="C44" s="451" t="s">
        <v>1095</v>
      </c>
      <c r="D44" s="448"/>
      <c r="E44" s="448"/>
      <c r="F44" s="448"/>
      <c r="G44" s="448"/>
      <c r="H44" s="547"/>
      <c r="I44" s="452" t="s">
        <v>1333</v>
      </c>
      <c r="J44" s="363" t="s">
        <v>613</v>
      </c>
      <c r="K44" s="785">
        <f>2775762.7+47577.97</f>
        <v>2823340.6700000004</v>
      </c>
      <c r="L44" s="448"/>
      <c r="M44" s="487">
        <f>141775.76+314481.03+172468.79+169088.79+163666.25+150093.37+198856.11</f>
        <v>1310430.1000000001</v>
      </c>
      <c r="N44" s="448"/>
      <c r="O44" s="1317"/>
      <c r="P44" s="365"/>
    </row>
    <row r="45" spans="1:16" s="366" customFormat="1" ht="18" x14ac:dyDescent="0.35">
      <c r="A45" s="885"/>
      <c r="B45" s="459" t="s">
        <v>924</v>
      </c>
      <c r="C45" s="451" t="s">
        <v>1095</v>
      </c>
      <c r="D45" s="365"/>
      <c r="E45" s="365"/>
      <c r="F45" s="365"/>
      <c r="G45" s="365"/>
      <c r="H45" s="365"/>
      <c r="I45" s="452" t="s">
        <v>1334</v>
      </c>
      <c r="J45" s="363" t="s">
        <v>613</v>
      </c>
      <c r="K45" s="577">
        <f>4419004.25+800000</f>
        <v>5219004.25</v>
      </c>
      <c r="L45" s="448"/>
      <c r="M45" s="487">
        <f>240001.74+477497.23+367908.22+120949+287606.76+427107.66+193114.77+308152.38</f>
        <v>2422337.7599999998</v>
      </c>
      <c r="N45" s="448"/>
      <c r="O45" s="1317"/>
      <c r="P45" s="365"/>
    </row>
    <row r="46" spans="1:16" s="366" customFormat="1" ht="53.25" hidden="1" customHeight="1" x14ac:dyDescent="0.35">
      <c r="A46" s="885"/>
      <c r="B46" s="521" t="s">
        <v>926</v>
      </c>
      <c r="C46" s="451" t="s">
        <v>1095</v>
      </c>
      <c r="D46" s="365"/>
      <c r="E46" s="365"/>
      <c r="F46" s="365"/>
      <c r="G46" s="365"/>
      <c r="H46" s="365"/>
      <c r="I46" s="484" t="s">
        <v>1194</v>
      </c>
      <c r="J46" s="389" t="s">
        <v>613</v>
      </c>
      <c r="K46" s="786"/>
      <c r="L46" s="448"/>
      <c r="M46" s="533"/>
      <c r="N46" s="448"/>
      <c r="O46" s="1290"/>
      <c r="P46" s="365"/>
    </row>
    <row r="47" spans="1:16" s="366" customFormat="1" ht="52.8" x14ac:dyDescent="0.35">
      <c r="A47" s="885">
        <v>4</v>
      </c>
      <c r="B47" s="447" t="s">
        <v>1098</v>
      </c>
      <c r="C47" s="557"/>
      <c r="D47" s="448"/>
      <c r="E47" s="448"/>
      <c r="F47" s="448"/>
      <c r="G47" s="448"/>
      <c r="H47" s="448"/>
      <c r="I47" s="429" t="s">
        <v>1339</v>
      </c>
      <c r="J47" s="430"/>
      <c r="K47" s="548">
        <f>K49+K50+K51+K55+K53+K56+K54+K57+K48+K52</f>
        <v>2059831.3199999998</v>
      </c>
      <c r="L47" s="448"/>
      <c r="M47" s="548">
        <f>M49+M50+M51+M55+M53+M56+M54+M57+M48+M52</f>
        <v>732812</v>
      </c>
      <c r="N47" s="448"/>
      <c r="O47" s="432" t="s">
        <v>1160</v>
      </c>
      <c r="P47" s="365"/>
    </row>
    <row r="48" spans="1:16" s="366" customFormat="1" ht="31.8" x14ac:dyDescent="0.35">
      <c r="A48" s="885"/>
      <c r="B48" s="558" t="s">
        <v>1249</v>
      </c>
      <c r="C48" s="451" t="s">
        <v>1099</v>
      </c>
      <c r="D48" s="365"/>
      <c r="E48" s="365"/>
      <c r="F48" s="365"/>
      <c r="G48" s="365"/>
      <c r="H48" s="365"/>
      <c r="I48" s="452" t="s">
        <v>1250</v>
      </c>
      <c r="J48" s="389" t="s">
        <v>586</v>
      </c>
      <c r="K48" s="486">
        <f>100000-78000</f>
        <v>22000</v>
      </c>
      <c r="L48" s="368"/>
      <c r="M48" s="361"/>
      <c r="N48" s="448"/>
      <c r="O48" s="520"/>
      <c r="P48" s="365"/>
    </row>
    <row r="49" spans="1:16" s="366" customFormat="1" ht="15.6" x14ac:dyDescent="0.3">
      <c r="A49" s="388"/>
      <c r="B49" s="459" t="s">
        <v>651</v>
      </c>
      <c r="C49" s="451" t="s">
        <v>1099</v>
      </c>
      <c r="D49" s="365"/>
      <c r="E49" s="365"/>
      <c r="F49" s="365"/>
      <c r="G49" s="365"/>
      <c r="H49" s="365"/>
      <c r="I49" s="452" t="s">
        <v>1248</v>
      </c>
      <c r="J49" s="389" t="s">
        <v>586</v>
      </c>
      <c r="K49" s="486">
        <v>564980</v>
      </c>
      <c r="L49" s="368"/>
      <c r="M49" s="361">
        <v>530000</v>
      </c>
      <c r="N49" s="365"/>
      <c r="O49" s="1318"/>
      <c r="P49" s="365"/>
    </row>
    <row r="50" spans="1:16" s="366" customFormat="1" ht="31.2" hidden="1" x14ac:dyDescent="0.3">
      <c r="A50" s="388"/>
      <c r="B50" s="423" t="s">
        <v>1027</v>
      </c>
      <c r="C50" s="451" t="s">
        <v>1101</v>
      </c>
      <c r="D50" s="365"/>
      <c r="E50" s="365"/>
      <c r="F50" s="365"/>
      <c r="G50" s="365"/>
      <c r="H50" s="365"/>
      <c r="I50" s="452" t="s">
        <v>1100</v>
      </c>
      <c r="J50" s="363" t="s">
        <v>586</v>
      </c>
      <c r="K50" s="785">
        <f>100000-50000-50000</f>
        <v>0</v>
      </c>
      <c r="L50" s="368"/>
      <c r="M50" s="361"/>
      <c r="N50" s="365"/>
      <c r="O50" s="1320"/>
      <c r="P50" s="365"/>
    </row>
    <row r="51" spans="1:16" s="366" customFormat="1" ht="42.75" customHeight="1" x14ac:dyDescent="0.3">
      <c r="A51" s="388"/>
      <c r="B51" s="1293" t="s">
        <v>1376</v>
      </c>
      <c r="C51" s="451" t="s">
        <v>1101</v>
      </c>
      <c r="D51" s="365"/>
      <c r="E51" s="365"/>
      <c r="F51" s="365"/>
      <c r="G51" s="365"/>
      <c r="H51" s="365"/>
      <c r="I51" s="1295" t="s">
        <v>1266</v>
      </c>
      <c r="J51" s="363" t="s">
        <v>586</v>
      </c>
      <c r="K51" s="785">
        <f>800000-800000+279990</f>
        <v>279990</v>
      </c>
      <c r="L51" s="368"/>
      <c r="M51" s="361"/>
      <c r="N51" s="365"/>
      <c r="O51" s="1320"/>
      <c r="P51" s="365"/>
    </row>
    <row r="52" spans="1:16" s="366" customFormat="1" ht="42.75" customHeight="1" x14ac:dyDescent="0.3">
      <c r="A52" s="388"/>
      <c r="B52" s="1294"/>
      <c r="C52" s="451" t="s">
        <v>1377</v>
      </c>
      <c r="D52" s="365"/>
      <c r="E52" s="365"/>
      <c r="F52" s="365"/>
      <c r="G52" s="365"/>
      <c r="H52" s="365"/>
      <c r="I52" s="1296"/>
      <c r="J52" s="363" t="s">
        <v>813</v>
      </c>
      <c r="K52" s="785">
        <f>800000-279990</f>
        <v>520010</v>
      </c>
      <c r="L52" s="368"/>
      <c r="M52" s="361">
        <f>32500+90312</f>
        <v>122812</v>
      </c>
      <c r="N52" s="365"/>
      <c r="O52" s="1320"/>
      <c r="P52" s="367"/>
    </row>
    <row r="53" spans="1:16" s="366" customFormat="1" ht="15.6" x14ac:dyDescent="0.3">
      <c r="A53" s="388"/>
      <c r="B53" s="459" t="s">
        <v>706</v>
      </c>
      <c r="C53" s="451" t="s">
        <v>1101</v>
      </c>
      <c r="D53" s="365"/>
      <c r="E53" s="365"/>
      <c r="F53" s="365"/>
      <c r="G53" s="365"/>
      <c r="H53" s="365"/>
      <c r="I53" s="452" t="s">
        <v>1267</v>
      </c>
      <c r="J53" s="363" t="s">
        <v>586</v>
      </c>
      <c r="K53" s="785">
        <v>380449.21</v>
      </c>
      <c r="L53" s="368"/>
      <c r="M53" s="361"/>
      <c r="N53" s="365"/>
      <c r="O53" s="1320"/>
      <c r="P53" s="367"/>
    </row>
    <row r="54" spans="1:16" s="366" customFormat="1" ht="15.6" x14ac:dyDescent="0.3">
      <c r="A54" s="388"/>
      <c r="B54" s="423" t="s">
        <v>1362</v>
      </c>
      <c r="C54" s="451" t="s">
        <v>1101</v>
      </c>
      <c r="D54" s="365"/>
      <c r="E54" s="365"/>
      <c r="F54" s="365"/>
      <c r="G54" s="365"/>
      <c r="H54" s="365"/>
      <c r="I54" s="452" t="s">
        <v>1363</v>
      </c>
      <c r="J54" s="363" t="s">
        <v>586</v>
      </c>
      <c r="K54" s="785">
        <v>78000</v>
      </c>
      <c r="L54" s="368"/>
      <c r="M54" s="361">
        <v>78000</v>
      </c>
      <c r="N54" s="365"/>
      <c r="O54" s="1320"/>
      <c r="P54" s="367"/>
    </row>
    <row r="55" spans="1:16" s="366" customFormat="1" ht="31.2" hidden="1" x14ac:dyDescent="0.3">
      <c r="A55" s="388"/>
      <c r="B55" s="459" t="s">
        <v>1158</v>
      </c>
      <c r="C55" s="451" t="s">
        <v>1159</v>
      </c>
      <c r="D55" s="365"/>
      <c r="E55" s="365"/>
      <c r="F55" s="365"/>
      <c r="G55" s="365"/>
      <c r="H55" s="365"/>
      <c r="I55" s="480" t="s">
        <v>707</v>
      </c>
      <c r="J55" s="363" t="s">
        <v>813</v>
      </c>
      <c r="K55" s="577"/>
      <c r="L55" s="368"/>
      <c r="M55" s="361"/>
      <c r="N55" s="365"/>
      <c r="O55" s="1321"/>
    </row>
    <row r="56" spans="1:16" s="366" customFormat="1" ht="31.2" x14ac:dyDescent="0.3">
      <c r="A56" s="388"/>
      <c r="B56" s="459" t="s">
        <v>1237</v>
      </c>
      <c r="C56" s="451" t="s">
        <v>1170</v>
      </c>
      <c r="D56" s="365"/>
      <c r="E56" s="365"/>
      <c r="F56" s="365"/>
      <c r="G56" s="365"/>
      <c r="H56" s="365"/>
      <c r="I56" s="389" t="s">
        <v>1238</v>
      </c>
      <c r="J56" s="389" t="s">
        <v>586</v>
      </c>
      <c r="K56" s="786">
        <v>214402.11</v>
      </c>
      <c r="L56" s="368"/>
      <c r="M56" s="361">
        <v>2000</v>
      </c>
      <c r="N56" s="365"/>
      <c r="O56" s="874"/>
    </row>
    <row r="57" spans="1:16" s="366" customFormat="1" ht="46.8" hidden="1" x14ac:dyDescent="0.3">
      <c r="A57" s="388"/>
      <c r="B57" s="521" t="s">
        <v>1195</v>
      </c>
      <c r="C57" s="451" t="s">
        <v>1101</v>
      </c>
      <c r="D57" s="365"/>
      <c r="E57" s="365"/>
      <c r="F57" s="365"/>
      <c r="G57" s="365"/>
      <c r="H57" s="365"/>
      <c r="I57" s="484" t="s">
        <v>1196</v>
      </c>
      <c r="J57" s="389" t="s">
        <v>586</v>
      </c>
      <c r="K57" s="786"/>
      <c r="L57" s="368"/>
      <c r="M57" s="486"/>
      <c r="N57" s="365"/>
      <c r="O57" s="874"/>
    </row>
    <row r="58" spans="1:16" s="366" customFormat="1" ht="54" x14ac:dyDescent="0.35">
      <c r="A58" s="885">
        <v>5</v>
      </c>
      <c r="B58" s="447" t="s">
        <v>1102</v>
      </c>
      <c r="C58" s="448"/>
      <c r="D58" s="448"/>
      <c r="E58" s="448"/>
      <c r="F58" s="448"/>
      <c r="G58" s="448"/>
      <c r="H58" s="448"/>
      <c r="I58" s="429" t="s">
        <v>1340</v>
      </c>
      <c r="J58" s="430"/>
      <c r="K58" s="548">
        <f>K62+K63+K65+K60+K59+K61+K64</f>
        <v>9737433.120000001</v>
      </c>
      <c r="L58" s="448"/>
      <c r="M58" s="548">
        <f>M62+M63+M65+M60+M59+M61+M64</f>
        <v>2855868.39</v>
      </c>
      <c r="N58" s="448"/>
      <c r="O58" s="432" t="s">
        <v>1183</v>
      </c>
    </row>
    <row r="59" spans="1:16" s="366" customFormat="1" ht="26.25" customHeight="1" x14ac:dyDescent="0.35">
      <c r="A59" s="885"/>
      <c r="B59" s="660" t="s">
        <v>1197</v>
      </c>
      <c r="C59" s="451" t="s">
        <v>1103</v>
      </c>
      <c r="D59" s="448"/>
      <c r="E59" s="448"/>
      <c r="F59" s="448"/>
      <c r="G59" s="448"/>
      <c r="H59" s="448"/>
      <c r="I59" s="1334" t="s">
        <v>1364</v>
      </c>
      <c r="J59" s="389" t="s">
        <v>586</v>
      </c>
      <c r="K59" s="464">
        <f>5385000-924000+1504587.33-1780000-240000-135921.51</f>
        <v>3809665.8200000003</v>
      </c>
      <c r="L59" s="495"/>
      <c r="M59" s="789">
        <f>85000+150096.77</f>
        <v>235096.77</v>
      </c>
      <c r="N59" s="448"/>
      <c r="O59" s="454" t="s">
        <v>151</v>
      </c>
    </row>
    <row r="60" spans="1:16" s="366" customFormat="1" ht="62.4" x14ac:dyDescent="0.35">
      <c r="A60" s="885"/>
      <c r="B60" s="455" t="s">
        <v>1184</v>
      </c>
      <c r="C60" s="451" t="s">
        <v>1400</v>
      </c>
      <c r="D60" s="448"/>
      <c r="E60" s="448"/>
      <c r="F60" s="448"/>
      <c r="G60" s="448"/>
      <c r="H60" s="448"/>
      <c r="I60" s="1296"/>
      <c r="J60" s="430">
        <v>500</v>
      </c>
      <c r="K60" s="457">
        <f>924000+780000+383767.3</f>
        <v>2087767.3</v>
      </c>
      <c r="L60" s="448"/>
      <c r="M60" s="785">
        <f>924000+780000+143767.3</f>
        <v>1847767.3</v>
      </c>
      <c r="N60" s="448"/>
      <c r="O60" s="456" t="s">
        <v>1179</v>
      </c>
    </row>
    <row r="61" spans="1:16" s="366" customFormat="1" ht="47.4" x14ac:dyDescent="0.35">
      <c r="A61" s="885"/>
      <c r="B61" s="831" t="s">
        <v>1402</v>
      </c>
      <c r="C61" s="451" t="s">
        <v>1400</v>
      </c>
      <c r="D61" s="448"/>
      <c r="E61" s="448"/>
      <c r="F61" s="448"/>
      <c r="G61" s="448"/>
      <c r="H61" s="448"/>
      <c r="I61" s="452" t="s">
        <v>1401</v>
      </c>
      <c r="J61" s="430">
        <v>500</v>
      </c>
      <c r="K61" s="457">
        <v>340000</v>
      </c>
      <c r="L61" s="448"/>
      <c r="M61" s="790">
        <v>340000</v>
      </c>
      <c r="N61" s="448"/>
      <c r="O61" s="869"/>
    </row>
    <row r="62" spans="1:16" s="366" customFormat="1" ht="31.2" hidden="1" x14ac:dyDescent="0.3">
      <c r="A62" s="388"/>
      <c r="B62" s="459" t="s">
        <v>822</v>
      </c>
      <c r="C62" s="451" t="s">
        <v>1105</v>
      </c>
      <c r="D62" s="365"/>
      <c r="E62" s="365"/>
      <c r="F62" s="365"/>
      <c r="G62" s="365"/>
      <c r="H62" s="365"/>
      <c r="I62" s="452" t="s">
        <v>823</v>
      </c>
      <c r="J62" s="363" t="s">
        <v>613</v>
      </c>
      <c r="K62" s="457"/>
      <c r="L62" s="368"/>
      <c r="M62" s="361"/>
      <c r="N62" s="365"/>
      <c r="O62" s="1322" t="s">
        <v>968</v>
      </c>
    </row>
    <row r="63" spans="1:16" s="366" customFormat="1" ht="15.6" hidden="1" x14ac:dyDescent="0.3">
      <c r="A63" s="460"/>
      <c r="B63" s="459" t="s">
        <v>825</v>
      </c>
      <c r="C63" s="451" t="s">
        <v>1105</v>
      </c>
      <c r="D63" s="461"/>
      <c r="E63" s="461"/>
      <c r="F63" s="461"/>
      <c r="G63" s="461"/>
      <c r="H63" s="461"/>
      <c r="I63" s="452" t="s">
        <v>826</v>
      </c>
      <c r="J63" s="363" t="s">
        <v>613</v>
      </c>
      <c r="K63" s="457"/>
      <c r="L63" s="368"/>
      <c r="M63" s="361"/>
      <c r="N63" s="461"/>
      <c r="O63" s="1323"/>
      <c r="P63" s="462"/>
    </row>
    <row r="64" spans="1:16" s="366" customFormat="1" ht="15.6" x14ac:dyDescent="0.3">
      <c r="A64" s="460"/>
      <c r="B64" s="1293" t="s">
        <v>828</v>
      </c>
      <c r="C64" s="451" t="s">
        <v>1142</v>
      </c>
      <c r="D64" s="365"/>
      <c r="E64" s="365"/>
      <c r="F64" s="365"/>
      <c r="G64" s="365"/>
      <c r="H64" s="365"/>
      <c r="I64" s="452" t="s">
        <v>1306</v>
      </c>
      <c r="J64" s="363" t="s">
        <v>613</v>
      </c>
      <c r="K64" s="457">
        <v>681008.52</v>
      </c>
      <c r="L64" s="368"/>
      <c r="M64" s="361">
        <v>433004.32</v>
      </c>
      <c r="N64" s="461"/>
      <c r="O64" s="1323"/>
      <c r="P64" s="462"/>
    </row>
    <row r="65" spans="1:15" s="366" customFormat="1" ht="15.6" x14ac:dyDescent="0.3">
      <c r="A65" s="388"/>
      <c r="B65" s="1415"/>
      <c r="C65" s="451" t="s">
        <v>1105</v>
      </c>
      <c r="D65" s="365"/>
      <c r="E65" s="365"/>
      <c r="F65" s="365"/>
      <c r="G65" s="365"/>
      <c r="H65" s="365"/>
      <c r="I65" s="452" t="s">
        <v>1306</v>
      </c>
      <c r="J65" s="363" t="s">
        <v>613</v>
      </c>
      <c r="K65" s="457">
        <f>3500000-681008.52</f>
        <v>2818991.48</v>
      </c>
      <c r="L65" s="368"/>
      <c r="M65" s="361"/>
      <c r="N65" s="365"/>
      <c r="O65" s="1324"/>
    </row>
    <row r="66" spans="1:15" s="366" customFormat="1" ht="54" x14ac:dyDescent="0.35">
      <c r="A66" s="885">
        <v>6</v>
      </c>
      <c r="B66" s="447" t="s">
        <v>1106</v>
      </c>
      <c r="C66" s="557"/>
      <c r="D66" s="448"/>
      <c r="E66" s="448"/>
      <c r="F66" s="448"/>
      <c r="G66" s="448"/>
      <c r="H66" s="448"/>
      <c r="I66" s="429" t="s">
        <v>1341</v>
      </c>
      <c r="J66" s="430"/>
      <c r="K66" s="548">
        <f>K67</f>
        <v>50000</v>
      </c>
      <c r="L66" s="448"/>
      <c r="M66" s="548">
        <f>M67</f>
        <v>23000</v>
      </c>
      <c r="N66" s="448"/>
      <c r="O66" s="432" t="s">
        <v>151</v>
      </c>
    </row>
    <row r="67" spans="1:15" s="366" customFormat="1" ht="31.2" x14ac:dyDescent="0.3">
      <c r="A67" s="561"/>
      <c r="B67" s="459" t="s">
        <v>728</v>
      </c>
      <c r="C67" s="387" t="s">
        <v>1107</v>
      </c>
      <c r="D67" s="562"/>
      <c r="E67" s="562"/>
      <c r="F67" s="562"/>
      <c r="G67" s="562"/>
      <c r="H67" s="562"/>
      <c r="I67" s="452" t="s">
        <v>1273</v>
      </c>
      <c r="J67" s="363" t="s">
        <v>586</v>
      </c>
      <c r="K67" s="785">
        <v>50000</v>
      </c>
      <c r="L67" s="368"/>
      <c r="M67" s="361">
        <v>23000</v>
      </c>
      <c r="N67" s="365"/>
      <c r="O67" s="563"/>
    </row>
    <row r="68" spans="1:15" s="474" customFormat="1" ht="36" x14ac:dyDescent="0.35">
      <c r="A68" s="467">
        <v>7</v>
      </c>
      <c r="B68" s="468" t="s">
        <v>1108</v>
      </c>
      <c r="C68" s="469"/>
      <c r="D68" s="470"/>
      <c r="E68" s="470"/>
      <c r="F68" s="470"/>
      <c r="G68" s="470"/>
      <c r="H68" s="470"/>
      <c r="I68" s="471" t="s">
        <v>1342</v>
      </c>
      <c r="J68" s="472"/>
      <c r="K68" s="436">
        <f>K69+K70+K71</f>
        <v>26551599.059999999</v>
      </c>
      <c r="L68" s="448"/>
      <c r="M68" s="436">
        <f>M69+M70+M71</f>
        <v>1065343.3</v>
      </c>
      <c r="N68" s="470"/>
      <c r="O68" s="432" t="s">
        <v>151</v>
      </c>
    </row>
    <row r="69" spans="1:15" s="474" customFormat="1" ht="46.8" x14ac:dyDescent="0.3">
      <c r="A69" s="475"/>
      <c r="B69" s="423" t="s">
        <v>697</v>
      </c>
      <c r="C69" s="395" t="s">
        <v>1109</v>
      </c>
      <c r="D69" s="476"/>
      <c r="E69" s="476"/>
      <c r="F69" s="476"/>
      <c r="G69" s="476"/>
      <c r="H69" s="476"/>
      <c r="I69" s="477" t="s">
        <v>1262</v>
      </c>
      <c r="J69" s="371" t="s">
        <v>700</v>
      </c>
      <c r="K69" s="785">
        <v>2500000</v>
      </c>
      <c r="L69" s="368"/>
      <c r="M69" s="361">
        <f>1065343.3-1065343.3</f>
        <v>0</v>
      </c>
      <c r="N69" s="476"/>
      <c r="O69" s="1325"/>
    </row>
    <row r="70" spans="1:15" s="366" customFormat="1" ht="31.2" x14ac:dyDescent="0.3">
      <c r="A70" s="388"/>
      <c r="B70" s="459" t="s">
        <v>768</v>
      </c>
      <c r="C70" s="387" t="s">
        <v>1111</v>
      </c>
      <c r="D70" s="365"/>
      <c r="E70" s="365"/>
      <c r="F70" s="365"/>
      <c r="G70" s="365"/>
      <c r="H70" s="365"/>
      <c r="I70" s="452" t="s">
        <v>1289</v>
      </c>
      <c r="J70" s="363" t="s">
        <v>764</v>
      </c>
      <c r="K70" s="785">
        <v>1000000</v>
      </c>
      <c r="L70" s="368"/>
      <c r="M70" s="361"/>
      <c r="N70" s="365"/>
      <c r="O70" s="1326"/>
    </row>
    <row r="71" spans="1:15" s="366" customFormat="1" ht="46.8" x14ac:dyDescent="0.3">
      <c r="A71" s="388"/>
      <c r="B71" s="423" t="s">
        <v>1360</v>
      </c>
      <c r="C71" s="387" t="s">
        <v>1109</v>
      </c>
      <c r="D71" s="365"/>
      <c r="E71" s="365"/>
      <c r="F71" s="365"/>
      <c r="G71" s="365"/>
      <c r="H71" s="365"/>
      <c r="I71" s="452" t="s">
        <v>1359</v>
      </c>
      <c r="J71" s="363" t="s">
        <v>700</v>
      </c>
      <c r="K71" s="785">
        <f>18304436.83+5535587.23-788425</f>
        <v>23051599.059999999</v>
      </c>
      <c r="L71" s="368"/>
      <c r="M71" s="791">
        <v>1065343.3</v>
      </c>
      <c r="N71" s="365"/>
      <c r="O71" s="866"/>
    </row>
    <row r="72" spans="1:15" s="366" customFormat="1" ht="35.4" x14ac:dyDescent="0.35">
      <c r="A72" s="425">
        <v>8</v>
      </c>
      <c r="B72" s="437" t="s">
        <v>561</v>
      </c>
      <c r="C72" s="427"/>
      <c r="D72" s="428"/>
      <c r="E72" s="428"/>
      <c r="F72" s="428"/>
      <c r="G72" s="428"/>
      <c r="H72" s="428"/>
      <c r="I72" s="429" t="s">
        <v>1343</v>
      </c>
      <c r="J72" s="430"/>
      <c r="K72" s="438">
        <f>K73+K74+K75+K76+K77</f>
        <v>233880</v>
      </c>
      <c r="L72" s="428"/>
      <c r="M72" s="438">
        <f>M73+M74+M75+M76+M77</f>
        <v>6534</v>
      </c>
      <c r="N72" s="428"/>
      <c r="O72" s="432" t="s">
        <v>151</v>
      </c>
    </row>
    <row r="73" spans="1:15" s="366" customFormat="1" ht="31.2" x14ac:dyDescent="0.3">
      <c r="A73" s="388"/>
      <c r="B73" s="459" t="s">
        <v>684</v>
      </c>
      <c r="C73" s="387" t="s">
        <v>1114</v>
      </c>
      <c r="D73" s="365"/>
      <c r="E73" s="365"/>
      <c r="F73" s="365"/>
      <c r="G73" s="365"/>
      <c r="H73" s="365"/>
      <c r="I73" s="452" t="s">
        <v>1259</v>
      </c>
      <c r="J73" s="363" t="s">
        <v>528</v>
      </c>
      <c r="K73" s="785">
        <v>106000</v>
      </c>
      <c r="L73" s="368"/>
      <c r="M73" s="361"/>
      <c r="N73" s="365"/>
      <c r="O73" s="1325"/>
    </row>
    <row r="74" spans="1:15" s="366" customFormat="1" ht="62.4" x14ac:dyDescent="0.3">
      <c r="A74" s="388"/>
      <c r="B74" s="459" t="s">
        <v>687</v>
      </c>
      <c r="C74" s="387" t="s">
        <v>1114</v>
      </c>
      <c r="D74" s="365"/>
      <c r="E74" s="365"/>
      <c r="F74" s="365"/>
      <c r="G74" s="365"/>
      <c r="H74" s="365"/>
      <c r="I74" s="452" t="s">
        <v>1260</v>
      </c>
      <c r="J74" s="363" t="s">
        <v>528</v>
      </c>
      <c r="K74" s="785">
        <v>53000</v>
      </c>
      <c r="L74" s="368"/>
      <c r="M74" s="361"/>
      <c r="N74" s="365"/>
      <c r="O74" s="1432"/>
    </row>
    <row r="75" spans="1:15" s="366" customFormat="1" ht="31.2" x14ac:dyDescent="0.3">
      <c r="A75" s="388"/>
      <c r="B75" s="459" t="s">
        <v>690</v>
      </c>
      <c r="C75" s="881" t="s">
        <v>1114</v>
      </c>
      <c r="D75" s="482"/>
      <c r="E75" s="482"/>
      <c r="F75" s="482"/>
      <c r="G75" s="482"/>
      <c r="H75" s="482"/>
      <c r="I75" s="480" t="s">
        <v>1261</v>
      </c>
      <c r="J75" s="564" t="s">
        <v>586</v>
      </c>
      <c r="K75" s="577">
        <v>24000</v>
      </c>
      <c r="L75" s="368"/>
      <c r="M75" s="361">
        <v>6534</v>
      </c>
      <c r="N75" s="365"/>
      <c r="O75" s="1326"/>
    </row>
    <row r="76" spans="1:15" s="366" customFormat="1" ht="31.2" x14ac:dyDescent="0.3">
      <c r="A76" s="388"/>
      <c r="B76" s="565" t="s">
        <v>1171</v>
      </c>
      <c r="C76" s="387" t="s">
        <v>1172</v>
      </c>
      <c r="D76" s="365"/>
      <c r="E76" s="365"/>
      <c r="F76" s="365"/>
      <c r="G76" s="365"/>
      <c r="H76" s="365"/>
      <c r="I76" s="389" t="s">
        <v>1246</v>
      </c>
      <c r="J76" s="389" t="s">
        <v>528</v>
      </c>
      <c r="K76" s="786">
        <v>31800</v>
      </c>
      <c r="L76" s="368"/>
      <c r="M76" s="361"/>
      <c r="N76" s="365"/>
      <c r="O76" s="866"/>
    </row>
    <row r="77" spans="1:15" s="366" customFormat="1" ht="62.4" x14ac:dyDescent="0.3">
      <c r="A77" s="388"/>
      <c r="B77" s="565" t="s">
        <v>1173</v>
      </c>
      <c r="C77" s="387" t="s">
        <v>1172</v>
      </c>
      <c r="D77" s="365"/>
      <c r="E77" s="365"/>
      <c r="F77" s="365"/>
      <c r="G77" s="365"/>
      <c r="H77" s="365"/>
      <c r="I77" s="389" t="s">
        <v>1247</v>
      </c>
      <c r="J77" s="389" t="s">
        <v>528</v>
      </c>
      <c r="K77" s="786">
        <v>19080</v>
      </c>
      <c r="L77" s="368"/>
      <c r="M77" s="361"/>
      <c r="N77" s="365"/>
      <c r="O77" s="866"/>
    </row>
    <row r="78" spans="1:15" s="366" customFormat="1" ht="36" x14ac:dyDescent="0.35">
      <c r="A78" s="885">
        <v>9</v>
      </c>
      <c r="B78" s="566" t="s">
        <v>560</v>
      </c>
      <c r="C78" s="365"/>
      <c r="D78" s="365"/>
      <c r="E78" s="365"/>
      <c r="F78" s="365"/>
      <c r="G78" s="365"/>
      <c r="H78" s="365"/>
      <c r="I78" s="429" t="s">
        <v>1344</v>
      </c>
      <c r="J78" s="430"/>
      <c r="K78" s="436">
        <f>K79+K80+K81+K82+K83</f>
        <v>6439308.7000000002</v>
      </c>
      <c r="L78" s="368"/>
      <c r="M78" s="436">
        <f>M79+M80+M81+M82+M83</f>
        <v>1004526.0499999999</v>
      </c>
      <c r="N78" s="365"/>
      <c r="O78" s="432" t="s">
        <v>151</v>
      </c>
    </row>
    <row r="79" spans="1:15" s="366" customFormat="1" ht="18" x14ac:dyDescent="0.35">
      <c r="A79" s="885"/>
      <c r="B79" s="459" t="s">
        <v>787</v>
      </c>
      <c r="C79" s="387" t="s">
        <v>1116</v>
      </c>
      <c r="D79" s="365"/>
      <c r="E79" s="365"/>
      <c r="F79" s="365"/>
      <c r="G79" s="365"/>
      <c r="H79" s="365"/>
      <c r="I79" s="452" t="s">
        <v>1295</v>
      </c>
      <c r="J79" s="363" t="s">
        <v>586</v>
      </c>
      <c r="K79" s="785">
        <v>476999</v>
      </c>
      <c r="L79" s="368"/>
      <c r="M79" s="361">
        <f>10146.64+26907+37893.28+15554.98+10789.64+16346.64</f>
        <v>117638.18</v>
      </c>
      <c r="N79" s="365"/>
      <c r="O79" s="1325"/>
    </row>
    <row r="80" spans="1:15" s="366" customFormat="1" ht="15.6" x14ac:dyDescent="0.3">
      <c r="A80" s="388"/>
      <c r="B80" s="534" t="s">
        <v>781</v>
      </c>
      <c r="C80" s="387" t="s">
        <v>1115</v>
      </c>
      <c r="D80" s="365"/>
      <c r="E80" s="365"/>
      <c r="F80" s="365"/>
      <c r="G80" s="365"/>
      <c r="H80" s="365"/>
      <c r="I80" s="452" t="s">
        <v>1293</v>
      </c>
      <c r="J80" s="363" t="s">
        <v>586</v>
      </c>
      <c r="K80" s="785">
        <f>450000+928700</f>
        <v>1378700</v>
      </c>
      <c r="L80" s="368"/>
      <c r="M80" s="361">
        <v>635000.01</v>
      </c>
      <c r="N80" s="365"/>
      <c r="O80" s="1432"/>
    </row>
    <row r="81" spans="1:15" s="366" customFormat="1" ht="15.6" x14ac:dyDescent="0.3">
      <c r="A81" s="388"/>
      <c r="B81" s="459" t="s">
        <v>790</v>
      </c>
      <c r="C81" s="387" t="s">
        <v>1116</v>
      </c>
      <c r="D81" s="365"/>
      <c r="E81" s="365"/>
      <c r="F81" s="365"/>
      <c r="G81" s="365"/>
      <c r="H81" s="365"/>
      <c r="I81" s="452" t="s">
        <v>1296</v>
      </c>
      <c r="J81" s="363" t="s">
        <v>586</v>
      </c>
      <c r="K81" s="785">
        <v>529999</v>
      </c>
      <c r="L81" s="368"/>
      <c r="M81" s="361">
        <f>189150-107882+28785.7+126022.27+15811.89</f>
        <v>251887.86</v>
      </c>
      <c r="N81" s="365"/>
      <c r="O81" s="1432"/>
    </row>
    <row r="82" spans="1:15" s="366" customFormat="1" ht="31.2" x14ac:dyDescent="0.3">
      <c r="A82" s="388"/>
      <c r="B82" s="459" t="s">
        <v>784</v>
      </c>
      <c r="C82" s="387" t="s">
        <v>1115</v>
      </c>
      <c r="D82" s="365"/>
      <c r="E82" s="365"/>
      <c r="F82" s="365"/>
      <c r="G82" s="365"/>
      <c r="H82" s="365"/>
      <c r="I82" s="452" t="s">
        <v>1294</v>
      </c>
      <c r="J82" s="363" t="s">
        <v>586</v>
      </c>
      <c r="K82" s="785">
        <f>100000-50000</f>
        <v>50000</v>
      </c>
      <c r="L82" s="368"/>
      <c r="M82" s="361"/>
      <c r="N82" s="365"/>
      <c r="O82" s="1326"/>
    </row>
    <row r="83" spans="1:15" s="366" customFormat="1" ht="31.2" x14ac:dyDescent="0.3">
      <c r="A83" s="388"/>
      <c r="B83" s="521" t="s">
        <v>1297</v>
      </c>
      <c r="C83" s="387" t="s">
        <v>1116</v>
      </c>
      <c r="D83" s="365"/>
      <c r="E83" s="365"/>
      <c r="F83" s="365"/>
      <c r="G83" s="365"/>
      <c r="H83" s="365"/>
      <c r="I83" s="452" t="s">
        <v>1298</v>
      </c>
      <c r="J83" s="363" t="s">
        <v>700</v>
      </c>
      <c r="K83" s="457">
        <f>6000000-152000-1210622-633767.3</f>
        <v>4003610.7</v>
      </c>
      <c r="L83" s="368"/>
      <c r="M83" s="361"/>
      <c r="N83" s="365"/>
      <c r="O83" s="866"/>
    </row>
    <row r="84" spans="1:15" s="366" customFormat="1" ht="70.2" x14ac:dyDescent="0.35">
      <c r="A84" s="885">
        <v>10</v>
      </c>
      <c r="B84" s="447" t="s">
        <v>562</v>
      </c>
      <c r="C84" s="365"/>
      <c r="D84" s="365"/>
      <c r="E84" s="365"/>
      <c r="F84" s="365"/>
      <c r="G84" s="365"/>
      <c r="H84" s="365"/>
      <c r="I84" s="429" t="s">
        <v>1345</v>
      </c>
      <c r="J84" s="430"/>
      <c r="K84" s="436">
        <f>K85+K89+K91+K92+K94+K100+K103+K110+K112+K114+K113+K111+K115+K93+K109+K108+K90+K99</f>
        <v>80145067.74000001</v>
      </c>
      <c r="L84" s="368"/>
      <c r="M84" s="436">
        <f>M85+M89+M91+M92+M94+M100+M103+M110+M112+M114+M113+M111+M115+M93+M109+M108+M90+M99</f>
        <v>46566920.550000004</v>
      </c>
      <c r="N84" s="365"/>
      <c r="O84" s="432" t="s">
        <v>1135</v>
      </c>
    </row>
    <row r="85" spans="1:15" s="366" customFormat="1" ht="15.6" x14ac:dyDescent="0.3">
      <c r="A85" s="1428"/>
      <c r="B85" s="1346" t="s">
        <v>796</v>
      </c>
      <c r="C85" s="387" t="s">
        <v>1131</v>
      </c>
      <c r="D85" s="388"/>
      <c r="E85" s="388"/>
      <c r="F85" s="388"/>
      <c r="G85" s="388"/>
      <c r="H85" s="388"/>
      <c r="I85" s="389" t="s">
        <v>1299</v>
      </c>
      <c r="J85" s="363"/>
      <c r="K85" s="785">
        <f>K86+K87+K88</f>
        <v>10546860.609999999</v>
      </c>
      <c r="L85" s="368"/>
      <c r="M85" s="785">
        <f>M86+M87+M88</f>
        <v>5984195.9400000004</v>
      </c>
      <c r="N85" s="365"/>
      <c r="O85" s="1350" t="s">
        <v>1136</v>
      </c>
    </row>
    <row r="86" spans="1:15" s="366" customFormat="1" ht="15.6" x14ac:dyDescent="0.3">
      <c r="A86" s="1429"/>
      <c r="B86" s="1430"/>
      <c r="C86" s="887"/>
      <c r="D86" s="386"/>
      <c r="E86" s="386"/>
      <c r="F86" s="386"/>
      <c r="G86" s="386"/>
      <c r="H86" s="386"/>
      <c r="I86" s="888"/>
      <c r="J86" s="363" t="s">
        <v>162</v>
      </c>
      <c r="K86" s="785">
        <v>9687260.6099999994</v>
      </c>
      <c r="L86" s="368"/>
      <c r="M86" s="361">
        <f>524429.57+75+158298.21+536955.67+75+192902.57+568054.78+75+162342.28+648114.12+75+198805.22+573128.6+2476.7+169380.03+1012284.12+1094285.75</f>
        <v>5841757.6200000001</v>
      </c>
      <c r="N86" s="365"/>
      <c r="O86" s="1431"/>
    </row>
    <row r="87" spans="1:15" s="366" customFormat="1" ht="15.6" x14ac:dyDescent="0.3">
      <c r="A87" s="1429"/>
      <c r="B87" s="1430"/>
      <c r="C87" s="887"/>
      <c r="D87" s="362"/>
      <c r="E87" s="362"/>
      <c r="F87" s="362"/>
      <c r="G87" s="362"/>
      <c r="H87" s="362"/>
      <c r="I87" s="888"/>
      <c r="J87" s="363" t="s">
        <v>586</v>
      </c>
      <c r="K87" s="785">
        <v>847600</v>
      </c>
      <c r="L87" s="368"/>
      <c r="M87" s="361">
        <f>815.14+20591.29+30465.97+12189.2+28272.17+30034.85+19269.7</f>
        <v>141638.32</v>
      </c>
      <c r="N87" s="365"/>
      <c r="O87" s="1431"/>
    </row>
    <row r="88" spans="1:15" s="366" customFormat="1" ht="15.6" x14ac:dyDescent="0.3">
      <c r="A88" s="1345"/>
      <c r="B88" s="1299"/>
      <c r="C88" s="384"/>
      <c r="D88" s="362"/>
      <c r="E88" s="362"/>
      <c r="F88" s="362"/>
      <c r="G88" s="362"/>
      <c r="H88" s="362"/>
      <c r="I88" s="385"/>
      <c r="J88" s="363" t="s">
        <v>528</v>
      </c>
      <c r="K88" s="785">
        <v>12000</v>
      </c>
      <c r="L88" s="368"/>
      <c r="M88" s="361">
        <f>800</f>
        <v>800</v>
      </c>
      <c r="N88" s="365"/>
      <c r="O88" s="1431"/>
    </row>
    <row r="89" spans="1:15" s="366" customFormat="1" ht="78" x14ac:dyDescent="0.35">
      <c r="A89" s="885"/>
      <c r="B89" s="478" t="s">
        <v>810</v>
      </c>
      <c r="C89" s="387" t="s">
        <v>1133</v>
      </c>
      <c r="D89" s="365"/>
      <c r="E89" s="365"/>
      <c r="F89" s="365"/>
      <c r="G89" s="365"/>
      <c r="H89" s="365"/>
      <c r="I89" s="452" t="s">
        <v>1302</v>
      </c>
      <c r="J89" s="363" t="s">
        <v>813</v>
      </c>
      <c r="K89" s="785">
        <v>18000000</v>
      </c>
      <c r="L89" s="368"/>
      <c r="M89" s="361">
        <f>2126908+1469292+2403796+1499999+1499999+1499999</f>
        <v>10499993</v>
      </c>
      <c r="N89" s="365"/>
      <c r="O89" s="1431"/>
    </row>
    <row r="90" spans="1:15" s="366" customFormat="1" ht="62.4" x14ac:dyDescent="0.35">
      <c r="A90" s="885"/>
      <c r="B90" s="832" t="s">
        <v>1405</v>
      </c>
      <c r="C90" s="387" t="s">
        <v>1403</v>
      </c>
      <c r="D90" s="365"/>
      <c r="E90" s="365"/>
      <c r="F90" s="365"/>
      <c r="G90" s="365"/>
      <c r="H90" s="365"/>
      <c r="I90" s="452" t="s">
        <v>1404</v>
      </c>
      <c r="J90" s="363" t="s">
        <v>813</v>
      </c>
      <c r="K90" s="457">
        <v>150000</v>
      </c>
      <c r="L90" s="368"/>
      <c r="M90" s="361">
        <v>150000</v>
      </c>
      <c r="N90" s="365"/>
      <c r="O90" s="1431"/>
    </row>
    <row r="91" spans="1:15" s="366" customFormat="1" ht="31.2" x14ac:dyDescent="0.35">
      <c r="A91" s="885"/>
      <c r="B91" s="459" t="s">
        <v>805</v>
      </c>
      <c r="C91" s="387" t="s">
        <v>1132</v>
      </c>
      <c r="D91" s="365"/>
      <c r="E91" s="365"/>
      <c r="F91" s="365"/>
      <c r="G91" s="365"/>
      <c r="H91" s="365"/>
      <c r="I91" s="452" t="s">
        <v>1301</v>
      </c>
      <c r="J91" s="363" t="s">
        <v>808</v>
      </c>
      <c r="K91" s="785">
        <f>51963.84-51963.84</f>
        <v>0</v>
      </c>
      <c r="L91" s="368"/>
      <c r="M91" s="361"/>
      <c r="N91" s="365"/>
      <c r="O91" s="1431"/>
    </row>
    <row r="92" spans="1:15" s="366" customFormat="1" ht="18" x14ac:dyDescent="0.35">
      <c r="A92" s="889"/>
      <c r="B92" s="1297" t="s">
        <v>801</v>
      </c>
      <c r="C92" s="1372" t="s">
        <v>1131</v>
      </c>
      <c r="D92" s="890"/>
      <c r="E92" s="890"/>
      <c r="F92" s="890"/>
      <c r="G92" s="890"/>
      <c r="H92" s="890"/>
      <c r="I92" s="1295" t="s">
        <v>1300</v>
      </c>
      <c r="J92" s="363" t="s">
        <v>162</v>
      </c>
      <c r="K92" s="785">
        <f>600000+10000</f>
        <v>610000</v>
      </c>
      <c r="L92" s="368"/>
      <c r="M92" s="361">
        <f>30041.46+9072.51+32340.46+8828.94+38624.73+10544.55+33976.9+10661.72+35118.46+8201.31+38242.77+59610.06</f>
        <v>315263.87</v>
      </c>
      <c r="N92" s="365"/>
      <c r="O92" s="1352"/>
    </row>
    <row r="93" spans="1:15" s="366" customFormat="1" ht="18" x14ac:dyDescent="0.35">
      <c r="A93" s="494"/>
      <c r="B93" s="1299"/>
      <c r="C93" s="1348"/>
      <c r="D93" s="890"/>
      <c r="E93" s="890"/>
      <c r="F93" s="890"/>
      <c r="G93" s="890"/>
      <c r="H93" s="890"/>
      <c r="I93" s="1285"/>
      <c r="J93" s="363" t="s">
        <v>586</v>
      </c>
      <c r="K93" s="785"/>
      <c r="L93" s="368"/>
      <c r="M93" s="491"/>
      <c r="N93" s="365"/>
      <c r="O93" s="858"/>
    </row>
    <row r="94" spans="1:15" s="366" customFormat="1" ht="15.6" x14ac:dyDescent="0.3">
      <c r="A94" s="1428"/>
      <c r="B94" s="1297" t="s">
        <v>904</v>
      </c>
      <c r="C94" s="387" t="s">
        <v>1134</v>
      </c>
      <c r="D94" s="388"/>
      <c r="E94" s="388"/>
      <c r="F94" s="388"/>
      <c r="G94" s="388"/>
      <c r="H94" s="388"/>
      <c r="I94" s="389" t="s">
        <v>1328</v>
      </c>
      <c r="J94" s="363"/>
      <c r="K94" s="785">
        <f>K95+K96+K97</f>
        <v>5332603.96</v>
      </c>
      <c r="L94" s="368"/>
      <c r="M94" s="785">
        <f>M95+M96+M97</f>
        <v>3000686.96</v>
      </c>
      <c r="N94" s="365"/>
      <c r="O94" s="1288" t="s">
        <v>1097</v>
      </c>
    </row>
    <row r="95" spans="1:15" s="366" customFormat="1" ht="15.6" x14ac:dyDescent="0.3">
      <c r="A95" s="1429"/>
      <c r="B95" s="1430"/>
      <c r="C95" s="887"/>
      <c r="D95" s="386"/>
      <c r="E95" s="386"/>
      <c r="F95" s="386"/>
      <c r="G95" s="386"/>
      <c r="H95" s="386"/>
      <c r="I95" s="888"/>
      <c r="J95" s="363" t="s">
        <v>162</v>
      </c>
      <c r="K95" s="785">
        <v>5094348.96</v>
      </c>
      <c r="L95" s="368"/>
      <c r="M95" s="361">
        <f>267156.78+80681.33+323666.55+97747.31+286809.24+85408.41+372193.19+370.8+103763+293452.7+87623.72+368354.62+545951.71</f>
        <v>2913179.36</v>
      </c>
      <c r="N95" s="365"/>
      <c r="O95" s="1441"/>
    </row>
    <row r="96" spans="1:15" s="366" customFormat="1" ht="15.6" x14ac:dyDescent="0.3">
      <c r="A96" s="1429"/>
      <c r="B96" s="1430"/>
      <c r="C96" s="887"/>
      <c r="D96" s="362"/>
      <c r="E96" s="362"/>
      <c r="F96" s="362"/>
      <c r="G96" s="362"/>
      <c r="H96" s="362"/>
      <c r="I96" s="888"/>
      <c r="J96" s="363" t="s">
        <v>586</v>
      </c>
      <c r="K96" s="785">
        <f>237874-2000-1000</f>
        <v>234874</v>
      </c>
      <c r="L96" s="368"/>
      <c r="M96" s="361">
        <f>2490+14256+5500+20000+10000+32261.6</f>
        <v>84507.6</v>
      </c>
      <c r="N96" s="365"/>
      <c r="O96" s="1441"/>
    </row>
    <row r="97" spans="1:15" s="366" customFormat="1" ht="15.6" x14ac:dyDescent="0.3">
      <c r="A97" s="1345"/>
      <c r="B97" s="1299"/>
      <c r="C97" s="384"/>
      <c r="D97" s="362"/>
      <c r="E97" s="362"/>
      <c r="F97" s="362"/>
      <c r="G97" s="362"/>
      <c r="H97" s="362"/>
      <c r="I97" s="852"/>
      <c r="J97" s="363" t="s">
        <v>528</v>
      </c>
      <c r="K97" s="785">
        <f>381+2000+1000</f>
        <v>3381</v>
      </c>
      <c r="L97" s="368"/>
      <c r="M97" s="361">
        <f>2000+1000</f>
        <v>3000</v>
      </c>
      <c r="N97" s="365"/>
      <c r="O97" s="1290"/>
    </row>
    <row r="98" spans="1:15" s="366" customFormat="1" ht="18" x14ac:dyDescent="0.35">
      <c r="A98" s="891"/>
      <c r="B98" s="880"/>
      <c r="C98" s="850"/>
      <c r="D98" s="851"/>
      <c r="E98" s="851"/>
      <c r="F98" s="851"/>
      <c r="G98" s="851"/>
      <c r="H98" s="851"/>
      <c r="I98" s="852"/>
      <c r="J98" s="564"/>
      <c r="K98" s="577"/>
      <c r="L98" s="574"/>
      <c r="M98" s="491"/>
      <c r="N98" s="365"/>
      <c r="O98" s="856"/>
    </row>
    <row r="99" spans="1:15" s="366" customFormat="1" ht="31.2" x14ac:dyDescent="0.3">
      <c r="A99" s="1442"/>
      <c r="B99" s="1408" t="s">
        <v>909</v>
      </c>
      <c r="C99" s="855" t="s">
        <v>1411</v>
      </c>
      <c r="D99" s="362"/>
      <c r="E99" s="362"/>
      <c r="F99" s="362"/>
      <c r="G99" s="362"/>
      <c r="H99" s="362"/>
      <c r="I99" s="389" t="s">
        <v>1329</v>
      </c>
      <c r="J99" s="363" t="s">
        <v>586</v>
      </c>
      <c r="K99" s="843">
        <v>200000</v>
      </c>
      <c r="L99" s="368"/>
      <c r="M99" s="361"/>
      <c r="N99" s="365"/>
      <c r="O99" s="856" t="s">
        <v>151</v>
      </c>
    </row>
    <row r="100" spans="1:15" s="366" customFormat="1" ht="15.6" x14ac:dyDescent="0.3">
      <c r="A100" s="1442"/>
      <c r="B100" s="1408"/>
      <c r="C100" s="853" t="s">
        <v>1134</v>
      </c>
      <c r="D100" s="854"/>
      <c r="E100" s="854"/>
      <c r="F100" s="854"/>
      <c r="G100" s="854"/>
      <c r="H100" s="854"/>
      <c r="I100" s="882" t="s">
        <v>1329</v>
      </c>
      <c r="J100" s="662"/>
      <c r="K100" s="525">
        <f>K101+K102</f>
        <v>3591989.5300000003</v>
      </c>
      <c r="L100" s="841"/>
      <c r="M100" s="525">
        <f>M101+M102</f>
        <v>1283117.72</v>
      </c>
      <c r="N100" s="365"/>
      <c r="O100" s="1288" t="s">
        <v>1097</v>
      </c>
    </row>
    <row r="101" spans="1:15" s="366" customFormat="1" ht="15.6" x14ac:dyDescent="0.3">
      <c r="A101" s="1442"/>
      <c r="B101" s="1408"/>
      <c r="C101" s="1303"/>
      <c r="D101" s="482"/>
      <c r="E101" s="482"/>
      <c r="F101" s="482"/>
      <c r="G101" s="482"/>
      <c r="H101" s="482"/>
      <c r="I101" s="1305"/>
      <c r="J101" s="363" t="s">
        <v>586</v>
      </c>
      <c r="K101" s="650">
        <f>810750.26+771343.92+219062+1472707.35+300000</f>
        <v>3573863.5300000003</v>
      </c>
      <c r="L101" s="368"/>
      <c r="M101" s="361">
        <f>26103.04+260144.02+193989.2+163893.5+435030.02+144610.14+58497.8</f>
        <v>1282267.72</v>
      </c>
      <c r="N101" s="365"/>
      <c r="O101" s="1317"/>
    </row>
    <row r="102" spans="1:15" s="366" customFormat="1" ht="15.6" x14ac:dyDescent="0.3">
      <c r="A102" s="1442"/>
      <c r="B102" s="1408"/>
      <c r="C102" s="1304"/>
      <c r="D102" s="482"/>
      <c r="E102" s="482"/>
      <c r="F102" s="482"/>
      <c r="G102" s="482"/>
      <c r="H102" s="482"/>
      <c r="I102" s="1306"/>
      <c r="J102" s="363" t="s">
        <v>528</v>
      </c>
      <c r="K102" s="577">
        <v>18126</v>
      </c>
      <c r="L102" s="368"/>
      <c r="M102" s="361">
        <v>850</v>
      </c>
      <c r="N102" s="365"/>
      <c r="O102" s="1290"/>
    </row>
    <row r="103" spans="1:15" s="474" customFormat="1" ht="15.6" x14ac:dyDescent="0.3">
      <c r="A103" s="1433"/>
      <c r="B103" s="1434" t="s">
        <v>1230</v>
      </c>
      <c r="C103" s="395" t="s">
        <v>1093</v>
      </c>
      <c r="D103" s="475"/>
      <c r="E103" s="475"/>
      <c r="F103" s="475"/>
      <c r="G103" s="475"/>
      <c r="H103" s="475"/>
      <c r="I103" s="397" t="s">
        <v>1226</v>
      </c>
      <c r="J103" s="371"/>
      <c r="K103" s="577">
        <f>K104+K105+K106</f>
        <v>28501970.560000002</v>
      </c>
      <c r="L103" s="368"/>
      <c r="M103" s="577">
        <f>M104+M105+M106</f>
        <v>16365135.660000002</v>
      </c>
      <c r="N103" s="476"/>
      <c r="O103" s="1280" t="s">
        <v>151</v>
      </c>
    </row>
    <row r="104" spans="1:15" s="474" customFormat="1" ht="15.6" x14ac:dyDescent="0.3">
      <c r="A104" s="1433"/>
      <c r="B104" s="1434"/>
      <c r="C104" s="892"/>
      <c r="D104" s="517"/>
      <c r="E104" s="517"/>
      <c r="F104" s="517"/>
      <c r="G104" s="517"/>
      <c r="H104" s="517"/>
      <c r="I104" s="893"/>
      <c r="J104" s="371" t="s">
        <v>162</v>
      </c>
      <c r="K104" s="577">
        <f>24557419.37-365566-80593.54</f>
        <v>24111259.830000002</v>
      </c>
      <c r="L104" s="368"/>
      <c r="M104" s="361">
        <f>1217872.51+88843.54+627345.62+1042801.37+36724.5+434017.63+1452587.28+18150+467538.72+1868313.96+17423.5+199936.57+1685104.01-72964.54+667346.52+2026170.98+2707229</f>
        <v>14484441.170000002</v>
      </c>
      <c r="N104" s="476"/>
      <c r="O104" s="1435"/>
    </row>
    <row r="105" spans="1:15" s="474" customFormat="1" ht="15.6" x14ac:dyDescent="0.3">
      <c r="A105" s="1433"/>
      <c r="B105" s="1434"/>
      <c r="C105" s="892"/>
      <c r="D105" s="518"/>
      <c r="E105" s="518"/>
      <c r="F105" s="518"/>
      <c r="G105" s="518"/>
      <c r="H105" s="518"/>
      <c r="I105" s="893"/>
      <c r="J105" s="371" t="s">
        <v>586</v>
      </c>
      <c r="K105" s="577">
        <f>3678500+365566+80593.54</f>
        <v>4124659.54</v>
      </c>
      <c r="L105" s="368"/>
      <c r="M105" s="361">
        <f>101785.52+235044.2+480428.05+313585.37+311743.82+225066.21+183478.32</f>
        <v>1851131.4900000002</v>
      </c>
      <c r="N105" s="476"/>
      <c r="O105" s="1435"/>
    </row>
    <row r="106" spans="1:15" s="474" customFormat="1" ht="15.6" x14ac:dyDescent="0.3">
      <c r="A106" s="1359"/>
      <c r="B106" s="1362"/>
      <c r="C106" s="392"/>
      <c r="D106" s="518"/>
      <c r="E106" s="518"/>
      <c r="F106" s="518"/>
      <c r="G106" s="518"/>
      <c r="H106" s="518"/>
      <c r="I106" s="393"/>
      <c r="J106" s="371" t="s">
        <v>528</v>
      </c>
      <c r="K106" s="577">
        <v>266051.19</v>
      </c>
      <c r="L106" s="368"/>
      <c r="M106" s="361">
        <f>3197+6613+19753</f>
        <v>29563</v>
      </c>
      <c r="N106" s="476"/>
      <c r="O106" s="1435"/>
    </row>
    <row r="107" spans="1:15" s="474" customFormat="1" ht="15.6" x14ac:dyDescent="0.3">
      <c r="A107" s="1436"/>
      <c r="B107" s="1437" t="s">
        <v>1383</v>
      </c>
      <c r="C107" s="881" t="s">
        <v>1134</v>
      </c>
      <c r="D107" s="518"/>
      <c r="E107" s="518"/>
      <c r="F107" s="518"/>
      <c r="G107" s="518"/>
      <c r="H107" s="518"/>
      <c r="I107" s="1439" t="s">
        <v>1384</v>
      </c>
      <c r="J107" s="371" t="s">
        <v>586</v>
      </c>
      <c r="K107" s="650"/>
      <c r="L107" s="368"/>
      <c r="M107" s="361"/>
      <c r="N107" s="476"/>
      <c r="O107" s="1435"/>
    </row>
    <row r="108" spans="1:15" s="474" customFormat="1" ht="15.6" x14ac:dyDescent="0.3">
      <c r="A108" s="1359"/>
      <c r="B108" s="1438"/>
      <c r="C108" s="881" t="s">
        <v>1130</v>
      </c>
      <c r="D108" s="518"/>
      <c r="E108" s="518"/>
      <c r="F108" s="518"/>
      <c r="G108" s="518"/>
      <c r="H108" s="518"/>
      <c r="I108" s="1440"/>
      <c r="J108" s="371" t="s">
        <v>528</v>
      </c>
      <c r="K108" s="650">
        <f>494846.92+10000+100000</f>
        <v>604846.91999999993</v>
      </c>
      <c r="L108" s="368"/>
      <c r="M108" s="361">
        <f>6000+304037.52+120048.92</f>
        <v>430086.44</v>
      </c>
      <c r="N108" s="476"/>
      <c r="O108" s="1435"/>
    </row>
    <row r="109" spans="1:15" s="474" customFormat="1" ht="31.2" x14ac:dyDescent="0.3">
      <c r="A109" s="708"/>
      <c r="B109" s="709" t="s">
        <v>1353</v>
      </c>
      <c r="C109" s="395" t="s">
        <v>1093</v>
      </c>
      <c r="D109" s="475"/>
      <c r="E109" s="475"/>
      <c r="F109" s="475"/>
      <c r="G109" s="475"/>
      <c r="H109" s="475"/>
      <c r="I109" s="397" t="s">
        <v>1354</v>
      </c>
      <c r="J109" s="371" t="s">
        <v>528</v>
      </c>
      <c r="K109" s="577">
        <v>400000</v>
      </c>
      <c r="L109" s="368"/>
      <c r="M109" s="361">
        <v>320747.28000000003</v>
      </c>
      <c r="N109" s="476"/>
      <c r="O109" s="1435"/>
    </row>
    <row r="110" spans="1:15" s="366" customFormat="1" ht="46.8" x14ac:dyDescent="0.3">
      <c r="A110" s="388"/>
      <c r="B110" s="459" t="s">
        <v>610</v>
      </c>
      <c r="C110" s="387" t="s">
        <v>1130</v>
      </c>
      <c r="D110" s="365"/>
      <c r="E110" s="365"/>
      <c r="F110" s="365"/>
      <c r="G110" s="365"/>
      <c r="H110" s="365"/>
      <c r="I110" s="452" t="s">
        <v>1233</v>
      </c>
      <c r="J110" s="363" t="s">
        <v>613</v>
      </c>
      <c r="K110" s="785">
        <v>11822578.16</v>
      </c>
      <c r="L110" s="368"/>
      <c r="M110" s="361">
        <f>582207.78+1087559.96+1228848.09+1469746.84+1031323.13+1145567.72+1672440.16</f>
        <v>8217693.6799999997</v>
      </c>
      <c r="N110" s="365"/>
      <c r="O110" s="1435"/>
    </row>
    <row r="111" spans="1:15" s="366" customFormat="1" ht="15.6" x14ac:dyDescent="0.3">
      <c r="A111" s="388"/>
      <c r="B111" s="459" t="s">
        <v>1174</v>
      </c>
      <c r="C111" s="387" t="s">
        <v>1130</v>
      </c>
      <c r="D111" s="365"/>
      <c r="E111" s="365"/>
      <c r="F111" s="365"/>
      <c r="G111" s="365"/>
      <c r="H111" s="365"/>
      <c r="I111" s="452" t="s">
        <v>1175</v>
      </c>
      <c r="J111" s="363" t="s">
        <v>528</v>
      </c>
      <c r="K111" s="785"/>
      <c r="L111" s="368"/>
      <c r="M111" s="361"/>
      <c r="N111" s="365"/>
      <c r="O111" s="1435"/>
    </row>
    <row r="112" spans="1:15" s="474" customFormat="1" ht="15.6" x14ac:dyDescent="0.3">
      <c r="A112" s="475"/>
      <c r="B112" s="423" t="s">
        <v>604</v>
      </c>
      <c r="C112" s="395" t="s">
        <v>1129</v>
      </c>
      <c r="D112" s="476"/>
      <c r="E112" s="476"/>
      <c r="F112" s="476"/>
      <c r="G112" s="476"/>
      <c r="H112" s="476"/>
      <c r="I112" s="477" t="s">
        <v>1229</v>
      </c>
      <c r="J112" s="371" t="s">
        <v>528</v>
      </c>
      <c r="K112" s="785">
        <v>334218</v>
      </c>
      <c r="L112" s="368"/>
      <c r="M112" s="361"/>
      <c r="N112" s="476"/>
      <c r="O112" s="1435"/>
    </row>
    <row r="113" spans="1:15" s="366" customFormat="1" ht="31.2" x14ac:dyDescent="0.3">
      <c r="A113" s="388"/>
      <c r="B113" s="459" t="s">
        <v>771</v>
      </c>
      <c r="C113" s="387" t="s">
        <v>1111</v>
      </c>
      <c r="D113" s="365"/>
      <c r="E113" s="365"/>
      <c r="F113" s="365"/>
      <c r="G113" s="365"/>
      <c r="H113" s="365"/>
      <c r="I113" s="452" t="s">
        <v>1290</v>
      </c>
      <c r="J113" s="363" t="s">
        <v>586</v>
      </c>
      <c r="K113" s="785">
        <v>50000</v>
      </c>
      <c r="L113" s="368"/>
      <c r="M113" s="361"/>
      <c r="N113" s="365"/>
      <c r="O113" s="1435"/>
    </row>
    <row r="114" spans="1:15" s="366" customFormat="1" ht="62.4" x14ac:dyDescent="0.3">
      <c r="A114" s="388"/>
      <c r="B114" s="483" t="s">
        <v>1187</v>
      </c>
      <c r="C114" s="387" t="s">
        <v>1161</v>
      </c>
      <c r="D114" s="365"/>
      <c r="E114" s="365"/>
      <c r="F114" s="365"/>
      <c r="G114" s="365"/>
      <c r="H114" s="365"/>
      <c r="I114" s="452" t="s">
        <v>1162</v>
      </c>
      <c r="J114" s="363" t="s">
        <v>528</v>
      </c>
      <c r="K114" s="577"/>
      <c r="L114" s="368"/>
      <c r="M114" s="361"/>
      <c r="N114" s="365"/>
      <c r="O114" s="1283"/>
    </row>
    <row r="115" spans="1:15" s="366" customFormat="1" ht="62.4" x14ac:dyDescent="0.3">
      <c r="A115" s="388"/>
      <c r="B115" s="423" t="s">
        <v>1188</v>
      </c>
      <c r="C115" s="387" t="s">
        <v>1185</v>
      </c>
      <c r="D115" s="365"/>
      <c r="E115" s="365"/>
      <c r="F115" s="365"/>
      <c r="G115" s="365"/>
      <c r="H115" s="365"/>
      <c r="I115" s="484" t="s">
        <v>1186</v>
      </c>
      <c r="J115" s="389" t="s">
        <v>528</v>
      </c>
      <c r="K115" s="786"/>
      <c r="L115" s="368"/>
      <c r="M115" s="486"/>
      <c r="N115" s="365"/>
      <c r="O115" s="870" t="s">
        <v>968</v>
      </c>
    </row>
    <row r="116" spans="1:15" s="366" customFormat="1" ht="72" x14ac:dyDescent="0.35">
      <c r="A116" s="425">
        <v>11</v>
      </c>
      <c r="B116" s="435" t="s">
        <v>563</v>
      </c>
      <c r="C116" s="428"/>
      <c r="D116" s="428"/>
      <c r="E116" s="428"/>
      <c r="F116" s="428"/>
      <c r="G116" s="428"/>
      <c r="H116" s="428"/>
      <c r="I116" s="429" t="s">
        <v>1346</v>
      </c>
      <c r="J116" s="430"/>
      <c r="K116" s="436">
        <f>K117+K118+K119+K120+K121+K122+K124+K125+K123</f>
        <v>5308249.99</v>
      </c>
      <c r="L116" s="428"/>
      <c r="M116" s="436">
        <f>M117+M118+M119+M120+M121+M122+M124+M125+M123</f>
        <v>1240969.8799999999</v>
      </c>
      <c r="N116" s="428"/>
      <c r="O116" s="432" t="s">
        <v>1147</v>
      </c>
    </row>
    <row r="117" spans="1:15" s="366" customFormat="1" ht="46.8" x14ac:dyDescent="0.35">
      <c r="A117" s="425"/>
      <c r="B117" s="459" t="s">
        <v>618</v>
      </c>
      <c r="C117" s="387" t="s">
        <v>1137</v>
      </c>
      <c r="D117" s="428"/>
      <c r="E117" s="428"/>
      <c r="F117" s="428"/>
      <c r="G117" s="428"/>
      <c r="H117" s="428"/>
      <c r="I117" s="452" t="s">
        <v>1235</v>
      </c>
      <c r="J117" s="363" t="s">
        <v>586</v>
      </c>
      <c r="K117" s="785">
        <f>515000-250000</f>
        <v>265000</v>
      </c>
      <c r="L117" s="428"/>
      <c r="M117" s="487">
        <f>30000-25141+5000</f>
        <v>9859</v>
      </c>
      <c r="N117" s="428"/>
      <c r="O117" s="1288" t="s">
        <v>151</v>
      </c>
    </row>
    <row r="118" spans="1:15" s="366" customFormat="1" ht="18" x14ac:dyDescent="0.35">
      <c r="A118" s="425"/>
      <c r="B118" s="459" t="s">
        <v>621</v>
      </c>
      <c r="C118" s="387" t="s">
        <v>1137</v>
      </c>
      <c r="D118" s="428"/>
      <c r="E118" s="428"/>
      <c r="F118" s="428"/>
      <c r="G118" s="428"/>
      <c r="H118" s="428"/>
      <c r="I118" s="452" t="s">
        <v>1236</v>
      </c>
      <c r="J118" s="363" t="s">
        <v>586</v>
      </c>
      <c r="K118" s="785">
        <f>212500+250000</f>
        <v>462500</v>
      </c>
      <c r="L118" s="428"/>
      <c r="M118" s="487">
        <v>20531.04</v>
      </c>
      <c r="N118" s="428"/>
      <c r="O118" s="1454"/>
    </row>
    <row r="119" spans="1:15" s="366" customFormat="1" ht="31.2" x14ac:dyDescent="0.35">
      <c r="A119" s="425"/>
      <c r="B119" s="459" t="s">
        <v>731</v>
      </c>
      <c r="C119" s="387" t="s">
        <v>1107</v>
      </c>
      <c r="D119" s="428"/>
      <c r="E119" s="428"/>
      <c r="F119" s="428"/>
      <c r="G119" s="428"/>
      <c r="H119" s="428"/>
      <c r="I119" s="452" t="s">
        <v>1274</v>
      </c>
      <c r="J119" s="363" t="s">
        <v>586</v>
      </c>
      <c r="K119" s="785">
        <v>50000</v>
      </c>
      <c r="L119" s="428"/>
      <c r="M119" s="487"/>
      <c r="N119" s="428"/>
      <c r="O119" s="1454"/>
    </row>
    <row r="120" spans="1:15" s="515" customFormat="1" ht="31.2" x14ac:dyDescent="0.35">
      <c r="A120" s="567"/>
      <c r="B120" s="423" t="s">
        <v>736</v>
      </c>
      <c r="C120" s="395" t="s">
        <v>1107</v>
      </c>
      <c r="D120" s="568"/>
      <c r="E120" s="568"/>
      <c r="F120" s="568"/>
      <c r="G120" s="568"/>
      <c r="H120" s="568"/>
      <c r="I120" s="477" t="s">
        <v>1275</v>
      </c>
      <c r="J120" s="371" t="s">
        <v>586</v>
      </c>
      <c r="K120" s="785">
        <v>53000</v>
      </c>
      <c r="L120" s="428"/>
      <c r="M120" s="487"/>
      <c r="N120" s="570"/>
      <c r="O120" s="1290"/>
    </row>
    <row r="121" spans="1:15" s="366" customFormat="1" ht="31.2" x14ac:dyDescent="0.35">
      <c r="A121" s="425"/>
      <c r="B121" s="459" t="s">
        <v>834</v>
      </c>
      <c r="C121" s="387" t="s">
        <v>1105</v>
      </c>
      <c r="D121" s="428"/>
      <c r="E121" s="428"/>
      <c r="F121" s="428"/>
      <c r="G121" s="428"/>
      <c r="H121" s="428"/>
      <c r="I121" s="452" t="s">
        <v>1308</v>
      </c>
      <c r="J121" s="363" t="s">
        <v>613</v>
      </c>
      <c r="K121" s="785">
        <v>1650000</v>
      </c>
      <c r="L121" s="428"/>
      <c r="M121" s="487"/>
      <c r="N121" s="428"/>
      <c r="O121" s="1291" t="s">
        <v>968</v>
      </c>
    </row>
    <row r="122" spans="1:15" s="366" customFormat="1" ht="18" x14ac:dyDescent="0.35">
      <c r="A122" s="425"/>
      <c r="B122" s="1293" t="s">
        <v>831</v>
      </c>
      <c r="C122" s="387" t="s">
        <v>1105</v>
      </c>
      <c r="D122" s="428"/>
      <c r="E122" s="428"/>
      <c r="F122" s="428"/>
      <c r="G122" s="428"/>
      <c r="H122" s="428"/>
      <c r="I122" s="1295" t="s">
        <v>1307</v>
      </c>
      <c r="J122" s="363" t="s">
        <v>613</v>
      </c>
      <c r="K122" s="785">
        <v>300000</v>
      </c>
      <c r="L122" s="428"/>
      <c r="M122" s="487"/>
      <c r="N122" s="428"/>
      <c r="O122" s="1292"/>
    </row>
    <row r="123" spans="1:15" s="366" customFormat="1" ht="18" x14ac:dyDescent="0.35">
      <c r="A123" s="425"/>
      <c r="B123" s="1294"/>
      <c r="C123" s="387" t="s">
        <v>1142</v>
      </c>
      <c r="D123" s="428"/>
      <c r="E123" s="428"/>
      <c r="F123" s="428"/>
      <c r="G123" s="428"/>
      <c r="H123" s="428"/>
      <c r="I123" s="1296"/>
      <c r="J123" s="363" t="s">
        <v>613</v>
      </c>
      <c r="K123" s="577"/>
      <c r="L123" s="428"/>
      <c r="M123" s="487"/>
      <c r="N123" s="428"/>
      <c r="O123" s="879"/>
    </row>
    <row r="124" spans="1:15" s="366" customFormat="1" ht="31.2" x14ac:dyDescent="0.35">
      <c r="A124" s="425"/>
      <c r="B124" s="459" t="s">
        <v>912</v>
      </c>
      <c r="C124" s="387" t="s">
        <v>1138</v>
      </c>
      <c r="D124" s="428"/>
      <c r="E124" s="428"/>
      <c r="F124" s="428"/>
      <c r="G124" s="428"/>
      <c r="H124" s="428"/>
      <c r="I124" s="452" t="s">
        <v>1330</v>
      </c>
      <c r="J124" s="363" t="s">
        <v>613</v>
      </c>
      <c r="K124" s="577">
        <v>2497749.9900000002</v>
      </c>
      <c r="L124" s="428"/>
      <c r="M124" s="487">
        <f>156868.34+144625.25+188115.22+194249.18+207874.54+133937.95+184909.36</f>
        <v>1210579.8399999999</v>
      </c>
      <c r="N124" s="428"/>
      <c r="O124" s="495" t="s">
        <v>1097</v>
      </c>
    </row>
    <row r="125" spans="1:15" s="366" customFormat="1" ht="46.8" x14ac:dyDescent="0.35">
      <c r="A125" s="425"/>
      <c r="B125" s="521" t="s">
        <v>1198</v>
      </c>
      <c r="C125" s="387" t="s">
        <v>1107</v>
      </c>
      <c r="D125" s="428"/>
      <c r="E125" s="428"/>
      <c r="F125" s="428"/>
      <c r="G125" s="428"/>
      <c r="H125" s="428"/>
      <c r="I125" s="484" t="s">
        <v>1276</v>
      </c>
      <c r="J125" s="389" t="s">
        <v>586</v>
      </c>
      <c r="K125" s="786">
        <v>30000</v>
      </c>
      <c r="L125" s="428"/>
      <c r="M125" s="533"/>
      <c r="N125" s="428"/>
      <c r="O125" s="495"/>
    </row>
    <row r="126" spans="1:15" s="366" customFormat="1" ht="52.8" x14ac:dyDescent="0.35">
      <c r="A126" s="425">
        <v>12</v>
      </c>
      <c r="B126" s="435" t="s">
        <v>558</v>
      </c>
      <c r="C126" s="428"/>
      <c r="D126" s="428"/>
      <c r="E126" s="428"/>
      <c r="F126" s="428"/>
      <c r="G126" s="428"/>
      <c r="H126" s="428"/>
      <c r="I126" s="429" t="s">
        <v>1347</v>
      </c>
      <c r="J126" s="430"/>
      <c r="K126" s="436">
        <f>K127+K128+K129+K130+K131+K132+K133+K134+K135+K136+K137+K140+K141+K142+K143+K147+K151+K139+K138</f>
        <v>207066970.47000003</v>
      </c>
      <c r="L126" s="428"/>
      <c r="M126" s="436">
        <f>M127+M128+M129+M130+M131+M132+M133+M134+M135+M136+M137+M140+M141+M142+M143+M147+M151+M139+M138</f>
        <v>102630212.05</v>
      </c>
      <c r="N126" s="428"/>
      <c r="O126" s="432" t="s">
        <v>1147</v>
      </c>
    </row>
    <row r="127" spans="1:15" s="366" customFormat="1" ht="18" x14ac:dyDescent="0.35">
      <c r="A127" s="425"/>
      <c r="B127" s="423" t="s">
        <v>1153</v>
      </c>
      <c r="C127" s="387" t="s">
        <v>1139</v>
      </c>
      <c r="D127" s="428"/>
      <c r="E127" s="428"/>
      <c r="F127" s="428"/>
      <c r="G127" s="428"/>
      <c r="H127" s="428"/>
      <c r="I127" s="452" t="s">
        <v>818</v>
      </c>
      <c r="J127" s="363" t="s">
        <v>586</v>
      </c>
      <c r="K127" s="785">
        <v>0</v>
      </c>
      <c r="L127" s="428"/>
      <c r="M127" s="487"/>
      <c r="N127" s="428"/>
      <c r="O127" s="1288" t="s">
        <v>151</v>
      </c>
    </row>
    <row r="128" spans="1:15" s="366" customFormat="1" ht="18" x14ac:dyDescent="0.35">
      <c r="A128" s="425"/>
      <c r="B128" s="459" t="s">
        <v>725</v>
      </c>
      <c r="C128" s="387" t="s">
        <v>1140</v>
      </c>
      <c r="D128" s="428"/>
      <c r="E128" s="428"/>
      <c r="F128" s="428"/>
      <c r="G128" s="428"/>
      <c r="H128" s="428"/>
      <c r="I128" s="452" t="s">
        <v>1272</v>
      </c>
      <c r="J128" s="363" t="s">
        <v>586</v>
      </c>
      <c r="K128" s="785">
        <v>8000000</v>
      </c>
      <c r="L128" s="428"/>
      <c r="M128" s="487"/>
      <c r="N128" s="428"/>
      <c r="O128" s="1454"/>
    </row>
    <row r="129" spans="1:15" s="366" customFormat="1" ht="31.2" x14ac:dyDescent="0.35">
      <c r="A129" s="425"/>
      <c r="B129" s="459" t="s">
        <v>1278</v>
      </c>
      <c r="C129" s="387" t="s">
        <v>1107</v>
      </c>
      <c r="D129" s="428"/>
      <c r="E129" s="428"/>
      <c r="F129" s="428"/>
      <c r="G129" s="428"/>
      <c r="H129" s="428"/>
      <c r="I129" s="452" t="s">
        <v>1277</v>
      </c>
      <c r="J129" s="363" t="s">
        <v>586</v>
      </c>
      <c r="K129" s="464">
        <f>114734.4+167128.87+82871.13</f>
        <v>364734.4</v>
      </c>
      <c r="L129" s="428"/>
      <c r="M129" s="487">
        <f>1100+10234+53656.71+9000+36200+22007.39</f>
        <v>132198.09999999998</v>
      </c>
      <c r="N129" s="428"/>
      <c r="O129" s="1290"/>
    </row>
    <row r="130" spans="1:15" s="366" customFormat="1" ht="31.2" x14ac:dyDescent="0.35">
      <c r="A130" s="425"/>
      <c r="B130" s="459" t="s">
        <v>915</v>
      </c>
      <c r="C130" s="387" t="s">
        <v>1146</v>
      </c>
      <c r="D130" s="428"/>
      <c r="E130" s="428"/>
      <c r="F130" s="428"/>
      <c r="G130" s="428"/>
      <c r="H130" s="428"/>
      <c r="I130" s="452" t="s">
        <v>1331</v>
      </c>
      <c r="J130" s="363" t="s">
        <v>613</v>
      </c>
      <c r="K130" s="785">
        <v>7636834.5599999996</v>
      </c>
      <c r="L130" s="428"/>
      <c r="M130" s="487">
        <f>363230.85+492151.88+489303.4+384974.99+579918.09+351555.26+109310.48</f>
        <v>2770444.9499999997</v>
      </c>
      <c r="N130" s="428"/>
      <c r="O130" s="867" t="s">
        <v>1097</v>
      </c>
    </row>
    <row r="131" spans="1:15" s="366" customFormat="1" ht="18" x14ac:dyDescent="0.35">
      <c r="A131" s="425"/>
      <c r="B131" s="459" t="s">
        <v>817</v>
      </c>
      <c r="C131" s="387" t="s">
        <v>1142</v>
      </c>
      <c r="D131" s="428"/>
      <c r="E131" s="428"/>
      <c r="F131" s="428"/>
      <c r="G131" s="428"/>
      <c r="H131" s="428"/>
      <c r="I131" s="452" t="s">
        <v>1304</v>
      </c>
      <c r="J131" s="363" t="s">
        <v>613</v>
      </c>
      <c r="K131" s="457">
        <v>3282185.35</v>
      </c>
      <c r="L131" s="428"/>
      <c r="M131" s="569">
        <f>585817.49+80129.95+50000+99000+28788+34320+428496.66+658353.26</f>
        <v>1964905.3599999999</v>
      </c>
      <c r="N131" s="428"/>
      <c r="O131" s="1288" t="s">
        <v>968</v>
      </c>
    </row>
    <row r="132" spans="1:15" s="366" customFormat="1" ht="31.2" x14ac:dyDescent="0.35">
      <c r="A132" s="425"/>
      <c r="B132" s="459" t="s">
        <v>814</v>
      </c>
      <c r="C132" s="387" t="s">
        <v>1142</v>
      </c>
      <c r="D132" s="428"/>
      <c r="E132" s="428"/>
      <c r="F132" s="428"/>
      <c r="G132" s="428"/>
      <c r="H132" s="428"/>
      <c r="I132" s="452" t="s">
        <v>1303</v>
      </c>
      <c r="J132" s="363" t="s">
        <v>613</v>
      </c>
      <c r="K132" s="785">
        <f>34085991.49+3149000+14433000+1500000-1500000</f>
        <v>51667991.490000002</v>
      </c>
      <c r="L132" s="428"/>
      <c r="M132" s="487">
        <f>2356160.12+452255.67+3660357.99+873532.27+21680+65980+4123273.33+883777.74+3586455.13+32990+710340.32+10840+3262742.11+26482.5+604256.74+10840+3477644.88+3290226.26</f>
        <v>27449835.059999995</v>
      </c>
      <c r="N132" s="428"/>
      <c r="O132" s="1454"/>
    </row>
    <row r="133" spans="1:15" s="366" customFormat="1" ht="31.2" x14ac:dyDescent="0.35">
      <c r="A133" s="425"/>
      <c r="B133" s="459" t="s">
        <v>837</v>
      </c>
      <c r="C133" s="387" t="s">
        <v>1105</v>
      </c>
      <c r="D133" s="428"/>
      <c r="E133" s="428"/>
      <c r="F133" s="428"/>
      <c r="G133" s="428"/>
      <c r="H133" s="428"/>
      <c r="I133" s="452" t="s">
        <v>1309</v>
      </c>
      <c r="J133" s="363" t="s">
        <v>613</v>
      </c>
      <c r="K133" s="785">
        <f>95155748.66+5078000-14769460.99-500000+500000</f>
        <v>85464287.670000002</v>
      </c>
      <c r="L133" s="428"/>
      <c r="M133" s="487">
        <f>4290134.18+215001.81+6724002.5+346703.2+245656.77+23755+8882268.11+288534.14+6866405.26+180487+233607.5+11877.5+5549070.62+172487+196307.64+11877.5+4720390.26+4403226.67</f>
        <v>43361792.659999996</v>
      </c>
      <c r="N133" s="428"/>
      <c r="O133" s="1454"/>
    </row>
    <row r="134" spans="1:15" s="366" customFormat="1" ht="31.2" x14ac:dyDescent="0.35">
      <c r="A134" s="425"/>
      <c r="B134" s="459" t="s">
        <v>840</v>
      </c>
      <c r="C134" s="387" t="s">
        <v>1105</v>
      </c>
      <c r="D134" s="428"/>
      <c r="E134" s="428"/>
      <c r="F134" s="428"/>
      <c r="G134" s="428"/>
      <c r="H134" s="428"/>
      <c r="I134" s="452" t="s">
        <v>1310</v>
      </c>
      <c r="J134" s="363" t="s">
        <v>613</v>
      </c>
      <c r="K134" s="464">
        <f>6355514.52+25000-1001029.83</f>
        <v>5379484.6899999995</v>
      </c>
      <c r="L134" s="428"/>
      <c r="M134" s="487">
        <f>588256.75+563774.2+525742.9+562037.94+1160756.67+98257.09+266848.78</f>
        <v>3765674.33</v>
      </c>
      <c r="N134" s="428"/>
      <c r="O134" s="1454"/>
    </row>
    <row r="135" spans="1:15" s="366" customFormat="1" ht="18" x14ac:dyDescent="0.35">
      <c r="A135" s="425"/>
      <c r="B135" s="459" t="s">
        <v>725</v>
      </c>
      <c r="C135" s="387" t="s">
        <v>1105</v>
      </c>
      <c r="D135" s="428"/>
      <c r="E135" s="428"/>
      <c r="F135" s="428"/>
      <c r="G135" s="428"/>
      <c r="H135" s="428"/>
      <c r="I135" s="452" t="s">
        <v>1272</v>
      </c>
      <c r="J135" s="363" t="s">
        <v>613</v>
      </c>
      <c r="K135" s="457">
        <f>17174500+1467814.65-500000-1500000</f>
        <v>16642314.649999999</v>
      </c>
      <c r="L135" s="428"/>
      <c r="M135" s="487">
        <f>2307366.72+54716.15+53834+411162.21+250477+1245413.01+1771690.14</f>
        <v>6094659.2299999995</v>
      </c>
      <c r="N135" s="428"/>
      <c r="O135" s="1454"/>
    </row>
    <row r="136" spans="1:15" s="366" customFormat="1" ht="15.6" x14ac:dyDescent="0.3">
      <c r="A136" s="388"/>
      <c r="B136" s="459" t="s">
        <v>844</v>
      </c>
      <c r="C136" s="387" t="s">
        <v>1105</v>
      </c>
      <c r="D136" s="365"/>
      <c r="E136" s="365"/>
      <c r="F136" s="365"/>
      <c r="G136" s="365"/>
      <c r="H136" s="365"/>
      <c r="I136" s="452" t="s">
        <v>1311</v>
      </c>
      <c r="J136" s="363" t="s">
        <v>613</v>
      </c>
      <c r="K136" s="785">
        <v>483000</v>
      </c>
      <c r="L136" s="368"/>
      <c r="M136" s="487">
        <f>36608.7+1260.6</f>
        <v>37869.299999999996</v>
      </c>
      <c r="N136" s="365"/>
      <c r="O136" s="1454"/>
    </row>
    <row r="137" spans="1:15" s="366" customFormat="1" ht="46.8" x14ac:dyDescent="0.3">
      <c r="A137" s="388"/>
      <c r="B137" s="459" t="s">
        <v>847</v>
      </c>
      <c r="C137" s="387" t="s">
        <v>1105</v>
      </c>
      <c r="D137" s="365"/>
      <c r="E137" s="365"/>
      <c r="F137" s="365"/>
      <c r="G137" s="365"/>
      <c r="H137" s="365"/>
      <c r="I137" s="452" t="s">
        <v>1312</v>
      </c>
      <c r="J137" s="363" t="s">
        <v>613</v>
      </c>
      <c r="K137" s="785">
        <v>50000</v>
      </c>
      <c r="L137" s="368"/>
      <c r="M137" s="487"/>
      <c r="N137" s="365"/>
      <c r="O137" s="1454"/>
    </row>
    <row r="138" spans="1:15" s="366" customFormat="1" ht="15.6" x14ac:dyDescent="0.3">
      <c r="A138" s="1443"/>
      <c r="B138" s="1297" t="s">
        <v>864</v>
      </c>
      <c r="C138" s="1303" t="s">
        <v>1143</v>
      </c>
      <c r="D138" s="365"/>
      <c r="E138" s="365"/>
      <c r="F138" s="365"/>
      <c r="G138" s="365"/>
      <c r="H138" s="365"/>
      <c r="I138" s="1355" t="s">
        <v>1317</v>
      </c>
      <c r="J138" s="363" t="s">
        <v>586</v>
      </c>
      <c r="K138" s="457">
        <v>100000</v>
      </c>
      <c r="L138" s="368"/>
      <c r="M138" s="487">
        <f>24500+7000</f>
        <v>31500</v>
      </c>
      <c r="N138" s="365"/>
      <c r="O138" s="1454"/>
    </row>
    <row r="139" spans="1:15" s="366" customFormat="1" ht="15.6" x14ac:dyDescent="0.3">
      <c r="A139" s="1444"/>
      <c r="B139" s="1445"/>
      <c r="C139" s="1446"/>
      <c r="D139" s="365"/>
      <c r="E139" s="365"/>
      <c r="F139" s="365"/>
      <c r="G139" s="365"/>
      <c r="H139" s="365"/>
      <c r="I139" s="1447"/>
      <c r="J139" s="363" t="s">
        <v>764</v>
      </c>
      <c r="K139" s="785"/>
      <c r="L139" s="368"/>
      <c r="M139" s="487"/>
      <c r="N139" s="365"/>
      <c r="O139" s="1317"/>
    </row>
    <row r="140" spans="1:15" s="366" customFormat="1" ht="15.6" x14ac:dyDescent="0.3">
      <c r="A140" s="1308"/>
      <c r="B140" s="1299"/>
      <c r="C140" s="1304"/>
      <c r="D140" s="365"/>
      <c r="E140" s="365"/>
      <c r="F140" s="365"/>
      <c r="G140" s="365"/>
      <c r="H140" s="365"/>
      <c r="I140" s="1356"/>
      <c r="J140" s="363" t="s">
        <v>613</v>
      </c>
      <c r="K140" s="785">
        <f>1900000+500000</f>
        <v>2400000</v>
      </c>
      <c r="L140" s="368"/>
      <c r="M140" s="487">
        <f>405934.4+14760+30982.8+707149.6+842145.33</f>
        <v>2000972.13</v>
      </c>
      <c r="N140" s="365"/>
      <c r="O140" s="1317"/>
    </row>
    <row r="141" spans="1:15" s="366" customFormat="1" ht="31.2" x14ac:dyDescent="0.3">
      <c r="A141" s="388"/>
      <c r="B141" s="459" t="s">
        <v>867</v>
      </c>
      <c r="C141" s="387" t="s">
        <v>1143</v>
      </c>
      <c r="D141" s="365"/>
      <c r="E141" s="365"/>
      <c r="F141" s="365"/>
      <c r="G141" s="365"/>
      <c r="H141" s="365"/>
      <c r="I141" s="452" t="s">
        <v>1318</v>
      </c>
      <c r="J141" s="363" t="s">
        <v>613</v>
      </c>
      <c r="K141" s="457">
        <f>100000-100000</f>
        <v>0</v>
      </c>
      <c r="L141" s="368"/>
      <c r="M141" s="487"/>
      <c r="N141" s="365"/>
      <c r="O141" s="1317"/>
    </row>
    <row r="142" spans="1:15" s="366" customFormat="1" ht="15.6" x14ac:dyDescent="0.3">
      <c r="A142" s="388"/>
      <c r="B142" s="459" t="s">
        <v>870</v>
      </c>
      <c r="C142" s="881" t="s">
        <v>1143</v>
      </c>
      <c r="D142" s="482"/>
      <c r="E142" s="482"/>
      <c r="F142" s="482"/>
      <c r="G142" s="482"/>
      <c r="H142" s="482"/>
      <c r="I142" s="480" t="s">
        <v>871</v>
      </c>
      <c r="J142" s="363" t="s">
        <v>613</v>
      </c>
      <c r="K142" s="785">
        <v>0</v>
      </c>
      <c r="L142" s="368"/>
      <c r="M142" s="487"/>
      <c r="N142" s="365"/>
      <c r="O142" s="1317"/>
    </row>
    <row r="143" spans="1:15" s="366" customFormat="1" ht="15.6" x14ac:dyDescent="0.3">
      <c r="A143" s="1443"/>
      <c r="B143" s="1297" t="s">
        <v>877</v>
      </c>
      <c r="C143" s="387" t="s">
        <v>1144</v>
      </c>
      <c r="D143" s="388"/>
      <c r="E143" s="388"/>
      <c r="F143" s="388"/>
      <c r="G143" s="388"/>
      <c r="H143" s="388"/>
      <c r="I143" s="389" t="s">
        <v>1320</v>
      </c>
      <c r="J143" s="363"/>
      <c r="K143" s="785">
        <f>K144+K145+K146</f>
        <v>5523184.1100000003</v>
      </c>
      <c r="L143" s="368"/>
      <c r="M143" s="785">
        <f>M144+M145+M146</f>
        <v>3434038.81</v>
      </c>
      <c r="N143" s="365"/>
      <c r="O143" s="1317"/>
    </row>
    <row r="144" spans="1:15" s="366" customFormat="1" ht="15.6" x14ac:dyDescent="0.3">
      <c r="A144" s="1444"/>
      <c r="B144" s="1445"/>
      <c r="C144" s="1448"/>
      <c r="D144" s="386"/>
      <c r="E144" s="386"/>
      <c r="F144" s="386"/>
      <c r="G144" s="386"/>
      <c r="H144" s="386"/>
      <c r="I144" s="1451"/>
      <c r="J144" s="363" t="s">
        <v>162</v>
      </c>
      <c r="K144" s="785">
        <v>5429984.1100000003</v>
      </c>
      <c r="L144" s="368"/>
      <c r="M144" s="487">
        <f>267903.28+3600+367432.83+1840+187591.01+312722.84+1715+86278.38+380556.18+112813.98+282694.46+9938.7+47519.41+707646.03+634171.59</f>
        <v>3404423.69</v>
      </c>
      <c r="N144" s="365"/>
      <c r="O144" s="1317"/>
    </row>
    <row r="145" spans="1:15" s="366" customFormat="1" ht="15.6" x14ac:dyDescent="0.3">
      <c r="A145" s="1444"/>
      <c r="B145" s="1445"/>
      <c r="C145" s="1449"/>
      <c r="D145" s="362"/>
      <c r="E145" s="362"/>
      <c r="F145" s="362"/>
      <c r="G145" s="362"/>
      <c r="H145" s="362"/>
      <c r="I145" s="1452"/>
      <c r="J145" s="363" t="s">
        <v>586</v>
      </c>
      <c r="K145" s="785">
        <v>93200</v>
      </c>
      <c r="L145" s="368"/>
      <c r="M145" s="487">
        <f>6475.39+5003.42+5126.63+4386.41+5102.65+3520.62</f>
        <v>29615.119999999999</v>
      </c>
      <c r="N145" s="365"/>
      <c r="O145" s="1454"/>
    </row>
    <row r="146" spans="1:15" s="366" customFormat="1" ht="15.6" x14ac:dyDescent="0.3">
      <c r="A146" s="1308"/>
      <c r="B146" s="1299"/>
      <c r="C146" s="1450"/>
      <c r="D146" s="851"/>
      <c r="E146" s="851"/>
      <c r="F146" s="851"/>
      <c r="G146" s="851"/>
      <c r="H146" s="851"/>
      <c r="I146" s="1453"/>
      <c r="J146" s="363" t="s">
        <v>528</v>
      </c>
      <c r="K146" s="785">
        <f>6000-6000</f>
        <v>0</v>
      </c>
      <c r="L146" s="368"/>
      <c r="M146" s="487"/>
      <c r="N146" s="365"/>
      <c r="O146" s="1317"/>
    </row>
    <row r="147" spans="1:15" s="366" customFormat="1" ht="15.6" x14ac:dyDescent="0.3">
      <c r="A147" s="1443"/>
      <c r="B147" s="1297" t="s">
        <v>882</v>
      </c>
      <c r="C147" s="387" t="s">
        <v>1144</v>
      </c>
      <c r="D147" s="388"/>
      <c r="E147" s="388"/>
      <c r="F147" s="388"/>
      <c r="G147" s="388"/>
      <c r="H147" s="388"/>
      <c r="I147" s="389" t="s">
        <v>1321</v>
      </c>
      <c r="J147" s="363"/>
      <c r="K147" s="785">
        <f>K148+K149+K150</f>
        <v>17687799.880000003</v>
      </c>
      <c r="L147" s="368"/>
      <c r="M147" s="785">
        <f>M148+M149+M150</f>
        <v>10063965.640000001</v>
      </c>
      <c r="N147" s="365"/>
      <c r="O147" s="1317"/>
    </row>
    <row r="148" spans="1:15" s="366" customFormat="1" ht="15.6" x14ac:dyDescent="0.3">
      <c r="A148" s="1444"/>
      <c r="B148" s="1445"/>
      <c r="C148" s="1448"/>
      <c r="D148" s="386"/>
      <c r="E148" s="386"/>
      <c r="F148" s="386"/>
      <c r="G148" s="386"/>
      <c r="H148" s="386"/>
      <c r="I148" s="1451"/>
      <c r="J148" s="363" t="s">
        <v>162</v>
      </c>
      <c r="K148" s="464">
        <f>12358242.65+1001029.83</f>
        <v>13359272.48</v>
      </c>
      <c r="L148" s="368"/>
      <c r="M148" s="487">
        <f>641319.57+6605.75+854663.7+4600+442773.64+706630.5+212830.71+2982353.46+4600+889773.06-2202613.77-4600-662210.1+724964.69+17598.8+225547.34+2721952.83+1111184.22</f>
        <v>8677974.4000000004</v>
      </c>
      <c r="N148" s="365"/>
      <c r="O148" s="1454"/>
    </row>
    <row r="149" spans="1:15" s="366" customFormat="1" ht="15.6" x14ac:dyDescent="0.3">
      <c r="A149" s="1444"/>
      <c r="B149" s="1445"/>
      <c r="C149" s="1449"/>
      <c r="D149" s="362"/>
      <c r="E149" s="362"/>
      <c r="F149" s="362"/>
      <c r="G149" s="362"/>
      <c r="H149" s="362"/>
      <c r="I149" s="1452"/>
      <c r="J149" s="363" t="s">
        <v>586</v>
      </c>
      <c r="K149" s="457">
        <f>4275140.4-10000+45000</f>
        <v>4310140.4000000004</v>
      </c>
      <c r="L149" s="368"/>
      <c r="M149" s="487">
        <f>37923.85+226540.51+208735.04+279803.86+241274.93+318025.26+61612.79</f>
        <v>1373916.24</v>
      </c>
      <c r="N149" s="365"/>
      <c r="O149" s="1454"/>
    </row>
    <row r="150" spans="1:15" s="366" customFormat="1" ht="15.6" x14ac:dyDescent="0.3">
      <c r="A150" s="1308"/>
      <c r="B150" s="1299"/>
      <c r="C150" s="1339"/>
      <c r="D150" s="362"/>
      <c r="E150" s="362"/>
      <c r="F150" s="362"/>
      <c r="G150" s="362"/>
      <c r="H150" s="362"/>
      <c r="I150" s="1342"/>
      <c r="J150" s="363" t="s">
        <v>528</v>
      </c>
      <c r="K150" s="457">
        <f>8387+10000</f>
        <v>18387</v>
      </c>
      <c r="L150" s="368"/>
      <c r="M150" s="487">
        <f>2652+45+38+1852+4800+2688</f>
        <v>12075</v>
      </c>
      <c r="N150" s="365"/>
      <c r="O150" s="1317"/>
    </row>
    <row r="151" spans="1:15" s="366" customFormat="1" ht="31.2" x14ac:dyDescent="0.3">
      <c r="A151" s="388"/>
      <c r="B151" s="459" t="s">
        <v>887</v>
      </c>
      <c r="C151" s="863" t="s">
        <v>1144</v>
      </c>
      <c r="D151" s="489"/>
      <c r="E151" s="489"/>
      <c r="F151" s="489"/>
      <c r="G151" s="489"/>
      <c r="H151" s="489"/>
      <c r="I151" s="490" t="s">
        <v>1322</v>
      </c>
      <c r="J151" s="363" t="s">
        <v>613</v>
      </c>
      <c r="K151" s="785">
        <f>2678797.79-293644.12</f>
        <v>2385153.67</v>
      </c>
      <c r="L151" s="368"/>
      <c r="M151" s="487">
        <f>170122.74+204050.19+272354.51+235420.64+293941.25+143350.46+203116.69</f>
        <v>1522356.48</v>
      </c>
      <c r="N151" s="365"/>
      <c r="O151" s="1290"/>
    </row>
    <row r="152" spans="1:15" s="366" customFormat="1" ht="52.8" x14ac:dyDescent="0.35">
      <c r="A152" s="885">
        <v>13</v>
      </c>
      <c r="B152" s="447" t="s">
        <v>564</v>
      </c>
      <c r="C152" s="448"/>
      <c r="D152" s="448"/>
      <c r="E152" s="448"/>
      <c r="F152" s="448"/>
      <c r="G152" s="448"/>
      <c r="H152" s="448"/>
      <c r="I152" s="429" t="s">
        <v>1348</v>
      </c>
      <c r="J152" s="430"/>
      <c r="K152" s="548">
        <f>K153+K155+K157+K158+K159+K160+K161+K162+K163+K164+K168+K169+K170+K154+K156+K165+K166+K167</f>
        <v>17703934.920000002</v>
      </c>
      <c r="L152" s="448"/>
      <c r="M152" s="548">
        <f>M153+M155+M157+M158+M159+M160+M161+M162+M163+M164+M168+M169+M170+M154+M156+M165+M166+M167</f>
        <v>4408122.51</v>
      </c>
      <c r="N152" s="448"/>
      <c r="O152" s="432" t="s">
        <v>1083</v>
      </c>
    </row>
    <row r="153" spans="1:15" s="366" customFormat="1" ht="15.6" x14ac:dyDescent="0.3">
      <c r="A153" s="388"/>
      <c r="B153" s="459" t="s">
        <v>654</v>
      </c>
      <c r="C153" s="387" t="s">
        <v>1148</v>
      </c>
      <c r="D153" s="365"/>
      <c r="E153" s="365"/>
      <c r="F153" s="365"/>
      <c r="G153" s="365"/>
      <c r="H153" s="365"/>
      <c r="I153" s="452" t="s">
        <v>1251</v>
      </c>
      <c r="J153" s="363" t="s">
        <v>586</v>
      </c>
      <c r="K153" s="785">
        <f>300000+1938000</f>
        <v>2238000</v>
      </c>
      <c r="L153" s="368"/>
      <c r="M153" s="361"/>
      <c r="N153" s="365"/>
      <c r="O153" s="1280" t="s">
        <v>151</v>
      </c>
    </row>
    <row r="154" spans="1:15" s="366" customFormat="1" ht="15.6" x14ac:dyDescent="0.3">
      <c r="A154" s="388"/>
      <c r="B154" s="459" t="s">
        <v>1357</v>
      </c>
      <c r="C154" s="387" t="s">
        <v>1148</v>
      </c>
      <c r="D154" s="365"/>
      <c r="E154" s="365"/>
      <c r="F154" s="365"/>
      <c r="G154" s="365"/>
      <c r="H154" s="365"/>
      <c r="I154" s="452" t="s">
        <v>1356</v>
      </c>
      <c r="J154" s="363" t="s">
        <v>586</v>
      </c>
      <c r="K154" s="785">
        <v>5400000</v>
      </c>
      <c r="L154" s="368"/>
      <c r="M154" s="361">
        <v>1762666.67</v>
      </c>
      <c r="N154" s="365"/>
      <c r="O154" s="1281"/>
    </row>
    <row r="155" spans="1:15" s="366" customFormat="1" ht="31.2" x14ac:dyDescent="0.3">
      <c r="A155" s="388"/>
      <c r="B155" s="459" t="s">
        <v>657</v>
      </c>
      <c r="C155" s="387" t="s">
        <v>1148</v>
      </c>
      <c r="D155" s="365"/>
      <c r="E155" s="365"/>
      <c r="F155" s="365"/>
      <c r="G155" s="365"/>
      <c r="H155" s="365"/>
      <c r="I155" s="452" t="s">
        <v>1252</v>
      </c>
      <c r="J155" s="363" t="s">
        <v>586</v>
      </c>
      <c r="K155" s="785">
        <f>59000+351000</f>
        <v>410000</v>
      </c>
      <c r="L155" s="368"/>
      <c r="M155" s="361"/>
      <c r="N155" s="365"/>
      <c r="O155" s="1281"/>
    </row>
    <row r="156" spans="1:15" s="366" customFormat="1" ht="31.2" x14ac:dyDescent="0.3">
      <c r="A156" s="388"/>
      <c r="B156" s="181" t="s">
        <v>660</v>
      </c>
      <c r="C156" s="387" t="s">
        <v>1148</v>
      </c>
      <c r="D156" s="365"/>
      <c r="E156" s="365"/>
      <c r="F156" s="365"/>
      <c r="G156" s="365"/>
      <c r="H156" s="365"/>
      <c r="I156" s="452" t="s">
        <v>1358</v>
      </c>
      <c r="J156" s="363" t="s">
        <v>586</v>
      </c>
      <c r="K156" s="785">
        <f>50000+51000</f>
        <v>101000</v>
      </c>
      <c r="L156" s="368"/>
      <c r="M156" s="361">
        <v>47090</v>
      </c>
      <c r="N156" s="365"/>
      <c r="O156" s="1281"/>
    </row>
    <row r="157" spans="1:15" s="366" customFormat="1" ht="31.2" x14ac:dyDescent="0.3">
      <c r="A157" s="388"/>
      <c r="B157" s="459" t="s">
        <v>660</v>
      </c>
      <c r="C157" s="387" t="s">
        <v>1148</v>
      </c>
      <c r="D157" s="365"/>
      <c r="E157" s="365"/>
      <c r="F157" s="365"/>
      <c r="G157" s="365"/>
      <c r="H157" s="365"/>
      <c r="I157" s="452" t="s">
        <v>661</v>
      </c>
      <c r="J157" s="363" t="s">
        <v>586</v>
      </c>
      <c r="K157" s="785"/>
      <c r="L157" s="368"/>
      <c r="M157" s="361"/>
      <c r="N157" s="365"/>
      <c r="O157" s="1281"/>
    </row>
    <row r="158" spans="1:15" s="366" customFormat="1" ht="15.6" x14ac:dyDescent="0.3">
      <c r="A158" s="388"/>
      <c r="B158" s="459" t="s">
        <v>663</v>
      </c>
      <c r="C158" s="387" t="s">
        <v>1148</v>
      </c>
      <c r="D158" s="365"/>
      <c r="E158" s="365"/>
      <c r="F158" s="365"/>
      <c r="G158" s="365"/>
      <c r="H158" s="365"/>
      <c r="I158" s="452" t="s">
        <v>1253</v>
      </c>
      <c r="J158" s="363" t="s">
        <v>586</v>
      </c>
      <c r="K158" s="785">
        <f>360000+206000</f>
        <v>566000</v>
      </c>
      <c r="L158" s="368"/>
      <c r="M158" s="361">
        <f>171000+390000</f>
        <v>561000</v>
      </c>
      <c r="N158" s="365"/>
      <c r="O158" s="1281"/>
    </row>
    <row r="159" spans="1:15" s="366" customFormat="1" ht="31.2" x14ac:dyDescent="0.3">
      <c r="A159" s="388"/>
      <c r="B159" s="459" t="s">
        <v>666</v>
      </c>
      <c r="C159" s="387" t="s">
        <v>1148</v>
      </c>
      <c r="D159" s="365"/>
      <c r="E159" s="365"/>
      <c r="F159" s="365"/>
      <c r="G159" s="365"/>
      <c r="H159" s="365"/>
      <c r="I159" s="452" t="s">
        <v>1254</v>
      </c>
      <c r="J159" s="363" t="s">
        <v>528</v>
      </c>
      <c r="K159" s="785">
        <f>500000-50000-10000</f>
        <v>440000</v>
      </c>
      <c r="L159" s="368"/>
      <c r="M159" s="361"/>
      <c r="N159" s="365"/>
      <c r="O159" s="1281"/>
    </row>
    <row r="160" spans="1:15" s="366" customFormat="1" ht="15.6" x14ac:dyDescent="0.3">
      <c r="A160" s="388"/>
      <c r="B160" s="459" t="s">
        <v>669</v>
      </c>
      <c r="C160" s="387" t="s">
        <v>1148</v>
      </c>
      <c r="D160" s="365"/>
      <c r="E160" s="365"/>
      <c r="F160" s="365"/>
      <c r="G160" s="365"/>
      <c r="H160" s="365"/>
      <c r="I160" s="452" t="s">
        <v>1255</v>
      </c>
      <c r="J160" s="363" t="s">
        <v>586</v>
      </c>
      <c r="K160" s="785">
        <v>150000</v>
      </c>
      <c r="L160" s="368"/>
      <c r="M160" s="361"/>
      <c r="N160" s="365"/>
      <c r="O160" s="1281"/>
    </row>
    <row r="161" spans="1:15" s="366" customFormat="1" ht="46.8" x14ac:dyDescent="0.3">
      <c r="A161" s="388"/>
      <c r="B161" s="459" t="s">
        <v>672</v>
      </c>
      <c r="C161" s="387" t="s">
        <v>1148</v>
      </c>
      <c r="D161" s="365"/>
      <c r="E161" s="365"/>
      <c r="F161" s="365"/>
      <c r="G161" s="365"/>
      <c r="H161" s="365"/>
      <c r="I161" s="452" t="s">
        <v>1256</v>
      </c>
      <c r="J161" s="363" t="s">
        <v>586</v>
      </c>
      <c r="K161" s="785">
        <v>106000</v>
      </c>
      <c r="L161" s="368"/>
      <c r="M161" s="361"/>
      <c r="N161" s="365"/>
      <c r="O161" s="1281"/>
    </row>
    <row r="162" spans="1:15" s="366" customFormat="1" ht="31.2" x14ac:dyDescent="0.3">
      <c r="A162" s="388"/>
      <c r="B162" s="519" t="s">
        <v>675</v>
      </c>
      <c r="C162" s="881" t="s">
        <v>1148</v>
      </c>
      <c r="D162" s="482"/>
      <c r="E162" s="482"/>
      <c r="F162" s="482"/>
      <c r="G162" s="482"/>
      <c r="H162" s="482"/>
      <c r="I162" s="480" t="s">
        <v>1257</v>
      </c>
      <c r="J162" s="363" t="s">
        <v>586</v>
      </c>
      <c r="K162" s="577"/>
      <c r="L162" s="368"/>
      <c r="M162" s="361">
        <f>183800-183800</f>
        <v>0</v>
      </c>
      <c r="N162" s="365"/>
      <c r="O162" s="1281"/>
    </row>
    <row r="163" spans="1:15" s="532" customFormat="1" ht="31.2" x14ac:dyDescent="0.3">
      <c r="A163" s="572"/>
      <c r="B163" s="849" t="s">
        <v>675</v>
      </c>
      <c r="C163" s="387" t="s">
        <v>1163</v>
      </c>
      <c r="D163" s="574"/>
      <c r="E163" s="574"/>
      <c r="F163" s="574"/>
      <c r="G163" s="574"/>
      <c r="H163" s="574"/>
      <c r="I163" s="576" t="s">
        <v>1257</v>
      </c>
      <c r="J163" s="576" t="s">
        <v>586</v>
      </c>
      <c r="K163" s="650">
        <f>4966877.4-1076104.48-400000</f>
        <v>3490772.9200000004</v>
      </c>
      <c r="L163" s="368"/>
      <c r="M163" s="361">
        <f>182571.51+362696.52+121714+220783.81</f>
        <v>887765.84000000008</v>
      </c>
      <c r="N163" s="368"/>
      <c r="O163" s="1281"/>
    </row>
    <row r="164" spans="1:15" s="366" customFormat="1" ht="46.8" x14ac:dyDescent="0.3">
      <c r="A164" s="530"/>
      <c r="B164" s="455" t="s">
        <v>681</v>
      </c>
      <c r="C164" s="387" t="s">
        <v>1148</v>
      </c>
      <c r="D164" s="482"/>
      <c r="E164" s="482"/>
      <c r="F164" s="482"/>
      <c r="G164" s="482"/>
      <c r="H164" s="482"/>
      <c r="I164" s="363" t="s">
        <v>682</v>
      </c>
      <c r="J164" s="564" t="s">
        <v>586</v>
      </c>
      <c r="K164" s="372">
        <v>0</v>
      </c>
      <c r="L164" s="574"/>
      <c r="M164" s="601"/>
      <c r="N164" s="365"/>
      <c r="O164" s="1281"/>
    </row>
    <row r="165" spans="1:15" s="366" customFormat="1" ht="15.6" x14ac:dyDescent="0.3">
      <c r="A165" s="388"/>
      <c r="B165" s="1408" t="s">
        <v>681</v>
      </c>
      <c r="C165" s="1407" t="s">
        <v>1163</v>
      </c>
      <c r="D165" s="365"/>
      <c r="E165" s="365"/>
      <c r="F165" s="365"/>
      <c r="G165" s="365"/>
      <c r="H165" s="365"/>
      <c r="I165" s="1409" t="s">
        <v>1258</v>
      </c>
      <c r="J165" s="363"/>
      <c r="K165" s="848"/>
      <c r="L165" s="368"/>
      <c r="M165" s="361"/>
      <c r="N165" s="365"/>
      <c r="O165" s="1281"/>
    </row>
    <row r="166" spans="1:15" s="366" customFormat="1" ht="15.6" x14ac:dyDescent="0.3">
      <c r="A166" s="388"/>
      <c r="B166" s="1408"/>
      <c r="C166" s="1407"/>
      <c r="D166" s="658"/>
      <c r="E166" s="658"/>
      <c r="F166" s="658"/>
      <c r="G166" s="658"/>
      <c r="H166" s="658"/>
      <c r="I166" s="1409"/>
      <c r="J166" s="363" t="s">
        <v>586</v>
      </c>
      <c r="K166" s="848">
        <f>3176057.52-2000000-1176057.52</f>
        <v>0</v>
      </c>
      <c r="L166" s="368"/>
      <c r="M166" s="361">
        <v>0</v>
      </c>
      <c r="N166" s="365"/>
      <c r="O166" s="1283"/>
    </row>
    <row r="167" spans="1:15" s="366" customFormat="1" ht="15.6" x14ac:dyDescent="0.3">
      <c r="A167" s="388"/>
      <c r="B167" s="1408"/>
      <c r="C167" s="884" t="s">
        <v>1386</v>
      </c>
      <c r="D167" s="658"/>
      <c r="E167" s="658"/>
      <c r="F167" s="658"/>
      <c r="G167" s="658"/>
      <c r="H167" s="658"/>
      <c r="I167" s="1409"/>
      <c r="J167" s="363" t="s">
        <v>813</v>
      </c>
      <c r="K167" s="843">
        <f>2000000+2252162+400000</f>
        <v>4652162</v>
      </c>
      <c r="L167" s="368"/>
      <c r="M167" s="361">
        <v>1000000</v>
      </c>
      <c r="N167" s="365"/>
      <c r="O167" s="878" t="s">
        <v>1407</v>
      </c>
    </row>
    <row r="168" spans="1:15" s="366" customFormat="1" ht="15.6" x14ac:dyDescent="0.3">
      <c r="A168" s="875"/>
      <c r="B168" s="534" t="s">
        <v>852</v>
      </c>
      <c r="C168" s="863" t="s">
        <v>1105</v>
      </c>
      <c r="D168" s="489"/>
      <c r="E168" s="489"/>
      <c r="F168" s="489"/>
      <c r="G168" s="489"/>
      <c r="H168" s="489"/>
      <c r="I168" s="490" t="s">
        <v>1314</v>
      </c>
      <c r="J168" s="662" t="s">
        <v>613</v>
      </c>
      <c r="K168" s="525">
        <v>80000</v>
      </c>
      <c r="L168" s="841"/>
      <c r="M168" s="526">
        <v>79746.58</v>
      </c>
      <c r="N168" s="365"/>
      <c r="O168" s="1280" t="s">
        <v>968</v>
      </c>
    </row>
    <row r="169" spans="1:15" s="366" customFormat="1" ht="15.6" x14ac:dyDescent="0.3">
      <c r="A169" s="388"/>
      <c r="B169" s="459" t="s">
        <v>855</v>
      </c>
      <c r="C169" s="387" t="s">
        <v>1105</v>
      </c>
      <c r="D169" s="365"/>
      <c r="E169" s="365"/>
      <c r="F169" s="365"/>
      <c r="G169" s="365"/>
      <c r="H169" s="365"/>
      <c r="I169" s="452" t="s">
        <v>1315</v>
      </c>
      <c r="J169" s="363" t="s">
        <v>613</v>
      </c>
      <c r="K169" s="785">
        <v>50000</v>
      </c>
      <c r="L169" s="368"/>
      <c r="M169" s="361">
        <v>49853.42</v>
      </c>
      <c r="N169" s="365"/>
      <c r="O169" s="1281"/>
    </row>
    <row r="170" spans="1:15" s="366" customFormat="1" ht="15.6" x14ac:dyDescent="0.3">
      <c r="A170" s="388"/>
      <c r="B170" s="459" t="s">
        <v>858</v>
      </c>
      <c r="C170" s="387" t="s">
        <v>1105</v>
      </c>
      <c r="D170" s="365"/>
      <c r="E170" s="365"/>
      <c r="F170" s="365"/>
      <c r="G170" s="365"/>
      <c r="H170" s="365"/>
      <c r="I170" s="452" t="s">
        <v>1316</v>
      </c>
      <c r="J170" s="363" t="s">
        <v>613</v>
      </c>
      <c r="K170" s="785">
        <v>20000</v>
      </c>
      <c r="L170" s="368"/>
      <c r="M170" s="361">
        <v>20000</v>
      </c>
      <c r="N170" s="365"/>
      <c r="O170" s="1283"/>
    </row>
    <row r="171" spans="1:15" s="433" customFormat="1" ht="18" x14ac:dyDescent="0.35">
      <c r="A171" s="425">
        <v>14</v>
      </c>
      <c r="B171" s="426" t="s">
        <v>559</v>
      </c>
      <c r="C171" s="427"/>
      <c r="D171" s="428"/>
      <c r="E171" s="428"/>
      <c r="F171" s="428"/>
      <c r="G171" s="428"/>
      <c r="H171" s="428"/>
      <c r="I171" s="429" t="s">
        <v>1349</v>
      </c>
      <c r="J171" s="430"/>
      <c r="K171" s="792">
        <f>K174+K175+K177+K176+K172+K173</f>
        <v>2266518.98</v>
      </c>
      <c r="L171" s="428"/>
      <c r="M171" s="792">
        <f>M174+M175+M177+M176+M172+M173</f>
        <v>1826518.98</v>
      </c>
      <c r="N171" s="428"/>
      <c r="O171" s="432"/>
    </row>
    <row r="172" spans="1:15" s="433" customFormat="1" ht="18" x14ac:dyDescent="0.35">
      <c r="A172" s="425"/>
      <c r="B172" s="521" t="s">
        <v>709</v>
      </c>
      <c r="C172" s="881" t="s">
        <v>1101</v>
      </c>
      <c r="D172" s="365"/>
      <c r="E172" s="365"/>
      <c r="F172" s="365"/>
      <c r="G172" s="365"/>
      <c r="H172" s="365"/>
      <c r="I172" s="452" t="s">
        <v>1268</v>
      </c>
      <c r="J172" s="363" t="s">
        <v>586</v>
      </c>
      <c r="K172" s="785">
        <v>100000</v>
      </c>
      <c r="L172" s="428"/>
      <c r="M172" s="792"/>
      <c r="N172" s="428"/>
      <c r="O172" s="520"/>
    </row>
    <row r="173" spans="1:15" s="433" customFormat="1" ht="18" x14ac:dyDescent="0.35">
      <c r="A173" s="425"/>
      <c r="B173" s="466" t="s">
        <v>712</v>
      </c>
      <c r="C173" s="881" t="s">
        <v>1101</v>
      </c>
      <c r="D173" s="365"/>
      <c r="E173" s="365"/>
      <c r="F173" s="365"/>
      <c r="G173" s="365"/>
      <c r="H173" s="365"/>
      <c r="I173" s="452" t="s">
        <v>1361</v>
      </c>
      <c r="J173" s="363" t="s">
        <v>586</v>
      </c>
      <c r="K173" s="464">
        <f>3500000-1429771-243710.02</f>
        <v>1826518.98</v>
      </c>
      <c r="L173" s="428"/>
      <c r="M173" s="787">
        <v>1826518.98</v>
      </c>
      <c r="N173" s="428"/>
      <c r="O173" s="520"/>
    </row>
    <row r="174" spans="1:15" s="366" customFormat="1" ht="15.6" x14ac:dyDescent="0.3">
      <c r="A174" s="388"/>
      <c r="B174" s="534" t="s">
        <v>715</v>
      </c>
      <c r="C174" s="881" t="s">
        <v>1101</v>
      </c>
      <c r="D174" s="365"/>
      <c r="E174" s="365"/>
      <c r="F174" s="365"/>
      <c r="G174" s="365"/>
      <c r="H174" s="365"/>
      <c r="I174" s="452" t="s">
        <v>1269</v>
      </c>
      <c r="J174" s="363" t="s">
        <v>586</v>
      </c>
      <c r="K174" s="785">
        <v>200000</v>
      </c>
      <c r="L174" s="368"/>
      <c r="M174" s="368"/>
      <c r="N174" s="365"/>
      <c r="O174" s="1380" t="s">
        <v>151</v>
      </c>
    </row>
    <row r="175" spans="1:15" s="366" customFormat="1" ht="15.6" x14ac:dyDescent="0.3">
      <c r="A175" s="388"/>
      <c r="B175" s="459" t="s">
        <v>718</v>
      </c>
      <c r="C175" s="881" t="s">
        <v>1101</v>
      </c>
      <c r="D175" s="365"/>
      <c r="E175" s="365"/>
      <c r="F175" s="365"/>
      <c r="G175" s="365"/>
      <c r="H175" s="365"/>
      <c r="I175" s="452" t="s">
        <v>1270</v>
      </c>
      <c r="J175" s="363" t="s">
        <v>586</v>
      </c>
      <c r="K175" s="577">
        <v>40000</v>
      </c>
      <c r="L175" s="368"/>
      <c r="M175" s="368"/>
      <c r="N175" s="365"/>
      <c r="O175" s="1381"/>
    </row>
    <row r="176" spans="1:15" s="366" customFormat="1" ht="15.6" x14ac:dyDescent="0.3">
      <c r="A176" s="388"/>
      <c r="B176" s="521" t="s">
        <v>1205</v>
      </c>
      <c r="C176" s="881" t="s">
        <v>1101</v>
      </c>
      <c r="D176" s="365"/>
      <c r="E176" s="365"/>
      <c r="F176" s="365"/>
      <c r="G176" s="365"/>
      <c r="H176" s="365"/>
      <c r="I176" s="484" t="s">
        <v>1271</v>
      </c>
      <c r="J176" s="389" t="s">
        <v>586</v>
      </c>
      <c r="K176" s="786">
        <v>100000</v>
      </c>
      <c r="L176" s="368"/>
      <c r="M176" s="672"/>
      <c r="N176" s="365"/>
      <c r="O176" s="581"/>
    </row>
    <row r="177" spans="1:16" s="366" customFormat="1" ht="15.6" hidden="1" x14ac:dyDescent="0.3">
      <c r="A177" s="388"/>
      <c r="B177" s="521" t="s">
        <v>1205</v>
      </c>
      <c r="C177" s="881" t="s">
        <v>1159</v>
      </c>
      <c r="D177" s="365"/>
      <c r="E177" s="365"/>
      <c r="F177" s="365"/>
      <c r="G177" s="365"/>
      <c r="H177" s="365"/>
      <c r="I177" s="389" t="s">
        <v>1206</v>
      </c>
      <c r="J177" s="389" t="s">
        <v>813</v>
      </c>
      <c r="K177" s="582"/>
      <c r="L177" s="365"/>
      <c r="M177" s="486"/>
      <c r="N177" s="365"/>
      <c r="O177" s="878" t="s">
        <v>1136</v>
      </c>
    </row>
    <row r="178" spans="1:16" ht="21" x14ac:dyDescent="0.4">
      <c r="A178" s="401"/>
      <c r="B178" s="402" t="s">
        <v>1149</v>
      </c>
      <c r="C178" s="403"/>
      <c r="D178" s="401"/>
      <c r="E178" s="401"/>
      <c r="F178" s="401"/>
      <c r="G178" s="401"/>
      <c r="H178" s="401"/>
      <c r="I178" s="404"/>
      <c r="J178" s="405"/>
      <c r="K178" s="671">
        <f>K21+K34+K36+K47+K58+K66+K68+K72+K78+K84+K116+K126+K152+K171</f>
        <v>380177698.45000011</v>
      </c>
      <c r="L178" s="401"/>
      <c r="M178" s="406">
        <f>M21+M34+M36+M47+M58+M66+M68+M72+M78+M84+M116+M126+M152+M171</f>
        <v>172429430.79999998</v>
      </c>
      <c r="N178" s="400"/>
      <c r="O178" s="400"/>
    </row>
    <row r="179" spans="1:16" ht="15.6" x14ac:dyDescent="0.3">
      <c r="A179" s="146"/>
      <c r="B179" s="146"/>
      <c r="C179" s="146"/>
      <c r="D179" s="146"/>
      <c r="E179" s="146"/>
      <c r="F179" s="146"/>
      <c r="G179" s="146"/>
      <c r="H179" s="146"/>
      <c r="I179" s="358"/>
      <c r="J179" s="360"/>
      <c r="K179" s="672"/>
      <c r="L179" s="146"/>
      <c r="M179" s="146"/>
      <c r="N179" s="146"/>
      <c r="O179" s="146"/>
    </row>
    <row r="180" spans="1:16" s="375" customFormat="1" ht="31.2" x14ac:dyDescent="0.3">
      <c r="A180" s="1382">
        <v>1</v>
      </c>
      <c r="B180" s="1456" t="s">
        <v>1355</v>
      </c>
      <c r="C180" s="395" t="s">
        <v>1110</v>
      </c>
      <c r="D180" s="396"/>
      <c r="E180" s="396"/>
      <c r="F180" s="396"/>
      <c r="G180" s="396"/>
      <c r="H180" s="396"/>
      <c r="I180" s="397" t="s">
        <v>1287</v>
      </c>
      <c r="J180" s="371"/>
      <c r="K180" s="793">
        <f>K181+K182</f>
        <v>573397.05000000005</v>
      </c>
      <c r="L180" s="368"/>
      <c r="M180" s="793">
        <f>M181+M182</f>
        <v>298176.27</v>
      </c>
      <c r="N180" s="373"/>
      <c r="O180" s="374" t="s">
        <v>151</v>
      </c>
    </row>
    <row r="181" spans="1:16" s="375" customFormat="1" ht="15.6" x14ac:dyDescent="0.3">
      <c r="A181" s="1455"/>
      <c r="B181" s="1457"/>
      <c r="C181" s="894"/>
      <c r="D181" s="895"/>
      <c r="E181" s="895"/>
      <c r="F181" s="895"/>
      <c r="G181" s="895"/>
      <c r="H181" s="895"/>
      <c r="I181" s="896"/>
      <c r="J181" s="371" t="s">
        <v>162</v>
      </c>
      <c r="K181" s="577">
        <f>541284-2.95</f>
        <v>541281.05000000005</v>
      </c>
      <c r="L181" s="574"/>
      <c r="M181" s="601">
        <f>18151.56+5481.77+24149.77+5376.57+8916.96+27412.56+8278.59+51009.05+14196.73+27783+8390.46+37669.47+52023.78</f>
        <v>288840.27</v>
      </c>
      <c r="N181" s="588"/>
      <c r="O181" s="374"/>
    </row>
    <row r="182" spans="1:16" s="375" customFormat="1" ht="76.5" customHeight="1" x14ac:dyDescent="0.3">
      <c r="A182" s="1384"/>
      <c r="B182" s="1368"/>
      <c r="C182" s="392"/>
      <c r="D182" s="897"/>
      <c r="E182" s="897"/>
      <c r="F182" s="897"/>
      <c r="G182" s="897"/>
      <c r="H182" s="897"/>
      <c r="I182" s="393"/>
      <c r="J182" s="371" t="s">
        <v>586</v>
      </c>
      <c r="K182" s="577">
        <v>32116</v>
      </c>
      <c r="L182" s="574"/>
      <c r="M182" s="601">
        <v>9336</v>
      </c>
      <c r="N182" s="588"/>
      <c r="O182" s="374"/>
    </row>
    <row r="183" spans="1:16" s="375" customFormat="1" ht="55.5" customHeight="1" x14ac:dyDescent="0.3">
      <c r="A183" s="898">
        <v>2</v>
      </c>
      <c r="B183" s="750" t="s">
        <v>1385</v>
      </c>
      <c r="C183" s="883" t="s">
        <v>1386</v>
      </c>
      <c r="D183" s="752"/>
      <c r="E183" s="752"/>
      <c r="F183" s="752"/>
      <c r="G183" s="752"/>
      <c r="H183" s="752"/>
      <c r="I183" s="753" t="s">
        <v>1387</v>
      </c>
      <c r="J183" s="371" t="s">
        <v>813</v>
      </c>
      <c r="K183" s="793">
        <v>11787484</v>
      </c>
      <c r="L183" s="574"/>
      <c r="M183" s="601"/>
      <c r="N183" s="588"/>
      <c r="O183" s="374"/>
    </row>
    <row r="184" spans="1:16" s="375" customFormat="1" ht="46.8" x14ac:dyDescent="0.3">
      <c r="A184" s="861">
        <v>3</v>
      </c>
      <c r="B184" s="584" t="s">
        <v>1104</v>
      </c>
      <c r="C184" s="859" t="s">
        <v>1103</v>
      </c>
      <c r="D184" s="586"/>
      <c r="E184" s="586"/>
      <c r="F184" s="586"/>
      <c r="G184" s="586"/>
      <c r="H184" s="586"/>
      <c r="I184" s="587" t="s">
        <v>1265</v>
      </c>
      <c r="J184" s="371" t="s">
        <v>528</v>
      </c>
      <c r="K184" s="421">
        <f>87107200-24.78-4760796.84</f>
        <v>82346378.379999995</v>
      </c>
      <c r="L184" s="574"/>
      <c r="M184" s="589">
        <f>14417772.06+7298261.36+7240617.85+8882707.35+13776880.6</f>
        <v>51616239.220000006</v>
      </c>
      <c r="N184" s="588"/>
      <c r="O184" s="374" t="s">
        <v>151</v>
      </c>
    </row>
    <row r="185" spans="1:16" s="366" customFormat="1" ht="54" customHeight="1" x14ac:dyDescent="0.3">
      <c r="A185" s="861">
        <v>4</v>
      </c>
      <c r="B185" s="590" t="s">
        <v>645</v>
      </c>
      <c r="C185" s="395" t="s">
        <v>1086</v>
      </c>
      <c r="D185" s="591"/>
      <c r="E185" s="592"/>
      <c r="F185" s="592"/>
      <c r="G185" s="592"/>
      <c r="H185" s="593"/>
      <c r="I185" s="594" t="s">
        <v>1245</v>
      </c>
      <c r="J185" s="371" t="s">
        <v>586</v>
      </c>
      <c r="K185" s="793">
        <f>147000+58.82-130391.82</f>
        <v>16667</v>
      </c>
      <c r="L185" s="532"/>
      <c r="M185" s="361"/>
      <c r="N185" s="373"/>
      <c r="O185" s="595" t="s">
        <v>151</v>
      </c>
    </row>
    <row r="186" spans="1:16" s="366" customFormat="1" ht="24.75" customHeight="1" x14ac:dyDescent="0.3">
      <c r="A186" s="1458">
        <v>5</v>
      </c>
      <c r="B186" s="864" t="s">
        <v>893</v>
      </c>
      <c r="C186" s="1410" t="s">
        <v>1090</v>
      </c>
      <c r="D186" s="844"/>
      <c r="E186" s="844"/>
      <c r="F186" s="844"/>
      <c r="G186" s="844"/>
      <c r="H186" s="844"/>
      <c r="I186" s="1412" t="s">
        <v>1323</v>
      </c>
      <c r="J186" s="371" t="s">
        <v>586</v>
      </c>
      <c r="K186" s="421">
        <v>10000</v>
      </c>
      <c r="L186" s="532"/>
      <c r="M186" s="361"/>
      <c r="N186" s="373"/>
      <c r="O186" s="595"/>
    </row>
    <row r="187" spans="1:16" s="375" customFormat="1" ht="22.5" customHeight="1" x14ac:dyDescent="0.3">
      <c r="A187" s="1423"/>
      <c r="B187" s="839"/>
      <c r="C187" s="1411"/>
      <c r="D187" s="844"/>
      <c r="E187" s="844"/>
      <c r="F187" s="844"/>
      <c r="G187" s="844"/>
      <c r="H187" s="844"/>
      <c r="I187" s="1413"/>
      <c r="J187" s="371" t="s">
        <v>764</v>
      </c>
      <c r="K187" s="453">
        <f>1241900-44-10000</f>
        <v>1231856</v>
      </c>
      <c r="L187" s="532"/>
      <c r="M187" s="598">
        <f>620928</f>
        <v>620928</v>
      </c>
      <c r="N187" s="373"/>
      <c r="O187" s="595" t="s">
        <v>1084</v>
      </c>
      <c r="P187" s="599"/>
    </row>
    <row r="188" spans="1:16" s="375" customFormat="1" ht="46.8" x14ac:dyDescent="0.3">
      <c r="A188" s="596">
        <v>6</v>
      </c>
      <c r="B188" s="423" t="s">
        <v>896</v>
      </c>
      <c r="C188" s="395" t="s">
        <v>1091</v>
      </c>
      <c r="D188" s="597"/>
      <c r="E188" s="597"/>
      <c r="F188" s="597"/>
      <c r="G188" s="597"/>
      <c r="H188" s="597"/>
      <c r="I188" s="477" t="s">
        <v>1324</v>
      </c>
      <c r="J188" s="371" t="s">
        <v>764</v>
      </c>
      <c r="K188" s="795">
        <f>55100-2.48</f>
        <v>55097.52</v>
      </c>
      <c r="L188" s="532"/>
      <c r="M188" s="598">
        <v>34095</v>
      </c>
      <c r="N188" s="373"/>
      <c r="O188" s="595" t="s">
        <v>1084</v>
      </c>
      <c r="P188" s="599"/>
    </row>
    <row r="189" spans="1:16" s="375" customFormat="1" ht="15.6" x14ac:dyDescent="0.3">
      <c r="A189" s="1375">
        <v>7</v>
      </c>
      <c r="B189" s="1385" t="s">
        <v>873</v>
      </c>
      <c r="C189" s="859" t="s">
        <v>1090</v>
      </c>
      <c r="D189" s="597"/>
      <c r="E189" s="597"/>
      <c r="F189" s="597"/>
      <c r="G189" s="597"/>
      <c r="H189" s="597"/>
      <c r="I189" s="477" t="s">
        <v>1327</v>
      </c>
      <c r="J189" s="371"/>
      <c r="K189" s="795">
        <f>K190+K191</f>
        <v>1750191.15</v>
      </c>
      <c r="L189" s="532"/>
      <c r="M189" s="795">
        <f>M190+M191</f>
        <v>805021.19</v>
      </c>
      <c r="N189" s="588"/>
      <c r="O189" s="595" t="s">
        <v>1084</v>
      </c>
      <c r="P189" s="600"/>
    </row>
    <row r="190" spans="1:16" s="375" customFormat="1" ht="15.6" x14ac:dyDescent="0.3">
      <c r="A190" s="1376"/>
      <c r="B190" s="1459"/>
      <c r="C190" s="1388"/>
      <c r="D190" s="597"/>
      <c r="E190" s="597"/>
      <c r="F190" s="597"/>
      <c r="G190" s="597"/>
      <c r="H190" s="597"/>
      <c r="I190" s="1389"/>
      <c r="J190" s="371" t="s">
        <v>162</v>
      </c>
      <c r="K190" s="457">
        <f>1635414-8.85-350-150000</f>
        <v>1485055.15</v>
      </c>
      <c r="L190" s="532"/>
      <c r="M190" s="601">
        <f>71790.37+2972.2+22971.77+43749.18+352.62+26090+4450+14249.64+13428.56+119347.71+44706.09+88494.97-2638.65+26833.86+150861.83+68101.13</f>
        <v>695761.27999999991</v>
      </c>
      <c r="N190" s="588"/>
      <c r="O190" s="595"/>
      <c r="P190" s="600"/>
    </row>
    <row r="191" spans="1:16" s="375" customFormat="1" ht="15.6" x14ac:dyDescent="0.3">
      <c r="A191" s="1365"/>
      <c r="B191" s="1387"/>
      <c r="C191" s="1379"/>
      <c r="D191" s="597"/>
      <c r="E191" s="597"/>
      <c r="F191" s="597"/>
      <c r="G191" s="597"/>
      <c r="H191" s="597"/>
      <c r="I191" s="1390"/>
      <c r="J191" s="371" t="s">
        <v>586</v>
      </c>
      <c r="K191" s="457">
        <f>114786+350+150000</f>
        <v>265136</v>
      </c>
      <c r="L191" s="532"/>
      <c r="M191" s="601">
        <f>26250+4000+28801.64+8344.79+350+30169.51+3801.78+7542.19</f>
        <v>109259.90999999999</v>
      </c>
      <c r="N191" s="588"/>
      <c r="O191" s="595"/>
      <c r="P191" s="600"/>
    </row>
    <row r="192" spans="1:16" s="375" customFormat="1" ht="24.75" customHeight="1" x14ac:dyDescent="0.3">
      <c r="A192" s="1375">
        <v>8</v>
      </c>
      <c r="B192" s="1385" t="s">
        <v>899</v>
      </c>
      <c r="C192" s="1410" t="s">
        <v>1090</v>
      </c>
      <c r="D192" s="845"/>
      <c r="E192" s="846"/>
      <c r="F192" s="846"/>
      <c r="G192" s="846"/>
      <c r="H192" s="899"/>
      <c r="I192" s="1414" t="s">
        <v>1325</v>
      </c>
      <c r="J192" s="371" t="s">
        <v>586</v>
      </c>
      <c r="K192" s="457">
        <v>100000</v>
      </c>
      <c r="L192" s="532"/>
      <c r="M192" s="601"/>
      <c r="N192" s="588"/>
      <c r="O192" s="595"/>
      <c r="P192" s="600"/>
    </row>
    <row r="193" spans="1:16" s="375" customFormat="1" ht="33.75" customHeight="1" x14ac:dyDescent="0.3">
      <c r="A193" s="1365"/>
      <c r="B193" s="1424"/>
      <c r="C193" s="1411"/>
      <c r="D193" s="845"/>
      <c r="E193" s="846"/>
      <c r="F193" s="846"/>
      <c r="G193" s="846"/>
      <c r="H193" s="899"/>
      <c r="I193" s="1413"/>
      <c r="J193" s="371" t="s">
        <v>764</v>
      </c>
      <c r="K193" s="673">
        <f>15024600+54.55-100000-3663248.83</f>
        <v>11261405.720000001</v>
      </c>
      <c r="L193" s="532"/>
      <c r="M193" s="589">
        <f>1902501+372964.26+186482.16+1933297+186482.1+927384+213822.55+1172850.86+1170050.79</f>
        <v>8065834.7199999997</v>
      </c>
      <c r="N193" s="588"/>
      <c r="O193" s="595" t="s">
        <v>1084</v>
      </c>
      <c r="P193" s="599"/>
    </row>
    <row r="194" spans="1:16" s="366" customFormat="1" ht="31.2" hidden="1" x14ac:dyDescent="0.3">
      <c r="A194" s="596">
        <v>8</v>
      </c>
      <c r="B194" s="605" t="s">
        <v>1032</v>
      </c>
      <c r="C194" s="395" t="s">
        <v>1111</v>
      </c>
      <c r="D194" s="592"/>
      <c r="E194" s="592"/>
      <c r="F194" s="592"/>
      <c r="G194" s="592"/>
      <c r="H194" s="592"/>
      <c r="I194" s="477" t="s">
        <v>1112</v>
      </c>
      <c r="J194" s="371" t="s">
        <v>586</v>
      </c>
      <c r="K194" s="795"/>
      <c r="L194" s="532"/>
      <c r="M194" s="598"/>
      <c r="O194" s="595" t="s">
        <v>151</v>
      </c>
    </row>
    <row r="195" spans="1:16" s="366" customFormat="1" ht="31.2" hidden="1" x14ac:dyDescent="0.3">
      <c r="A195" s="596">
        <v>8</v>
      </c>
      <c r="B195" s="423"/>
      <c r="C195" s="395"/>
      <c r="D195" s="592"/>
      <c r="E195" s="592"/>
      <c r="F195" s="592"/>
      <c r="G195" s="592"/>
      <c r="H195" s="592"/>
      <c r="I195" s="477"/>
      <c r="J195" s="371"/>
      <c r="K195" s="795"/>
      <c r="L195" s="532"/>
      <c r="M195" s="598"/>
      <c r="O195" s="595" t="s">
        <v>151</v>
      </c>
    </row>
    <row r="196" spans="1:16" s="366" customFormat="1" ht="31.2" x14ac:dyDescent="0.3">
      <c r="A196" s="861">
        <v>9</v>
      </c>
      <c r="B196" s="606" t="s">
        <v>1365</v>
      </c>
      <c r="C196" s="859" t="s">
        <v>1103</v>
      </c>
      <c r="D196" s="586"/>
      <c r="E196" s="586"/>
      <c r="F196" s="586"/>
      <c r="G196" s="586"/>
      <c r="H196" s="586"/>
      <c r="I196" s="587" t="s">
        <v>1366</v>
      </c>
      <c r="J196" s="371" t="s">
        <v>586</v>
      </c>
      <c r="K196" s="793">
        <f>2300000+1500000</f>
        <v>3800000</v>
      </c>
      <c r="L196" s="532"/>
      <c r="M196" s="598">
        <f>2300000</f>
        <v>2300000</v>
      </c>
      <c r="O196" s="595"/>
    </row>
    <row r="197" spans="1:16" s="366" customFormat="1" ht="62.4" x14ac:dyDescent="0.3">
      <c r="A197" s="861">
        <v>10</v>
      </c>
      <c r="B197" s="754" t="s">
        <v>1388</v>
      </c>
      <c r="C197" s="859" t="s">
        <v>1111</v>
      </c>
      <c r="D197" s="586"/>
      <c r="E197" s="586"/>
      <c r="F197" s="586"/>
      <c r="G197" s="586"/>
      <c r="H197" s="586"/>
      <c r="I197" s="587" t="s">
        <v>1389</v>
      </c>
      <c r="J197" s="371" t="s">
        <v>764</v>
      </c>
      <c r="K197" s="793">
        <v>471100</v>
      </c>
      <c r="L197" s="532"/>
      <c r="M197" s="598"/>
      <c r="O197" s="595"/>
    </row>
    <row r="198" spans="1:16" s="366" customFormat="1" ht="62.4" x14ac:dyDescent="0.3">
      <c r="A198" s="861">
        <v>11</v>
      </c>
      <c r="B198" s="606" t="s">
        <v>514</v>
      </c>
      <c r="C198" s="859" t="s">
        <v>1113</v>
      </c>
      <c r="D198" s="586"/>
      <c r="E198" s="586"/>
      <c r="F198" s="586"/>
      <c r="G198" s="586"/>
      <c r="H198" s="586"/>
      <c r="I198" s="587" t="s">
        <v>1292</v>
      </c>
      <c r="J198" s="371" t="s">
        <v>700</v>
      </c>
      <c r="K198" s="793">
        <v>2178000</v>
      </c>
      <c r="L198" s="532"/>
      <c r="M198" s="598">
        <f>1518000+660000</f>
        <v>2178000</v>
      </c>
      <c r="O198" s="595" t="s">
        <v>151</v>
      </c>
    </row>
    <row r="199" spans="1:16" s="366" customFormat="1" ht="31.2" x14ac:dyDescent="0.3">
      <c r="A199" s="1375">
        <v>12</v>
      </c>
      <c r="B199" s="1456" t="s">
        <v>1150</v>
      </c>
      <c r="C199" s="395" t="s">
        <v>1130</v>
      </c>
      <c r="D199" s="396"/>
      <c r="E199" s="396"/>
      <c r="F199" s="396"/>
      <c r="G199" s="396"/>
      <c r="H199" s="396"/>
      <c r="I199" s="397" t="s">
        <v>1234</v>
      </c>
      <c r="J199" s="371"/>
      <c r="K199" s="796">
        <f>K200+K201</f>
        <v>584381.05000000005</v>
      </c>
      <c r="L199" s="368"/>
      <c r="M199" s="796">
        <f>M200+M201</f>
        <v>284380.94999999995</v>
      </c>
      <c r="N199" s="365"/>
      <c r="O199" s="374" t="s">
        <v>151</v>
      </c>
    </row>
    <row r="200" spans="1:16" s="366" customFormat="1" ht="15.6" x14ac:dyDescent="0.3">
      <c r="A200" s="1376"/>
      <c r="B200" s="1457"/>
      <c r="C200" s="894"/>
      <c r="D200" s="399"/>
      <c r="E200" s="399"/>
      <c r="F200" s="399"/>
      <c r="G200" s="399"/>
      <c r="H200" s="399"/>
      <c r="I200" s="896"/>
      <c r="J200" s="371" t="s">
        <v>162</v>
      </c>
      <c r="K200" s="797">
        <f>538299.94-18.95</f>
        <v>538280.99</v>
      </c>
      <c r="L200" s="368"/>
      <c r="M200" s="361">
        <f>25979.4+7845.78+10481.82+35807.18+13979.28+20153.79+6086.43+33773.22+10199.53+25979.4+7845.78+33825.17+33825.17</f>
        <v>265781.94999999995</v>
      </c>
      <c r="N200" s="365"/>
      <c r="O200" s="374"/>
    </row>
    <row r="201" spans="1:16" s="366" customFormat="1" ht="15.6" x14ac:dyDescent="0.3">
      <c r="A201" s="1365"/>
      <c r="B201" s="1368"/>
      <c r="C201" s="392"/>
      <c r="D201" s="370"/>
      <c r="E201" s="370"/>
      <c r="F201" s="370"/>
      <c r="G201" s="370"/>
      <c r="H201" s="370"/>
      <c r="I201" s="398"/>
      <c r="J201" s="371" t="s">
        <v>586</v>
      </c>
      <c r="K201" s="797">
        <v>46100.06</v>
      </c>
      <c r="L201" s="368"/>
      <c r="M201" s="361">
        <f>8599+10000</f>
        <v>18599</v>
      </c>
      <c r="N201" s="365"/>
      <c r="O201" s="374"/>
    </row>
    <row r="202" spans="1:16" s="366" customFormat="1" ht="34.799999999999997" x14ac:dyDescent="0.3">
      <c r="A202" s="1375">
        <v>13</v>
      </c>
      <c r="B202" s="607" t="s">
        <v>1215</v>
      </c>
      <c r="C202" s="392"/>
      <c r="D202" s="370"/>
      <c r="E202" s="370"/>
      <c r="F202" s="370"/>
      <c r="G202" s="370"/>
      <c r="H202" s="370"/>
      <c r="I202" s="497"/>
      <c r="J202" s="371"/>
      <c r="K202" s="797"/>
      <c r="L202" s="368"/>
      <c r="M202" s="486"/>
      <c r="N202" s="365"/>
      <c r="O202" s="374"/>
    </row>
    <row r="203" spans="1:16" s="366" customFormat="1" ht="31.2" x14ac:dyDescent="0.3">
      <c r="A203" s="1376"/>
      <c r="B203" s="1377" t="s">
        <v>1216</v>
      </c>
      <c r="C203" s="395" t="s">
        <v>1141</v>
      </c>
      <c r="D203" s="592"/>
      <c r="E203" s="592"/>
      <c r="F203" s="592"/>
      <c r="G203" s="592"/>
      <c r="H203" s="592"/>
      <c r="I203" s="594" t="s">
        <v>1279</v>
      </c>
      <c r="J203" s="371"/>
      <c r="K203" s="796">
        <f>K204+K205</f>
        <v>573397.1</v>
      </c>
      <c r="L203" s="368"/>
      <c r="M203" s="796">
        <f>M204+M205</f>
        <v>330281.77999999997</v>
      </c>
      <c r="N203" s="365"/>
      <c r="O203" s="374" t="s">
        <v>151</v>
      </c>
    </row>
    <row r="204" spans="1:16" s="366" customFormat="1" ht="15.6" x14ac:dyDescent="0.3">
      <c r="A204" s="1376"/>
      <c r="B204" s="1377"/>
      <c r="C204" s="1388"/>
      <c r="D204" s="592"/>
      <c r="E204" s="592"/>
      <c r="F204" s="592"/>
      <c r="G204" s="592"/>
      <c r="H204" s="592"/>
      <c r="I204" s="1395"/>
      <c r="J204" s="371" t="s">
        <v>162</v>
      </c>
      <c r="K204" s="797">
        <f>539686.9-2.9</f>
        <v>539684</v>
      </c>
      <c r="L204" s="368"/>
      <c r="M204" s="361">
        <f>29652.04+8954.91+3932.34+57670.74+5700+18604.14+38547.65+11641.39+22413.32+78216.34+113.9+38264.52-113.9-113.9</f>
        <v>313483.49</v>
      </c>
      <c r="N204" s="365"/>
      <c r="O204" s="374"/>
    </row>
    <row r="205" spans="1:16" s="366" customFormat="1" ht="15.6" x14ac:dyDescent="0.3">
      <c r="A205" s="1376"/>
      <c r="B205" s="1377"/>
      <c r="C205" s="1379"/>
      <c r="D205" s="592"/>
      <c r="E205" s="592"/>
      <c r="F205" s="592"/>
      <c r="G205" s="592"/>
      <c r="H205" s="592"/>
      <c r="I205" s="1393"/>
      <c r="J205" s="371" t="s">
        <v>586</v>
      </c>
      <c r="K205" s="797">
        <v>33713.1</v>
      </c>
      <c r="L205" s="368"/>
      <c r="M205" s="361">
        <f>1767.46+3423.81+1335.61+1731.41+1770+6770</f>
        <v>16798.29</v>
      </c>
      <c r="N205" s="365"/>
      <c r="O205" s="374"/>
    </row>
    <row r="206" spans="1:16" s="366" customFormat="1" ht="62.4" x14ac:dyDescent="0.3">
      <c r="A206" s="1376"/>
      <c r="B206" s="608" t="s">
        <v>1217</v>
      </c>
      <c r="C206" s="395" t="s">
        <v>1142</v>
      </c>
      <c r="D206" s="592"/>
      <c r="E206" s="592"/>
      <c r="F206" s="592"/>
      <c r="G206" s="592"/>
      <c r="H206" s="592"/>
      <c r="I206" s="594" t="s">
        <v>1305</v>
      </c>
      <c r="J206" s="371" t="s">
        <v>613</v>
      </c>
      <c r="K206" s="796">
        <f>43977400-56.79</f>
        <v>43977343.210000001</v>
      </c>
      <c r="L206" s="368"/>
      <c r="M206" s="598">
        <f>2619427.54+595333.96+2415772.19+683972.58+2501762.64+714093.95+2735760.22+679286.64+2690562.84+672144.96+3701564.9+3550587.42</f>
        <v>23560269.839999996</v>
      </c>
      <c r="N206" s="365"/>
      <c r="O206" s="1350" t="s">
        <v>968</v>
      </c>
    </row>
    <row r="207" spans="1:16" s="366" customFormat="1" ht="15.6" x14ac:dyDescent="0.3">
      <c r="A207" s="1376"/>
      <c r="B207" s="1377" t="s">
        <v>1218</v>
      </c>
      <c r="C207" s="395" t="s">
        <v>1105</v>
      </c>
      <c r="D207" s="592"/>
      <c r="E207" s="592"/>
      <c r="F207" s="592"/>
      <c r="G207" s="592"/>
      <c r="H207" s="592"/>
      <c r="I207" s="594" t="s">
        <v>1313</v>
      </c>
      <c r="J207" s="371"/>
      <c r="K207" s="796">
        <f>K208+K209</f>
        <v>155831249.56999999</v>
      </c>
      <c r="L207" s="368"/>
      <c r="M207" s="796">
        <f>M208+M209</f>
        <v>94684718.269999996</v>
      </c>
      <c r="N207" s="365"/>
      <c r="O207" s="1394"/>
    </row>
    <row r="208" spans="1:16" s="366" customFormat="1" ht="15.6" x14ac:dyDescent="0.3">
      <c r="A208" s="1376"/>
      <c r="B208" s="1377"/>
      <c r="C208" s="1388"/>
      <c r="D208" s="592"/>
      <c r="E208" s="592"/>
      <c r="F208" s="592"/>
      <c r="G208" s="592"/>
      <c r="H208" s="592"/>
      <c r="I208" s="1395"/>
      <c r="J208" s="371" t="s">
        <v>586</v>
      </c>
      <c r="K208" s="797"/>
      <c r="L208" s="368"/>
      <c r="M208" s="361"/>
      <c r="N208" s="365"/>
      <c r="O208" s="1394"/>
    </row>
    <row r="209" spans="1:15" s="366" customFormat="1" ht="15.6" x14ac:dyDescent="0.3">
      <c r="A209" s="1376"/>
      <c r="B209" s="1377"/>
      <c r="C209" s="1379"/>
      <c r="D209" s="592"/>
      <c r="E209" s="592"/>
      <c r="F209" s="592"/>
      <c r="G209" s="592"/>
      <c r="H209" s="592"/>
      <c r="I209" s="1393"/>
      <c r="J209" s="371" t="s">
        <v>613</v>
      </c>
      <c r="K209" s="797">
        <f>155831300-50.43</f>
        <v>155831249.56999999</v>
      </c>
      <c r="L209" s="368"/>
      <c r="M209" s="361">
        <f>9004508.92+591141.05+12556560.11+488552.18+11893748.58+540298.1+12499910.88+540211.56+690980.37+14512375.96+29462273.57+1904156.99</f>
        <v>94684718.269999996</v>
      </c>
      <c r="N209" s="365"/>
      <c r="O209" s="1394"/>
    </row>
    <row r="210" spans="1:15" s="366" customFormat="1" ht="15.6" x14ac:dyDescent="0.3">
      <c r="A210" s="1376"/>
      <c r="B210" s="1377" t="s">
        <v>1368</v>
      </c>
      <c r="C210" s="1388" t="s">
        <v>1145</v>
      </c>
      <c r="D210" s="592"/>
      <c r="E210" s="592"/>
      <c r="F210" s="592"/>
      <c r="G210" s="592"/>
      <c r="H210" s="592"/>
      <c r="I210" s="1395" t="s">
        <v>1326</v>
      </c>
      <c r="J210" s="371"/>
      <c r="K210" s="796">
        <f>K212+K213+K211</f>
        <v>7075422.9199999999</v>
      </c>
      <c r="L210" s="368"/>
      <c r="M210" s="796">
        <f>M212+M213+M211</f>
        <v>5729994.04</v>
      </c>
      <c r="N210" s="365"/>
      <c r="O210" s="1394"/>
    </row>
    <row r="211" spans="1:15" s="366" customFormat="1" ht="15.6" x14ac:dyDescent="0.3">
      <c r="A211" s="1376"/>
      <c r="B211" s="1377"/>
      <c r="C211" s="1405"/>
      <c r="D211" s="592"/>
      <c r="E211" s="592"/>
      <c r="F211" s="592"/>
      <c r="G211" s="592"/>
      <c r="H211" s="592"/>
      <c r="I211" s="1406"/>
      <c r="J211" s="371" t="s">
        <v>586</v>
      </c>
      <c r="K211" s="797">
        <v>50400</v>
      </c>
      <c r="L211" s="368"/>
      <c r="M211" s="787">
        <f>5615.36+5627.77</f>
        <v>11243.130000000001</v>
      </c>
      <c r="N211" s="365"/>
      <c r="O211" s="1394"/>
    </row>
    <row r="212" spans="1:15" s="366" customFormat="1" ht="15.6" x14ac:dyDescent="0.3">
      <c r="A212" s="1376"/>
      <c r="B212" s="1377"/>
      <c r="C212" s="1405"/>
      <c r="D212" s="592"/>
      <c r="E212" s="592"/>
      <c r="F212" s="592"/>
      <c r="G212" s="592"/>
      <c r="H212" s="592"/>
      <c r="I212" s="1406"/>
      <c r="J212" s="371" t="s">
        <v>764</v>
      </c>
      <c r="K212" s="797">
        <f>7075400+22.92-4825400-50400</f>
        <v>2199622.92</v>
      </c>
      <c r="L212" s="368"/>
      <c r="M212" s="361">
        <f>615180.58+275872.01+285664.98+562777.7+215247.82</f>
        <v>1954743.0899999999</v>
      </c>
      <c r="N212" s="365"/>
      <c r="O212" s="1394"/>
    </row>
    <row r="213" spans="1:15" s="366" customFormat="1" ht="15.6" x14ac:dyDescent="0.3">
      <c r="A213" s="1376"/>
      <c r="B213" s="1377"/>
      <c r="C213" s="1379"/>
      <c r="D213" s="592"/>
      <c r="E213" s="592"/>
      <c r="F213" s="592"/>
      <c r="G213" s="592"/>
      <c r="H213" s="592"/>
      <c r="I213" s="1393"/>
      <c r="J213" s="371" t="s">
        <v>613</v>
      </c>
      <c r="K213" s="797">
        <v>4825400</v>
      </c>
      <c r="L213" s="368"/>
      <c r="M213" s="361">
        <f>1295117.99+274734.8+136154.6+189158.35+527701.61+166435.54+1007935.24+166769.69</f>
        <v>3764007.82</v>
      </c>
      <c r="N213" s="365"/>
      <c r="O213" s="1394"/>
    </row>
    <row r="214" spans="1:15" s="366" customFormat="1" ht="46.8" x14ac:dyDescent="0.3">
      <c r="A214" s="1376"/>
      <c r="B214" s="608" t="s">
        <v>1220</v>
      </c>
      <c r="C214" s="860" t="s">
        <v>1105</v>
      </c>
      <c r="D214" s="592"/>
      <c r="E214" s="592"/>
      <c r="F214" s="592"/>
      <c r="G214" s="592"/>
      <c r="H214" s="592"/>
      <c r="I214" s="610" t="s">
        <v>1189</v>
      </c>
      <c r="J214" s="371" t="s">
        <v>613</v>
      </c>
      <c r="K214" s="796"/>
      <c r="L214" s="368"/>
      <c r="M214" s="598"/>
      <c r="N214" s="365"/>
      <c r="O214" s="1394"/>
    </row>
    <row r="215" spans="1:15" s="366" customFormat="1" ht="15.6" x14ac:dyDescent="0.3">
      <c r="A215" s="1376"/>
      <c r="B215" s="1377" t="s">
        <v>1221</v>
      </c>
      <c r="C215" s="860" t="s">
        <v>1143</v>
      </c>
      <c r="D215" s="592"/>
      <c r="E215" s="592"/>
      <c r="F215" s="592"/>
      <c r="G215" s="592"/>
      <c r="H215" s="592"/>
      <c r="I215" s="610" t="s">
        <v>1319</v>
      </c>
      <c r="J215" s="371"/>
      <c r="K215" s="796">
        <f>K217+K218+K216</f>
        <v>1566340</v>
      </c>
      <c r="L215" s="368"/>
      <c r="M215" s="796">
        <f>M217+M218+M216</f>
        <v>1566340</v>
      </c>
      <c r="N215" s="365"/>
      <c r="O215" s="1394"/>
    </row>
    <row r="216" spans="1:15" s="366" customFormat="1" ht="15.6" x14ac:dyDescent="0.3">
      <c r="A216" s="1376"/>
      <c r="B216" s="1377"/>
      <c r="C216" s="860"/>
      <c r="D216" s="592"/>
      <c r="E216" s="592"/>
      <c r="F216" s="592"/>
      <c r="G216" s="592"/>
      <c r="H216" s="592"/>
      <c r="I216" s="610"/>
      <c r="J216" s="371" t="s">
        <v>586</v>
      </c>
      <c r="K216" s="797">
        <v>239030.39999999999</v>
      </c>
      <c r="L216" s="368"/>
      <c r="M216" s="787">
        <v>239030.39999999999</v>
      </c>
      <c r="N216" s="365"/>
      <c r="O216" s="1394"/>
    </row>
    <row r="217" spans="1:15" s="366" customFormat="1" ht="15.6" x14ac:dyDescent="0.3">
      <c r="A217" s="1376"/>
      <c r="B217" s="1377"/>
      <c r="C217" s="860"/>
      <c r="D217" s="592"/>
      <c r="E217" s="592"/>
      <c r="F217" s="592"/>
      <c r="G217" s="592"/>
      <c r="H217" s="592"/>
      <c r="I217" s="610"/>
      <c r="J217" s="371" t="s">
        <v>764</v>
      </c>
      <c r="K217" s="797"/>
      <c r="L217" s="368"/>
      <c r="M217" s="361"/>
      <c r="N217" s="365"/>
      <c r="O217" s="1394"/>
    </row>
    <row r="218" spans="1:15" s="366" customFormat="1" ht="15.6" x14ac:dyDescent="0.3">
      <c r="A218" s="1376"/>
      <c r="B218" s="1377"/>
      <c r="C218" s="860"/>
      <c r="D218" s="592"/>
      <c r="E218" s="592"/>
      <c r="F218" s="592"/>
      <c r="G218" s="592"/>
      <c r="H218" s="592"/>
      <c r="I218" s="610"/>
      <c r="J218" s="371" t="s">
        <v>613</v>
      </c>
      <c r="K218" s="381">
        <f>1361000+130+205210-239030.4</f>
        <v>1327309.6000000001</v>
      </c>
      <c r="L218" s="368"/>
      <c r="M218" s="361">
        <v>1327309.6000000001</v>
      </c>
      <c r="N218" s="365"/>
      <c r="O218" s="1394"/>
    </row>
    <row r="219" spans="1:15" s="366" customFormat="1" ht="46.8" x14ac:dyDescent="0.3">
      <c r="A219" s="1376"/>
      <c r="B219" s="748" t="s">
        <v>1396</v>
      </c>
      <c r="C219" s="550" t="s">
        <v>1398</v>
      </c>
      <c r="D219" s="592"/>
      <c r="E219" s="592"/>
      <c r="F219" s="592"/>
      <c r="G219" s="592"/>
      <c r="H219" s="592"/>
      <c r="I219" s="611" t="s">
        <v>1399</v>
      </c>
      <c r="J219" s="397" t="s">
        <v>613</v>
      </c>
      <c r="K219" s="612">
        <v>456000</v>
      </c>
      <c r="L219" s="368"/>
      <c r="M219" s="613"/>
      <c r="N219" s="365"/>
      <c r="O219" s="1394"/>
    </row>
    <row r="220" spans="1:15" s="713" customFormat="1" ht="46.8" x14ac:dyDescent="0.3">
      <c r="A220" s="1376"/>
      <c r="B220" s="608" t="s">
        <v>1223</v>
      </c>
      <c r="C220" s="550" t="s">
        <v>1142</v>
      </c>
      <c r="D220" s="592"/>
      <c r="E220" s="592"/>
      <c r="F220" s="592"/>
      <c r="G220" s="592"/>
      <c r="H220" s="592"/>
      <c r="I220" s="611" t="s">
        <v>1371</v>
      </c>
      <c r="J220" s="397" t="s">
        <v>700</v>
      </c>
      <c r="K220" s="536">
        <f>1929041.48+80226.97</f>
        <v>2009268.45</v>
      </c>
      <c r="L220" s="368"/>
      <c r="M220" s="613">
        <f>1929041.48+80226.97</f>
        <v>2009268.45</v>
      </c>
      <c r="N220" s="712"/>
      <c r="O220" s="1394"/>
    </row>
    <row r="221" spans="1:15" s="366" customFormat="1" ht="46.8" x14ac:dyDescent="0.3">
      <c r="A221" s="1376"/>
      <c r="B221" s="608" t="s">
        <v>1224</v>
      </c>
      <c r="C221" s="550" t="s">
        <v>1105</v>
      </c>
      <c r="D221" s="592"/>
      <c r="E221" s="592"/>
      <c r="F221" s="592"/>
      <c r="G221" s="592"/>
      <c r="H221" s="592"/>
      <c r="I221" s="611" t="s">
        <v>1193</v>
      </c>
      <c r="J221" s="397" t="s">
        <v>613</v>
      </c>
      <c r="K221" s="536"/>
      <c r="L221" s="368"/>
      <c r="M221" s="613"/>
      <c r="N221" s="365"/>
      <c r="O221" s="1352"/>
    </row>
    <row r="222" spans="1:15" s="366" customFormat="1" ht="17.399999999999999" x14ac:dyDescent="0.3">
      <c r="A222" s="1365"/>
      <c r="B222" s="614" t="s">
        <v>483</v>
      </c>
      <c r="C222" s="615"/>
      <c r="D222" s="616"/>
      <c r="E222" s="616"/>
      <c r="F222" s="616"/>
      <c r="G222" s="616"/>
      <c r="H222" s="616"/>
      <c r="I222" s="617"/>
      <c r="J222" s="371"/>
      <c r="K222" s="796">
        <f>K203+K206+K207+K210+K214+K215+K219+K220+K221</f>
        <v>211489021.24999997</v>
      </c>
      <c r="L222" s="618"/>
      <c r="M222" s="796">
        <f>M203+M206+M207+M210+M214+M215+M219+M220+M221</f>
        <v>127880872.38</v>
      </c>
      <c r="N222" s="365"/>
      <c r="O222" s="619"/>
    </row>
    <row r="223" spans="1:15" s="366" customFormat="1" ht="36" x14ac:dyDescent="0.35">
      <c r="A223" s="862">
        <v>13</v>
      </c>
      <c r="B223" s="620" t="s">
        <v>1164</v>
      </c>
      <c r="C223" s="395" t="s">
        <v>1109</v>
      </c>
      <c r="D223" s="592"/>
      <c r="E223" s="592"/>
      <c r="F223" s="592"/>
      <c r="G223" s="592"/>
      <c r="H223" s="592"/>
      <c r="I223" s="611"/>
      <c r="J223" s="397"/>
      <c r="K223" s="536">
        <f>K224+K225+K226</f>
        <v>0</v>
      </c>
      <c r="L223" s="618"/>
      <c r="M223" s="536"/>
      <c r="N223" s="365"/>
      <c r="O223" s="432" t="s">
        <v>151</v>
      </c>
    </row>
    <row r="224" spans="1:15" s="366" customFormat="1" ht="46.8" x14ac:dyDescent="0.3">
      <c r="A224" s="862">
        <v>14</v>
      </c>
      <c r="B224" s="621" t="s">
        <v>1165</v>
      </c>
      <c r="C224" s="395" t="s">
        <v>1109</v>
      </c>
      <c r="D224" s="592"/>
      <c r="E224" s="592"/>
      <c r="F224" s="592"/>
      <c r="G224" s="592"/>
      <c r="H224" s="592"/>
      <c r="I224" s="611" t="s">
        <v>1166</v>
      </c>
      <c r="J224" s="397" t="s">
        <v>700</v>
      </c>
      <c r="K224" s="536"/>
      <c r="L224" s="618"/>
      <c r="M224" s="798"/>
      <c r="N224" s="365"/>
      <c r="O224" s="619"/>
    </row>
    <row r="225" spans="1:15" s="366" customFormat="1" ht="31.2" x14ac:dyDescent="0.3">
      <c r="A225" s="862">
        <v>15</v>
      </c>
      <c r="B225" s="466" t="s">
        <v>1176</v>
      </c>
      <c r="C225" s="451" t="s">
        <v>1109</v>
      </c>
      <c r="I225" s="531" t="s">
        <v>1177</v>
      </c>
      <c r="J225" s="397" t="s">
        <v>700</v>
      </c>
      <c r="K225" s="536"/>
      <c r="L225" s="618"/>
      <c r="M225" s="798"/>
      <c r="N225" s="365"/>
      <c r="O225" s="619"/>
    </row>
    <row r="226" spans="1:15" s="366" customFormat="1" ht="15.6" x14ac:dyDescent="0.3">
      <c r="A226" s="862">
        <v>16</v>
      </c>
      <c r="B226" s="521" t="s">
        <v>1207</v>
      </c>
      <c r="C226" s="451" t="s">
        <v>1111</v>
      </c>
      <c r="I226" s="531" t="s">
        <v>1208</v>
      </c>
      <c r="J226" s="397" t="s">
        <v>764</v>
      </c>
      <c r="K226" s="536"/>
      <c r="L226" s="618"/>
      <c r="M226" s="536"/>
      <c r="N226" s="365"/>
      <c r="O226" s="619"/>
    </row>
    <row r="227" spans="1:15" s="366" customFormat="1" ht="18" x14ac:dyDescent="0.35">
      <c r="A227" s="862">
        <v>17</v>
      </c>
      <c r="B227" s="623" t="s">
        <v>322</v>
      </c>
      <c r="C227" s="451" t="s">
        <v>1159</v>
      </c>
      <c r="I227" s="531" t="s">
        <v>1178</v>
      </c>
      <c r="J227" s="397" t="s">
        <v>813</v>
      </c>
      <c r="K227" s="536"/>
      <c r="L227" s="618"/>
      <c r="M227" s="536"/>
      <c r="N227" s="365"/>
      <c r="O227" s="448" t="s">
        <v>1179</v>
      </c>
    </row>
    <row r="228" spans="1:15" s="366" customFormat="1" ht="46.8" x14ac:dyDescent="0.3">
      <c r="A228" s="862">
        <v>18</v>
      </c>
      <c r="B228" s="466" t="s">
        <v>1199</v>
      </c>
      <c r="C228" s="451" t="s">
        <v>1103</v>
      </c>
      <c r="I228" s="531" t="s">
        <v>1200</v>
      </c>
      <c r="J228" s="397" t="s">
        <v>586</v>
      </c>
      <c r="K228" s="536"/>
      <c r="L228" s="618"/>
      <c r="M228" s="536"/>
      <c r="N228" s="365"/>
      <c r="O228" s="432" t="s">
        <v>151</v>
      </c>
    </row>
    <row r="229" spans="1:15" s="474" customFormat="1" ht="62.4" x14ac:dyDescent="0.3">
      <c r="A229" s="624">
        <v>14</v>
      </c>
      <c r="B229" s="423" t="s">
        <v>601</v>
      </c>
      <c r="C229" s="550" t="s">
        <v>1227</v>
      </c>
      <c r="I229" s="611" t="s">
        <v>1228</v>
      </c>
      <c r="J229" s="397" t="s">
        <v>586</v>
      </c>
      <c r="K229" s="536">
        <f>24200-13.73</f>
        <v>24186.27</v>
      </c>
      <c r="L229" s="618"/>
      <c r="M229" s="536"/>
      <c r="N229" s="476"/>
      <c r="O229" s="432"/>
    </row>
    <row r="230" spans="1:15" s="474" customFormat="1" ht="31.2" x14ac:dyDescent="0.3">
      <c r="A230" s="624">
        <v>15</v>
      </c>
      <c r="B230" s="416" t="s">
        <v>1369</v>
      </c>
      <c r="C230" s="550" t="s">
        <v>1109</v>
      </c>
      <c r="I230" s="611" t="s">
        <v>1370</v>
      </c>
      <c r="J230" s="397" t="s">
        <v>700</v>
      </c>
      <c r="K230" s="536">
        <f>7065202.59+155395336</f>
        <v>162460538.59</v>
      </c>
      <c r="L230" s="618"/>
      <c r="M230" s="536">
        <f>2660770.7</f>
        <v>2660770.7000000002</v>
      </c>
      <c r="N230" s="476"/>
      <c r="O230" s="432"/>
    </row>
    <row r="231" spans="1:15" ht="21" x14ac:dyDescent="0.4">
      <c r="A231" s="410"/>
      <c r="B231" s="402" t="s">
        <v>1151</v>
      </c>
      <c r="C231" s="411"/>
      <c r="D231" s="411"/>
      <c r="E231" s="411"/>
      <c r="F231" s="411"/>
      <c r="G231" s="411"/>
      <c r="H231" s="411"/>
      <c r="I231" s="412"/>
      <c r="J231" s="413"/>
      <c r="K231" s="676">
        <f>K180+K184+K185+K187+K188+K189+K193+K194+K195+K198+K199+K222+K223+K225+K227+K228+K229+K196+K230+K183+K197+K186+K192</f>
        <v>490139703.9799999</v>
      </c>
      <c r="L231" s="408"/>
      <c r="M231" s="676">
        <f>M180+M184+M185+M187+M188+M189+M193+M194+M195+M198+M199+M222+M223+M225+M227+M228+M229+M196+M230+M183+M197+M186+M192</f>
        <v>196744318.43000001</v>
      </c>
      <c r="N231" s="354"/>
      <c r="O231" s="354"/>
    </row>
    <row r="232" spans="1:15" ht="46.8" x14ac:dyDescent="0.3">
      <c r="A232" s="444">
        <v>1</v>
      </c>
      <c r="B232" s="423" t="s">
        <v>513</v>
      </c>
      <c r="C232" s="859" t="s">
        <v>1113</v>
      </c>
      <c r="D232" s="586"/>
      <c r="E232" s="586"/>
      <c r="F232" s="586"/>
      <c r="G232" s="586"/>
      <c r="H232" s="586"/>
      <c r="I232" s="587" t="s">
        <v>1291</v>
      </c>
      <c r="J232" s="834" t="s">
        <v>700</v>
      </c>
      <c r="K232" s="421">
        <f>4356000+1089000</f>
        <v>5445000</v>
      </c>
      <c r="L232" s="366"/>
      <c r="M232" s="598">
        <v>195424</v>
      </c>
      <c r="N232" s="366"/>
      <c r="O232" s="595" t="s">
        <v>151</v>
      </c>
    </row>
    <row r="233" spans="1:15" ht="15.6" x14ac:dyDescent="0.3">
      <c r="A233" s="1460">
        <v>2</v>
      </c>
      <c r="B233" s="1420" t="s">
        <v>1390</v>
      </c>
      <c r="C233" s="395" t="s">
        <v>1111</v>
      </c>
      <c r="D233" s="592"/>
      <c r="E233" s="592"/>
      <c r="F233" s="592"/>
      <c r="G233" s="592"/>
      <c r="H233" s="592"/>
      <c r="I233" s="397" t="s">
        <v>1391</v>
      </c>
      <c r="J233" s="397" t="s">
        <v>764</v>
      </c>
      <c r="K233" s="622">
        <f>400000-400000</f>
        <v>0</v>
      </c>
      <c r="L233" s="366"/>
      <c r="M233" s="598"/>
      <c r="N233" s="366"/>
      <c r="O233" s="595"/>
    </row>
    <row r="234" spans="1:15" ht="15.6" x14ac:dyDescent="0.3">
      <c r="A234" s="1419"/>
      <c r="B234" s="1421"/>
      <c r="C234" s="395" t="s">
        <v>1111</v>
      </c>
      <c r="D234" s="592"/>
      <c r="E234" s="592"/>
      <c r="F234" s="592"/>
      <c r="G234" s="592"/>
      <c r="H234" s="592"/>
      <c r="I234" s="397" t="s">
        <v>1406</v>
      </c>
      <c r="J234" s="397" t="s">
        <v>764</v>
      </c>
      <c r="K234" s="622">
        <v>400000</v>
      </c>
      <c r="L234" s="366"/>
      <c r="M234" s="598"/>
      <c r="N234" s="366"/>
      <c r="O234" s="595"/>
    </row>
    <row r="235" spans="1:15" ht="36" x14ac:dyDescent="0.4">
      <c r="A235" s="444">
        <v>3</v>
      </c>
      <c r="B235" s="348" t="s">
        <v>1378</v>
      </c>
      <c r="C235" s="835" t="s">
        <v>1130</v>
      </c>
      <c r="I235" s="836" t="s">
        <v>1379</v>
      </c>
      <c r="J235" s="886" t="s">
        <v>586</v>
      </c>
      <c r="K235" s="837">
        <f>638410.08-95763.09+95763.09</f>
        <v>638410.07999999996</v>
      </c>
      <c r="L235" s="408"/>
      <c r="M235" s="443">
        <v>3500</v>
      </c>
      <c r="N235" s="354"/>
      <c r="O235" s="342" t="s">
        <v>151</v>
      </c>
    </row>
    <row r="236" spans="1:15" ht="63.6" x14ac:dyDescent="0.4">
      <c r="A236" s="444">
        <v>2</v>
      </c>
      <c r="B236" s="115" t="s">
        <v>1210</v>
      </c>
      <c r="C236" s="351" t="s">
        <v>1105</v>
      </c>
      <c r="I236" s="357" t="s">
        <v>1211</v>
      </c>
      <c r="J236" s="415" t="s">
        <v>613</v>
      </c>
      <c r="K236" s="679"/>
      <c r="L236" s="408"/>
      <c r="M236" s="440"/>
      <c r="N236" s="354"/>
      <c r="O236" s="342" t="s">
        <v>1152</v>
      </c>
    </row>
    <row r="237" spans="1:15" ht="46.8" x14ac:dyDescent="0.4">
      <c r="A237" s="444">
        <v>4</v>
      </c>
      <c r="B237" s="748" t="s">
        <v>1396</v>
      </c>
      <c r="C237" s="351" t="s">
        <v>1105</v>
      </c>
      <c r="I237" s="357" t="s">
        <v>1397</v>
      </c>
      <c r="J237" s="415" t="s">
        <v>613</v>
      </c>
      <c r="K237" s="679">
        <v>1064000</v>
      </c>
      <c r="L237" s="408"/>
      <c r="M237" s="440"/>
      <c r="N237" s="354"/>
      <c r="O237" s="342"/>
    </row>
    <row r="238" spans="1:15" ht="21" x14ac:dyDescent="0.4">
      <c r="A238" s="444"/>
      <c r="B238" s="115"/>
      <c r="C238" s="351"/>
      <c r="I238" s="357"/>
      <c r="J238" s="415"/>
      <c r="K238" s="679"/>
      <c r="L238" s="408"/>
      <c r="M238" s="440"/>
      <c r="N238" s="354"/>
      <c r="O238" s="342"/>
    </row>
    <row r="239" spans="1:15" ht="21" x14ac:dyDescent="0.4">
      <c r="A239" s="444"/>
      <c r="B239" s="115"/>
      <c r="C239" s="351"/>
      <c r="I239" s="357"/>
      <c r="J239" s="415"/>
      <c r="K239" s="679"/>
      <c r="L239" s="408"/>
      <c r="M239" s="440"/>
      <c r="N239" s="354"/>
      <c r="O239" s="342"/>
    </row>
    <row r="240" spans="1:15" ht="21" x14ac:dyDescent="0.4">
      <c r="A240" s="410"/>
      <c r="B240" s="402" t="s">
        <v>1212</v>
      </c>
      <c r="C240" s="411"/>
      <c r="D240" s="411"/>
      <c r="E240" s="411"/>
      <c r="F240" s="411"/>
      <c r="G240" s="411"/>
      <c r="H240" s="411"/>
      <c r="I240" s="413"/>
      <c r="J240" s="413"/>
      <c r="K240" s="680">
        <f>K232+K235+K233+K237+K234</f>
        <v>7547410.0800000001</v>
      </c>
      <c r="L240" s="408"/>
      <c r="M240" s="680">
        <f>M232+M235+M233+M237+M234</f>
        <v>198924</v>
      </c>
      <c r="N240" s="354"/>
      <c r="O240" s="354"/>
    </row>
    <row r="243" spans="1:15" ht="18" x14ac:dyDescent="0.35">
      <c r="A243" s="331" t="s">
        <v>1409</v>
      </c>
      <c r="B243" s="331"/>
      <c r="C243" s="331"/>
      <c r="D243" s="331"/>
      <c r="E243" s="331"/>
      <c r="F243" s="331"/>
      <c r="G243" s="331"/>
      <c r="H243" s="331"/>
      <c r="I243" s="355"/>
      <c r="J243" s="355"/>
      <c r="K243" s="681"/>
      <c r="L243" s="355"/>
      <c r="M243" s="331"/>
      <c r="N243" s="331"/>
      <c r="O243" s="331"/>
    </row>
    <row r="244" spans="1:15" ht="18" x14ac:dyDescent="0.35">
      <c r="A244" s="331" t="s">
        <v>1155</v>
      </c>
      <c r="B244" s="331"/>
      <c r="C244" s="331"/>
      <c r="D244" s="331"/>
      <c r="E244" s="331"/>
      <c r="F244" s="331"/>
      <c r="G244" s="331"/>
      <c r="H244" s="331"/>
      <c r="I244" s="355"/>
      <c r="J244" s="355"/>
      <c r="K244" s="681"/>
      <c r="L244" s="355"/>
      <c r="M244" s="331"/>
      <c r="N244" s="1391" t="s">
        <v>1167</v>
      </c>
      <c r="O244" s="1391"/>
    </row>
    <row r="245" spans="1:15" ht="18" x14ac:dyDescent="0.35">
      <c r="A245" s="331"/>
      <c r="B245" s="331"/>
      <c r="C245" s="331"/>
      <c r="D245" s="331"/>
      <c r="E245" s="331"/>
      <c r="F245" s="331"/>
      <c r="G245" s="331"/>
      <c r="H245" s="331"/>
      <c r="I245" s="355"/>
      <c r="J245" s="355"/>
      <c r="K245" s="681"/>
      <c r="L245" s="355"/>
      <c r="M245" s="331"/>
      <c r="N245" s="331"/>
      <c r="O245" s="331"/>
    </row>
    <row r="246" spans="1:15" ht="18" x14ac:dyDescent="0.35">
      <c r="A246" s="331" t="s">
        <v>1156</v>
      </c>
      <c r="B246" s="331" t="s">
        <v>1413</v>
      </c>
      <c r="C246" s="331"/>
      <c r="D246" s="331"/>
      <c r="E246" s="331"/>
      <c r="F246" s="331"/>
      <c r="G246" s="331"/>
      <c r="H246" s="331"/>
      <c r="I246" s="355"/>
      <c r="J246" s="355"/>
      <c r="K246" s="681"/>
      <c r="L246" s="355"/>
      <c r="M246" s="331"/>
      <c r="N246" s="331"/>
      <c r="O246" s="331"/>
    </row>
    <row r="247" spans="1:15" ht="18" x14ac:dyDescent="0.35">
      <c r="A247" s="331"/>
      <c r="B247" s="331" t="s">
        <v>960</v>
      </c>
      <c r="C247" s="331"/>
      <c r="D247" s="331"/>
      <c r="E247" s="331"/>
      <c r="F247" s="331"/>
      <c r="G247" s="331"/>
      <c r="H247" s="331"/>
      <c r="I247" s="355"/>
      <c r="J247" s="355"/>
      <c r="K247" s="681"/>
      <c r="L247" s="355"/>
      <c r="M247" s="331"/>
      <c r="N247" s="331"/>
      <c r="O247" s="331"/>
    </row>
    <row r="249" spans="1:15" ht="15.6" x14ac:dyDescent="0.3">
      <c r="A249" s="420"/>
      <c r="B249" s="414"/>
      <c r="C249" s="417"/>
      <c r="D249" s="336"/>
      <c r="E249" s="336"/>
      <c r="F249" s="336"/>
      <c r="G249" s="336"/>
      <c r="H249" s="336"/>
      <c r="I249" s="418"/>
      <c r="J249" s="418"/>
      <c r="K249" s="367"/>
    </row>
    <row r="252" spans="1:15" ht="15.6" x14ac:dyDescent="0.3">
      <c r="B252" s="414"/>
      <c r="C252" s="417"/>
      <c r="D252" s="336"/>
      <c r="E252" s="336"/>
      <c r="F252" s="336"/>
      <c r="G252" s="336"/>
      <c r="H252" s="336"/>
      <c r="I252" s="418"/>
      <c r="J252" s="418"/>
      <c r="K252" s="582"/>
      <c r="L252" s="336"/>
      <c r="M252" s="336"/>
    </row>
    <row r="253" spans="1:15" x14ac:dyDescent="0.3">
      <c r="B253" s="336"/>
      <c r="C253" s="336"/>
      <c r="D253" s="336"/>
      <c r="E253" s="336"/>
      <c r="F253" s="336"/>
      <c r="G253" s="336"/>
      <c r="H253" s="336"/>
      <c r="I253" s="336"/>
      <c r="J253" s="336"/>
      <c r="K253" s="367"/>
      <c r="L253" s="336"/>
      <c r="M253" s="336"/>
    </row>
  </sheetData>
  <mergeCells count="123">
    <mergeCell ref="A233:A234"/>
    <mergeCell ref="B233:B234"/>
    <mergeCell ref="N244:O244"/>
    <mergeCell ref="O206:O221"/>
    <mergeCell ref="B207:B209"/>
    <mergeCell ref="C208:C209"/>
    <mergeCell ref="I208:I209"/>
    <mergeCell ref="B210:B213"/>
    <mergeCell ref="C210:C213"/>
    <mergeCell ref="I210:I213"/>
    <mergeCell ref="B215:B218"/>
    <mergeCell ref="A199:A201"/>
    <mergeCell ref="B199:B201"/>
    <mergeCell ref="A202:A222"/>
    <mergeCell ref="B203:B205"/>
    <mergeCell ref="C204:C205"/>
    <mergeCell ref="I204:I205"/>
    <mergeCell ref="A189:A191"/>
    <mergeCell ref="B189:B191"/>
    <mergeCell ref="C190:C191"/>
    <mergeCell ref="I190:I191"/>
    <mergeCell ref="A192:A193"/>
    <mergeCell ref="B192:B193"/>
    <mergeCell ref="C192:C193"/>
    <mergeCell ref="I192:I193"/>
    <mergeCell ref="O168:O170"/>
    <mergeCell ref="O174:O175"/>
    <mergeCell ref="A180:A182"/>
    <mergeCell ref="B180:B182"/>
    <mergeCell ref="A186:A187"/>
    <mergeCell ref="C186:C187"/>
    <mergeCell ref="I186:I187"/>
    <mergeCell ref="A147:A150"/>
    <mergeCell ref="B147:B150"/>
    <mergeCell ref="C148:C150"/>
    <mergeCell ref="I148:I150"/>
    <mergeCell ref="O153:O166"/>
    <mergeCell ref="B165:B167"/>
    <mergeCell ref="C165:C166"/>
    <mergeCell ref="I165:I167"/>
    <mergeCell ref="A138:A140"/>
    <mergeCell ref="B138:B140"/>
    <mergeCell ref="C138:C140"/>
    <mergeCell ref="I138:I140"/>
    <mergeCell ref="A143:A146"/>
    <mergeCell ref="B143:B146"/>
    <mergeCell ref="C144:C146"/>
    <mergeCell ref="I144:I146"/>
    <mergeCell ref="O117:O120"/>
    <mergeCell ref="O121:O122"/>
    <mergeCell ref="B122:B123"/>
    <mergeCell ref="I122:I123"/>
    <mergeCell ref="O127:O129"/>
    <mergeCell ref="O131:O151"/>
    <mergeCell ref="A103:A106"/>
    <mergeCell ref="B103:B106"/>
    <mergeCell ref="O103:O114"/>
    <mergeCell ref="A107:A108"/>
    <mergeCell ref="B107:B108"/>
    <mergeCell ref="I107:I108"/>
    <mergeCell ref="A94:A97"/>
    <mergeCell ref="B94:B97"/>
    <mergeCell ref="O94:O97"/>
    <mergeCell ref="A99:A102"/>
    <mergeCell ref="B99:B102"/>
    <mergeCell ref="O100:O102"/>
    <mergeCell ref="C101:C102"/>
    <mergeCell ref="I101:I102"/>
    <mergeCell ref="A85:A88"/>
    <mergeCell ref="B85:B88"/>
    <mergeCell ref="O85:O92"/>
    <mergeCell ref="B92:B93"/>
    <mergeCell ref="C92:C93"/>
    <mergeCell ref="I92:I93"/>
    <mergeCell ref="I59:I60"/>
    <mergeCell ref="O62:O65"/>
    <mergeCell ref="B64:B65"/>
    <mergeCell ref="O69:O70"/>
    <mergeCell ref="O73:O75"/>
    <mergeCell ref="O79:O82"/>
    <mergeCell ref="O31:O32"/>
    <mergeCell ref="O37:O40"/>
    <mergeCell ref="O43:O46"/>
    <mergeCell ref="O49:O55"/>
    <mergeCell ref="B51:B52"/>
    <mergeCell ref="I51:I52"/>
    <mergeCell ref="B22:B23"/>
    <mergeCell ref="C22:C23"/>
    <mergeCell ref="I22:I23"/>
    <mergeCell ref="O22:O29"/>
    <mergeCell ref="A12:B12"/>
    <mergeCell ref="A14:O14"/>
    <mergeCell ref="A6:B6"/>
    <mergeCell ref="A7:B7"/>
    <mergeCell ref="A8:B8"/>
    <mergeCell ref="I8:O8"/>
    <mergeCell ref="A9:B9"/>
    <mergeCell ref="I9:O9"/>
    <mergeCell ref="A29:A30"/>
    <mergeCell ref="B29:B30"/>
    <mergeCell ref="I29:I30"/>
    <mergeCell ref="L17:L19"/>
    <mergeCell ref="M17:M20"/>
    <mergeCell ref="N17:N19"/>
    <mergeCell ref="O17:P17"/>
    <mergeCell ref="O18:O20"/>
    <mergeCell ref="P18:P20"/>
    <mergeCell ref="A17:A20"/>
    <mergeCell ref="B17:B20"/>
    <mergeCell ref="C17:C20"/>
    <mergeCell ref="I17:I20"/>
    <mergeCell ref="J17:J20"/>
    <mergeCell ref="K17:K20"/>
    <mergeCell ref="A2:B2"/>
    <mergeCell ref="M2:O2"/>
    <mergeCell ref="A3:B3"/>
    <mergeCell ref="M3:O3"/>
    <mergeCell ref="A4:B4"/>
    <mergeCell ref="A5:B5"/>
    <mergeCell ref="A10:B10"/>
    <mergeCell ref="I10:O10"/>
    <mergeCell ref="A11:B11"/>
    <mergeCell ref="I11:O11"/>
  </mergeCells>
  <hyperlinks>
    <hyperlink ref="A8" r:id="rId1" display="mailto:rfo-skv@mail.ru"/>
  </hyperlinks>
  <pageMargins left="0.70866141732283472" right="0.70866141732283472" top="0.74803149606299213" bottom="0.74803149606299213" header="0.31496062992125984" footer="0.31496062992125984"/>
  <pageSetup paperSize="9" scale="58" fitToHeight="0" orientation="landscape"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3"/>
  <sheetViews>
    <sheetView workbookViewId="0">
      <selection activeCell="B17" sqref="B17:B20"/>
    </sheetView>
  </sheetViews>
  <sheetFormatPr defaultRowHeight="14.4" x14ac:dyDescent="0.3"/>
  <cols>
    <col min="1" max="1" width="8.6640625" customWidth="1"/>
    <col min="2" max="2" width="75.6640625" customWidth="1"/>
    <col min="3" max="3" width="21" customWidth="1"/>
    <col min="4" max="7" width="9.109375" hidden="1" customWidth="1"/>
    <col min="8" max="8" width="5.44140625" hidden="1" customWidth="1"/>
    <col min="9" max="9" width="19.109375" customWidth="1"/>
    <col min="10" max="10" width="12" customWidth="1"/>
    <col min="11" max="11" width="23.5546875" style="366" customWidth="1"/>
    <col min="12" max="12" width="0.33203125" hidden="1" customWidth="1"/>
    <col min="13" max="13" width="26.88671875" customWidth="1"/>
    <col min="14" max="14" width="3" hidden="1" customWidth="1"/>
    <col min="15" max="15" width="37.109375" customWidth="1"/>
    <col min="16" max="16" width="25" hidden="1" customWidth="1"/>
  </cols>
  <sheetData>
    <row r="1" spans="1:15" ht="18" x14ac:dyDescent="0.35">
      <c r="A1" s="331"/>
      <c r="B1" s="900"/>
      <c r="C1" s="330"/>
      <c r="D1" s="330"/>
      <c r="E1" s="915"/>
      <c r="F1" s="331"/>
      <c r="G1" s="331"/>
      <c r="H1" s="331"/>
      <c r="I1" s="352"/>
      <c r="J1" s="352"/>
      <c r="K1" s="666"/>
      <c r="L1" s="352"/>
      <c r="M1" s="352"/>
      <c r="N1" s="352"/>
      <c r="O1" s="353"/>
    </row>
    <row r="2" spans="1:15" ht="18" x14ac:dyDescent="0.35">
      <c r="A2" s="1268" t="s">
        <v>1117</v>
      </c>
      <c r="B2" s="1268"/>
      <c r="C2" s="330"/>
      <c r="D2" s="330"/>
      <c r="E2" s="915"/>
      <c r="F2" s="331"/>
      <c r="G2" s="331"/>
      <c r="H2" s="331"/>
      <c r="I2" s="352"/>
      <c r="J2" s="352"/>
      <c r="K2" s="666"/>
      <c r="L2" s="352" t="s">
        <v>1118</v>
      </c>
      <c r="M2" s="1330" t="s">
        <v>151</v>
      </c>
      <c r="N2" s="1330"/>
      <c r="O2" s="1330"/>
    </row>
    <row r="3" spans="1:15" ht="18" x14ac:dyDescent="0.35">
      <c r="A3" s="1268" t="s">
        <v>1119</v>
      </c>
      <c r="B3" s="1268"/>
      <c r="C3" s="330"/>
      <c r="D3" s="330"/>
      <c r="E3" s="915"/>
      <c r="F3" s="331"/>
      <c r="G3" s="331"/>
      <c r="H3" s="331"/>
      <c r="I3" s="352"/>
      <c r="J3" s="352"/>
      <c r="K3" s="666"/>
      <c r="L3" s="352" t="s">
        <v>1120</v>
      </c>
      <c r="M3" s="1330" t="s">
        <v>1202</v>
      </c>
      <c r="N3" s="1330"/>
      <c r="O3" s="1330"/>
    </row>
    <row r="4" spans="1:15" ht="18" x14ac:dyDescent="0.35">
      <c r="A4" s="1353" t="s">
        <v>1121</v>
      </c>
      <c r="B4" s="1353"/>
      <c r="C4" s="330"/>
      <c r="D4" s="330"/>
      <c r="E4" s="915"/>
      <c r="F4" s="331"/>
      <c r="G4" s="331"/>
      <c r="H4" s="331"/>
      <c r="I4" s="352"/>
      <c r="J4" s="352"/>
      <c r="K4" s="666"/>
      <c r="L4" s="352"/>
      <c r="M4" s="352"/>
      <c r="N4" s="352"/>
      <c r="O4" s="353"/>
    </row>
    <row r="5" spans="1:15" ht="18" x14ac:dyDescent="0.35">
      <c r="A5" s="1353" t="s">
        <v>1122</v>
      </c>
      <c r="B5" s="1353"/>
      <c r="C5" s="330"/>
      <c r="D5" s="330"/>
      <c r="E5" s="915"/>
      <c r="F5" s="331"/>
      <c r="G5" s="331"/>
      <c r="H5" s="331"/>
      <c r="I5" s="352"/>
      <c r="J5" s="352"/>
      <c r="K5" s="666"/>
      <c r="L5" s="352"/>
      <c r="M5" s="352"/>
      <c r="N5" s="352"/>
      <c r="O5" s="353"/>
    </row>
    <row r="6" spans="1:15" ht="18" x14ac:dyDescent="0.35">
      <c r="A6" s="1268" t="s">
        <v>1123</v>
      </c>
      <c r="B6" s="1268"/>
      <c r="C6" s="330"/>
      <c r="D6" s="330"/>
      <c r="E6" s="915"/>
      <c r="F6" s="331"/>
      <c r="G6" s="331"/>
      <c r="H6" s="331"/>
      <c r="I6" s="352"/>
      <c r="J6" s="352"/>
      <c r="K6" s="666"/>
      <c r="L6" s="352"/>
      <c r="M6" s="352"/>
      <c r="N6" s="352"/>
      <c r="O6" s="353"/>
    </row>
    <row r="7" spans="1:15" ht="18" x14ac:dyDescent="0.35">
      <c r="A7" s="1268" t="s">
        <v>1124</v>
      </c>
      <c r="B7" s="1268"/>
      <c r="C7" s="330"/>
      <c r="D7" s="330"/>
      <c r="E7" s="915"/>
      <c r="F7" s="331"/>
      <c r="G7" s="331"/>
      <c r="H7" s="331"/>
      <c r="I7" s="352"/>
      <c r="J7" s="352"/>
      <c r="K7" s="666"/>
      <c r="L7" s="352"/>
      <c r="M7" s="352"/>
      <c r="N7" s="352"/>
      <c r="O7" s="353"/>
    </row>
    <row r="8" spans="1:15" ht="18" x14ac:dyDescent="0.35">
      <c r="A8" s="1309" t="s">
        <v>1125</v>
      </c>
      <c r="B8" s="1309"/>
      <c r="C8" s="330"/>
      <c r="D8" s="330"/>
      <c r="E8" s="915"/>
      <c r="F8" s="331"/>
      <c r="G8" s="331"/>
      <c r="H8" s="331"/>
      <c r="I8" s="1310"/>
      <c r="J8" s="1310"/>
      <c r="K8" s="1310"/>
      <c r="L8" s="1310"/>
      <c r="M8" s="1310"/>
      <c r="N8" s="1310"/>
      <c r="O8" s="1310"/>
    </row>
    <row r="9" spans="1:15" ht="18" x14ac:dyDescent="0.35">
      <c r="A9" s="1268" t="s">
        <v>1126</v>
      </c>
      <c r="B9" s="1268"/>
      <c r="C9" s="330"/>
      <c r="D9" s="330"/>
      <c r="E9" s="915"/>
      <c r="F9" s="331"/>
      <c r="G9" s="331"/>
      <c r="H9" s="331"/>
      <c r="I9" s="1310"/>
      <c r="J9" s="1310"/>
      <c r="K9" s="1310"/>
      <c r="L9" s="1310"/>
      <c r="M9" s="1310"/>
      <c r="N9" s="1310"/>
      <c r="O9" s="1310"/>
    </row>
    <row r="10" spans="1:15" ht="18" x14ac:dyDescent="0.35">
      <c r="A10" s="1268" t="s">
        <v>1127</v>
      </c>
      <c r="B10" s="1268"/>
      <c r="C10" s="330"/>
      <c r="D10" s="330"/>
      <c r="E10" s="915"/>
      <c r="F10" s="331"/>
      <c r="G10" s="331"/>
      <c r="H10" s="331"/>
      <c r="I10" s="1310"/>
      <c r="J10" s="1310"/>
      <c r="K10" s="1310"/>
      <c r="L10" s="1310"/>
      <c r="M10" s="1310"/>
      <c r="N10" s="1310"/>
      <c r="O10" s="1310"/>
    </row>
    <row r="11" spans="1:15" ht="18" x14ac:dyDescent="0.35">
      <c r="A11" s="1268" t="s">
        <v>1416</v>
      </c>
      <c r="B11" s="1268"/>
      <c r="C11" s="330"/>
      <c r="D11" s="330"/>
      <c r="E11" s="915"/>
      <c r="F11" s="331"/>
      <c r="G11" s="331"/>
      <c r="H11" s="331"/>
      <c r="I11" s="1310"/>
      <c r="J11" s="1310"/>
      <c r="K11" s="1310"/>
      <c r="L11" s="1310"/>
      <c r="M11" s="1310"/>
      <c r="N11" s="1310"/>
      <c r="O11" s="1310"/>
    </row>
    <row r="12" spans="1:15" ht="18" x14ac:dyDescent="0.35">
      <c r="A12" s="1268" t="s">
        <v>1128</v>
      </c>
      <c r="B12" s="1268"/>
      <c r="C12" s="330"/>
      <c r="D12" s="330"/>
      <c r="E12" s="915"/>
      <c r="F12" s="331"/>
      <c r="G12" s="331"/>
      <c r="H12" s="331"/>
      <c r="I12" s="913"/>
      <c r="J12" s="913"/>
      <c r="K12" s="667"/>
      <c r="L12" s="913"/>
      <c r="M12" s="913"/>
      <c r="N12" s="913"/>
      <c r="O12" s="913"/>
    </row>
    <row r="13" spans="1:15" ht="18" x14ac:dyDescent="0.35">
      <c r="A13" s="331"/>
      <c r="B13" s="330"/>
      <c r="C13" s="330"/>
      <c r="D13" s="330"/>
      <c r="E13" s="915"/>
      <c r="F13" s="331"/>
      <c r="G13" s="331"/>
      <c r="H13" s="331"/>
      <c r="I13" s="352"/>
      <c r="J13" s="352"/>
      <c r="K13" s="666"/>
      <c r="L13" s="352"/>
      <c r="M13" s="352"/>
      <c r="N13" s="352"/>
      <c r="O13" s="353"/>
    </row>
    <row r="14" spans="1:15" ht="18" x14ac:dyDescent="0.35">
      <c r="A14" s="1315" t="s">
        <v>1335</v>
      </c>
      <c r="B14" s="1315"/>
      <c r="C14" s="1315"/>
      <c r="D14" s="1315"/>
      <c r="E14" s="1315"/>
      <c r="F14" s="1315"/>
      <c r="G14" s="1315"/>
      <c r="H14" s="1315"/>
      <c r="I14" s="1315"/>
      <c r="J14" s="1315"/>
      <c r="K14" s="1315"/>
      <c r="L14" s="1315"/>
      <c r="M14" s="1315"/>
      <c r="N14" s="1315"/>
      <c r="O14" s="1315"/>
    </row>
    <row r="15" spans="1:15" ht="18" x14ac:dyDescent="0.35">
      <c r="A15" s="331"/>
      <c r="B15" s="330"/>
      <c r="C15" s="330"/>
      <c r="D15" s="330"/>
      <c r="E15" s="915"/>
      <c r="F15" s="331"/>
      <c r="G15" s="331"/>
      <c r="H15" s="331"/>
      <c r="I15" s="352"/>
      <c r="J15" s="352"/>
      <c r="K15" s="666"/>
      <c r="L15" s="352"/>
      <c r="M15" s="352"/>
      <c r="N15" s="352"/>
      <c r="O15" s="924" t="s">
        <v>478</v>
      </c>
    </row>
    <row r="17" spans="1:16" ht="18.75" customHeight="1" x14ac:dyDescent="0.35">
      <c r="A17" s="1313" t="s">
        <v>407</v>
      </c>
      <c r="B17" s="1269" t="s">
        <v>479</v>
      </c>
      <c r="C17" s="1274" t="s">
        <v>281</v>
      </c>
      <c r="D17" s="333"/>
      <c r="E17" s="914"/>
      <c r="F17" s="334"/>
      <c r="G17" s="335"/>
      <c r="H17" s="335"/>
      <c r="I17" s="1277" t="s">
        <v>1085</v>
      </c>
      <c r="J17" s="1277" t="s">
        <v>510</v>
      </c>
      <c r="K17" s="1401" t="s">
        <v>1350</v>
      </c>
      <c r="L17" s="1271" t="s">
        <v>1079</v>
      </c>
      <c r="M17" s="1270" t="s">
        <v>1415</v>
      </c>
      <c r="N17" s="1270" t="s">
        <v>1080</v>
      </c>
      <c r="O17" s="1311" t="s">
        <v>480</v>
      </c>
      <c r="P17" s="1311"/>
    </row>
    <row r="18" spans="1:16" ht="18" x14ac:dyDescent="0.35">
      <c r="A18" s="1313"/>
      <c r="B18" s="1269"/>
      <c r="C18" s="1399"/>
      <c r="D18" s="333"/>
      <c r="E18" s="914"/>
      <c r="F18" s="334"/>
      <c r="G18" s="335"/>
      <c r="H18" s="335"/>
      <c r="I18" s="1400"/>
      <c r="J18" s="1400"/>
      <c r="K18" s="1401"/>
      <c r="L18" s="1426"/>
      <c r="M18" s="1270"/>
      <c r="N18" s="1270"/>
      <c r="O18" s="1270" t="s">
        <v>481</v>
      </c>
      <c r="P18" s="1312"/>
    </row>
    <row r="19" spans="1:16" ht="18" x14ac:dyDescent="0.35">
      <c r="A19" s="1313"/>
      <c r="B19" s="1269"/>
      <c r="C19" s="1399"/>
      <c r="D19" s="333"/>
      <c r="E19" s="914"/>
      <c r="F19" s="335"/>
      <c r="G19" s="335"/>
      <c r="H19" s="335"/>
      <c r="I19" s="1400"/>
      <c r="J19" s="1400"/>
      <c r="K19" s="1401"/>
      <c r="L19" s="1273"/>
      <c r="M19" s="1270"/>
      <c r="N19" s="1270"/>
      <c r="O19" s="1270"/>
      <c r="P19" s="1312"/>
    </row>
    <row r="20" spans="1:16" ht="18" x14ac:dyDescent="0.35">
      <c r="A20" s="1314"/>
      <c r="B20" s="1398"/>
      <c r="C20" s="1399"/>
      <c r="D20" s="332"/>
      <c r="E20" s="902"/>
      <c r="F20" s="344"/>
      <c r="G20" s="344"/>
      <c r="H20" s="344"/>
      <c r="I20" s="1400"/>
      <c r="J20" s="1400"/>
      <c r="K20" s="1402"/>
      <c r="L20" s="901"/>
      <c r="M20" s="1271"/>
      <c r="N20" s="901"/>
      <c r="O20" s="1271"/>
      <c r="P20" s="1312"/>
    </row>
    <row r="21" spans="1:16" s="336" customFormat="1" ht="42" customHeight="1" x14ac:dyDescent="0.35">
      <c r="A21" s="347">
        <v>1</v>
      </c>
      <c r="B21" s="343" t="s">
        <v>1081</v>
      </c>
      <c r="C21" s="346"/>
      <c r="D21" s="664"/>
      <c r="E21" s="338"/>
      <c r="F21" s="339"/>
      <c r="G21" s="339"/>
      <c r="H21" s="339"/>
      <c r="I21" s="345" t="s">
        <v>1337</v>
      </c>
      <c r="J21" s="498"/>
      <c r="K21" s="668">
        <f>K22+K24+K25+K26+K27+K28+K30+K31+K32+K29+K33+K23</f>
        <v>9122967.5300000012</v>
      </c>
      <c r="L21" s="340"/>
      <c r="M21" s="665">
        <f>M22+M24+M25+M26+M27+M28+M30+M31+M32+M29+M33+M23</f>
        <v>7377126.8700000001</v>
      </c>
      <c r="N21" s="341"/>
      <c r="O21" s="342" t="s">
        <v>151</v>
      </c>
      <c r="P21" s="663"/>
    </row>
    <row r="22" spans="1:16" s="366" customFormat="1" ht="31.5" customHeight="1" x14ac:dyDescent="0.3">
      <c r="A22" s="918"/>
      <c r="B22" s="1396" t="s">
        <v>627</v>
      </c>
      <c r="C22" s="1397" t="s">
        <v>1086</v>
      </c>
      <c r="D22" s="524"/>
      <c r="E22" s="524"/>
      <c r="F22" s="524"/>
      <c r="G22" s="524"/>
      <c r="H22" s="524"/>
      <c r="I22" s="1374" t="s">
        <v>1239</v>
      </c>
      <c r="J22" s="662" t="s">
        <v>586</v>
      </c>
      <c r="K22" s="553">
        <v>73140</v>
      </c>
      <c r="L22" s="474"/>
      <c r="M22" s="739"/>
      <c r="N22" s="489"/>
      <c r="O22" s="1335" t="s">
        <v>151</v>
      </c>
      <c r="P22" s="662"/>
    </row>
    <row r="23" spans="1:16" s="366" customFormat="1" ht="15.6" hidden="1" x14ac:dyDescent="0.3">
      <c r="A23" s="918"/>
      <c r="B23" s="1294"/>
      <c r="C23" s="1333"/>
      <c r="D23" s="524"/>
      <c r="E23" s="524"/>
      <c r="F23" s="524"/>
      <c r="G23" s="524"/>
      <c r="H23" s="524"/>
      <c r="I23" s="1285"/>
      <c r="J23" s="363" t="s">
        <v>528</v>
      </c>
      <c r="K23" s="553"/>
      <c r="L23" s="474"/>
      <c r="M23" s="739"/>
      <c r="N23" s="489"/>
      <c r="O23" s="1335"/>
      <c r="P23" s="363"/>
    </row>
    <row r="24" spans="1:16" s="366" customFormat="1" ht="36" customHeight="1" x14ac:dyDescent="0.3">
      <c r="A24" s="388"/>
      <c r="B24" s="527" t="s">
        <v>630</v>
      </c>
      <c r="C24" s="451" t="s">
        <v>1086</v>
      </c>
      <c r="I24" s="528" t="s">
        <v>1240</v>
      </c>
      <c r="J24" s="363" t="s">
        <v>586</v>
      </c>
      <c r="K24" s="457">
        <v>106000</v>
      </c>
      <c r="L24" s="474"/>
      <c r="M24" s="445"/>
      <c r="N24" s="365"/>
      <c r="O24" s="1335"/>
      <c r="P24" s="363"/>
    </row>
    <row r="25" spans="1:16" s="366" customFormat="1" ht="46.5" customHeight="1" x14ac:dyDescent="0.3">
      <c r="A25" s="388"/>
      <c r="B25" s="527" t="s">
        <v>633</v>
      </c>
      <c r="C25" s="451" t="s">
        <v>1086</v>
      </c>
      <c r="I25" s="528" t="s">
        <v>1241</v>
      </c>
      <c r="J25" s="363" t="s">
        <v>586</v>
      </c>
      <c r="K25" s="457">
        <v>181000</v>
      </c>
      <c r="L25" s="474"/>
      <c r="M25" s="445"/>
      <c r="N25" s="365"/>
      <c r="O25" s="1335"/>
      <c r="P25" s="363"/>
    </row>
    <row r="26" spans="1:16" s="366" customFormat="1" ht="33.75" customHeight="1" x14ac:dyDescent="0.3">
      <c r="A26" s="388"/>
      <c r="B26" s="527" t="s">
        <v>636</v>
      </c>
      <c r="C26" s="451" t="s">
        <v>1087</v>
      </c>
      <c r="I26" s="528" t="s">
        <v>1242</v>
      </c>
      <c r="J26" s="363" t="s">
        <v>586</v>
      </c>
      <c r="K26" s="457">
        <v>25000</v>
      </c>
      <c r="L26" s="474"/>
      <c r="M26" s="445"/>
      <c r="N26" s="365"/>
      <c r="O26" s="1335"/>
      <c r="P26" s="363"/>
    </row>
    <row r="27" spans="1:16" s="366" customFormat="1" ht="35.25" customHeight="1" x14ac:dyDescent="0.3">
      <c r="A27" s="388"/>
      <c r="B27" s="527" t="s">
        <v>639</v>
      </c>
      <c r="C27" s="451" t="s">
        <v>1086</v>
      </c>
      <c r="I27" s="528" t="s">
        <v>1243</v>
      </c>
      <c r="J27" s="363" t="s">
        <v>586</v>
      </c>
      <c r="K27" s="457">
        <v>30000</v>
      </c>
      <c r="L27" s="474"/>
      <c r="M27" s="445"/>
      <c r="N27" s="365"/>
      <c r="O27" s="1335"/>
      <c r="P27" s="363"/>
    </row>
    <row r="28" spans="1:16" s="366" customFormat="1" ht="30.75" customHeight="1" x14ac:dyDescent="0.3">
      <c r="A28" s="388"/>
      <c r="B28" s="527" t="s">
        <v>642</v>
      </c>
      <c r="C28" s="451" t="s">
        <v>1087</v>
      </c>
      <c r="I28" s="528" t="s">
        <v>1244</v>
      </c>
      <c r="J28" s="363" t="s">
        <v>586</v>
      </c>
      <c r="K28" s="457">
        <v>30000</v>
      </c>
      <c r="L28" s="474"/>
      <c r="M28" s="445"/>
      <c r="N28" s="365"/>
      <c r="O28" s="1335"/>
      <c r="P28" s="363"/>
    </row>
    <row r="29" spans="1:16" s="366" customFormat="1" ht="30.75" customHeight="1" x14ac:dyDescent="0.3">
      <c r="A29" s="1425"/>
      <c r="B29" s="1293" t="s">
        <v>607</v>
      </c>
      <c r="C29" s="451" t="s">
        <v>1088</v>
      </c>
      <c r="I29" s="1334" t="s">
        <v>1232</v>
      </c>
      <c r="J29" s="363" t="s">
        <v>586</v>
      </c>
      <c r="K29" s="372">
        <v>800000</v>
      </c>
      <c r="L29" s="474"/>
      <c r="M29" s="445"/>
      <c r="N29" s="365"/>
      <c r="O29" s="1287"/>
      <c r="P29" s="363"/>
    </row>
    <row r="30" spans="1:16" s="366" customFormat="1" ht="50.25" hidden="1" customHeight="1" x14ac:dyDescent="0.3">
      <c r="A30" s="1329"/>
      <c r="B30" s="1294"/>
      <c r="C30" s="451" t="s">
        <v>1159</v>
      </c>
      <c r="I30" s="1285"/>
      <c r="J30" s="363" t="s">
        <v>813</v>
      </c>
      <c r="K30" s="372"/>
      <c r="L30" s="474"/>
      <c r="M30" s="445"/>
      <c r="N30" s="365"/>
      <c r="O30" s="529" t="s">
        <v>1179</v>
      </c>
      <c r="P30" s="363"/>
    </row>
    <row r="31" spans="1:16" s="366" customFormat="1" ht="50.25" customHeight="1" x14ac:dyDescent="0.3">
      <c r="A31" s="928"/>
      <c r="B31" s="527" t="s">
        <v>1264</v>
      </c>
      <c r="C31" s="451" t="s">
        <v>1103</v>
      </c>
      <c r="I31" s="531" t="s">
        <v>1263</v>
      </c>
      <c r="J31" s="389" t="s">
        <v>586</v>
      </c>
      <c r="K31" s="559">
        <f>500000+3500000+1429771+788425+1000000+1000000-340368.47</f>
        <v>7877827.5300000003</v>
      </c>
      <c r="L31" s="474"/>
      <c r="M31" s="942">
        <f>3591524.87+3785602</f>
        <v>7377126.8700000001</v>
      </c>
      <c r="N31" s="365"/>
      <c r="O31" s="1427" t="s">
        <v>151</v>
      </c>
      <c r="P31" s="389"/>
    </row>
    <row r="32" spans="1:16" s="366" customFormat="1" ht="30.75" hidden="1" customHeight="1" x14ac:dyDescent="0.3">
      <c r="A32" s="928"/>
      <c r="B32" s="534" t="s">
        <v>1168</v>
      </c>
      <c r="C32" s="451" t="s">
        <v>1130</v>
      </c>
      <c r="I32" s="531" t="s">
        <v>1169</v>
      </c>
      <c r="J32" s="389" t="s">
        <v>586</v>
      </c>
      <c r="K32" s="740"/>
      <c r="L32" s="474"/>
      <c r="M32" s="661"/>
      <c r="N32" s="365"/>
      <c r="O32" s="1287"/>
      <c r="P32" s="389"/>
    </row>
    <row r="33" spans="1:16" s="366" customFormat="1" ht="49.5" hidden="1" customHeight="1" x14ac:dyDescent="0.3">
      <c r="A33" s="928"/>
      <c r="B33" s="521" t="s">
        <v>1201</v>
      </c>
      <c r="C33" s="451"/>
      <c r="I33" s="531"/>
      <c r="J33" s="389"/>
      <c r="K33" s="612">
        <v>0</v>
      </c>
      <c r="L33" s="474"/>
      <c r="M33" s="661"/>
      <c r="N33" s="365"/>
      <c r="O33" s="906"/>
      <c r="P33" s="389"/>
    </row>
    <row r="34" spans="1:16" s="366" customFormat="1" ht="44.25" customHeight="1" x14ac:dyDescent="0.35">
      <c r="A34" s="929">
        <v>2</v>
      </c>
      <c r="B34" s="538" t="s">
        <v>1082</v>
      </c>
      <c r="C34" s="539"/>
      <c r="D34" s="540"/>
      <c r="E34" s="540"/>
      <c r="F34" s="540"/>
      <c r="G34" s="540"/>
      <c r="H34" s="540"/>
      <c r="I34" s="541" t="s">
        <v>1336</v>
      </c>
      <c r="J34" s="542"/>
      <c r="K34" s="543">
        <f>K35</f>
        <v>53000</v>
      </c>
      <c r="L34" s="741"/>
      <c r="M34" s="543">
        <f>M35</f>
        <v>6732</v>
      </c>
      <c r="N34" s="448"/>
      <c r="O34" s="432" t="s">
        <v>151</v>
      </c>
      <c r="P34" s="544"/>
    </row>
    <row r="35" spans="1:16" s="366" customFormat="1" ht="42.75" customHeight="1" x14ac:dyDescent="0.3">
      <c r="A35" s="388"/>
      <c r="B35" s="459" t="s">
        <v>765</v>
      </c>
      <c r="C35" s="545" t="s">
        <v>1089</v>
      </c>
      <c r="I35" s="452" t="s">
        <v>1288</v>
      </c>
      <c r="J35" s="363" t="s">
        <v>586</v>
      </c>
      <c r="K35" s="457">
        <v>53000</v>
      </c>
      <c r="L35" s="474"/>
      <c r="M35" s="445">
        <v>6732</v>
      </c>
      <c r="N35" s="365"/>
      <c r="O35" s="450"/>
      <c r="P35" s="546"/>
    </row>
    <row r="36" spans="1:16" s="366" customFormat="1" ht="52.8" x14ac:dyDescent="0.35">
      <c r="A36" s="929">
        <v>3</v>
      </c>
      <c r="B36" s="447" t="s">
        <v>1092</v>
      </c>
      <c r="C36" s="448"/>
      <c r="D36" s="448"/>
      <c r="E36" s="448"/>
      <c r="F36" s="448"/>
      <c r="G36" s="448"/>
      <c r="H36" s="547"/>
      <c r="I36" s="429" t="s">
        <v>1338</v>
      </c>
      <c r="J36" s="430"/>
      <c r="K36" s="449">
        <f>K37+K38+K39+K40+K43+K44+K45+K41+K46+K42</f>
        <v>13438936.620000001</v>
      </c>
      <c r="L36" s="470"/>
      <c r="M36" s="449">
        <f>M37+M38+M39+M40+M43+M44+M45+M41+M46+M42</f>
        <v>7653411.2700000005</v>
      </c>
      <c r="N36" s="448"/>
      <c r="O36" s="432" t="s">
        <v>1096</v>
      </c>
      <c r="P36" s="365"/>
    </row>
    <row r="37" spans="1:16" s="474" customFormat="1" ht="31.2" x14ac:dyDescent="0.35">
      <c r="A37" s="467"/>
      <c r="B37" s="549" t="s">
        <v>1231</v>
      </c>
      <c r="C37" s="550" t="s">
        <v>1093</v>
      </c>
      <c r="D37" s="476"/>
      <c r="E37" s="476"/>
      <c r="F37" s="476"/>
      <c r="G37" s="476"/>
      <c r="H37" s="551"/>
      <c r="I37" s="552" t="s">
        <v>1225</v>
      </c>
      <c r="J37" s="371" t="s">
        <v>586</v>
      </c>
      <c r="K37" s="553">
        <v>106000</v>
      </c>
      <c r="L37" s="470"/>
      <c r="M37" s="942">
        <v>105750</v>
      </c>
      <c r="N37" s="470"/>
      <c r="O37" s="1280" t="s">
        <v>151</v>
      </c>
      <c r="P37" s="476"/>
    </row>
    <row r="38" spans="1:16" s="366" customFormat="1" ht="31.2" x14ac:dyDescent="0.35">
      <c r="A38" s="929"/>
      <c r="B38" s="459" t="s">
        <v>1281</v>
      </c>
      <c r="C38" s="451" t="s">
        <v>1094</v>
      </c>
      <c r="D38" s="365"/>
      <c r="E38" s="365"/>
      <c r="F38" s="365"/>
      <c r="G38" s="365"/>
      <c r="H38" s="365"/>
      <c r="I38" s="452" t="s">
        <v>1280</v>
      </c>
      <c r="J38" s="363" t="s">
        <v>586</v>
      </c>
      <c r="K38" s="457">
        <v>53000</v>
      </c>
      <c r="L38" s="470"/>
      <c r="M38" s="554"/>
      <c r="N38" s="448"/>
      <c r="O38" s="1281"/>
      <c r="P38" s="365"/>
    </row>
    <row r="39" spans="1:16" s="366" customFormat="1" ht="31.2" x14ac:dyDescent="0.35">
      <c r="A39" s="929"/>
      <c r="B39" s="459" t="s">
        <v>1283</v>
      </c>
      <c r="C39" s="451" t="s">
        <v>1094</v>
      </c>
      <c r="D39" s="365"/>
      <c r="E39" s="365"/>
      <c r="F39" s="365"/>
      <c r="G39" s="365"/>
      <c r="H39" s="365"/>
      <c r="I39" s="452" t="s">
        <v>1282</v>
      </c>
      <c r="J39" s="363" t="s">
        <v>586</v>
      </c>
      <c r="K39" s="457">
        <v>106000</v>
      </c>
      <c r="L39" s="470"/>
      <c r="M39" s="554"/>
      <c r="N39" s="448"/>
      <c r="O39" s="1281"/>
      <c r="P39" s="365"/>
    </row>
    <row r="40" spans="1:16" s="366" customFormat="1" ht="18" x14ac:dyDescent="0.35">
      <c r="A40" s="929"/>
      <c r="B40" s="459" t="s">
        <v>751</v>
      </c>
      <c r="C40" s="451" t="s">
        <v>1094</v>
      </c>
      <c r="D40" s="365"/>
      <c r="E40" s="365"/>
      <c r="F40" s="365"/>
      <c r="G40" s="365"/>
      <c r="H40" s="365"/>
      <c r="I40" s="452" t="s">
        <v>1286</v>
      </c>
      <c r="J40" s="363" t="s">
        <v>586</v>
      </c>
      <c r="K40" s="457">
        <v>212000</v>
      </c>
      <c r="L40" s="470"/>
      <c r="M40" s="554"/>
      <c r="N40" s="448"/>
      <c r="O40" s="1283"/>
      <c r="P40" s="365"/>
    </row>
    <row r="41" spans="1:16" s="366" customFormat="1" ht="62.4" hidden="1" x14ac:dyDescent="0.35">
      <c r="A41" s="929"/>
      <c r="B41" s="478" t="s">
        <v>1181</v>
      </c>
      <c r="C41" s="451" t="s">
        <v>1180</v>
      </c>
      <c r="D41" s="365"/>
      <c r="E41" s="365"/>
      <c r="F41" s="365"/>
      <c r="G41" s="365"/>
      <c r="H41" s="555"/>
      <c r="I41" s="452" t="s">
        <v>752</v>
      </c>
      <c r="J41" s="363" t="s">
        <v>813</v>
      </c>
      <c r="K41" s="457"/>
      <c r="L41" s="470"/>
      <c r="M41" s="554"/>
      <c r="N41" s="448"/>
      <c r="O41" s="529" t="s">
        <v>1179</v>
      </c>
      <c r="P41" s="365"/>
    </row>
    <row r="42" spans="1:16" s="366" customFormat="1" ht="31.2" x14ac:dyDescent="0.35">
      <c r="A42" s="929"/>
      <c r="B42" s="478" t="s">
        <v>748</v>
      </c>
      <c r="C42" s="451" t="s">
        <v>1284</v>
      </c>
      <c r="D42" s="365"/>
      <c r="E42" s="365"/>
      <c r="F42" s="365"/>
      <c r="G42" s="365"/>
      <c r="H42" s="555"/>
      <c r="I42" s="452" t="s">
        <v>1285</v>
      </c>
      <c r="J42" s="363" t="s">
        <v>586</v>
      </c>
      <c r="K42" s="457">
        <v>100000</v>
      </c>
      <c r="L42" s="470"/>
      <c r="M42" s="554"/>
      <c r="N42" s="448"/>
      <c r="O42" s="556" t="s">
        <v>151</v>
      </c>
      <c r="P42" s="365"/>
    </row>
    <row r="43" spans="1:16" s="366" customFormat="1" ht="31.2" x14ac:dyDescent="0.35">
      <c r="A43" s="929"/>
      <c r="B43" s="459" t="s">
        <v>918</v>
      </c>
      <c r="C43" s="451" t="s">
        <v>1095</v>
      </c>
      <c r="D43" s="448"/>
      <c r="E43" s="448"/>
      <c r="F43" s="448"/>
      <c r="G43" s="448"/>
      <c r="H43" s="547"/>
      <c r="I43" s="452" t="s">
        <v>1332</v>
      </c>
      <c r="J43" s="363" t="s">
        <v>613</v>
      </c>
      <c r="K43" s="457">
        <v>4819591.7</v>
      </c>
      <c r="L43" s="470"/>
      <c r="M43" s="941">
        <f>315426.44+431192.12+330694.17+459187.93+413932.84+335326+451818.86+499231</f>
        <v>3236809.36</v>
      </c>
      <c r="N43" s="448"/>
      <c r="O43" s="1288" t="s">
        <v>1097</v>
      </c>
      <c r="P43" s="365"/>
    </row>
    <row r="44" spans="1:16" s="366" customFormat="1" ht="18" x14ac:dyDescent="0.35">
      <c r="A44" s="929"/>
      <c r="B44" s="459" t="s">
        <v>921</v>
      </c>
      <c r="C44" s="451" t="s">
        <v>1095</v>
      </c>
      <c r="D44" s="448"/>
      <c r="E44" s="448"/>
      <c r="F44" s="448"/>
      <c r="G44" s="448"/>
      <c r="H44" s="547"/>
      <c r="I44" s="452" t="s">
        <v>1333</v>
      </c>
      <c r="J44" s="363" t="s">
        <v>613</v>
      </c>
      <c r="K44" s="457">
        <f>2775762.7+47577.97</f>
        <v>2823340.6700000004</v>
      </c>
      <c r="L44" s="470"/>
      <c r="M44" s="941">
        <f>141775.76+314481.03+172468.79+169088.79+163666.25+150093.37+198856.11+212818.77</f>
        <v>1523248.87</v>
      </c>
      <c r="N44" s="448"/>
      <c r="O44" s="1317"/>
      <c r="P44" s="365"/>
    </row>
    <row r="45" spans="1:16" s="366" customFormat="1" ht="18" x14ac:dyDescent="0.35">
      <c r="A45" s="929"/>
      <c r="B45" s="459" t="s">
        <v>924</v>
      </c>
      <c r="C45" s="451" t="s">
        <v>1095</v>
      </c>
      <c r="D45" s="365"/>
      <c r="E45" s="365"/>
      <c r="F45" s="365"/>
      <c r="G45" s="365"/>
      <c r="H45" s="365"/>
      <c r="I45" s="452" t="s">
        <v>1334</v>
      </c>
      <c r="J45" s="363" t="s">
        <v>613</v>
      </c>
      <c r="K45" s="372">
        <f>4419004.25+800000</f>
        <v>5219004.25</v>
      </c>
      <c r="L45" s="470"/>
      <c r="M45" s="941">
        <f>240001.74+477497.23+367908.22+120949+287606.76+427107.66+193114.77+308152.38+365265.28</f>
        <v>2787603.04</v>
      </c>
      <c r="N45" s="448"/>
      <c r="O45" s="1317"/>
      <c r="P45" s="365"/>
    </row>
    <row r="46" spans="1:16" s="366" customFormat="1" ht="53.25" hidden="1" customHeight="1" x14ac:dyDescent="0.35">
      <c r="A46" s="929"/>
      <c r="B46" s="521" t="s">
        <v>926</v>
      </c>
      <c r="C46" s="451" t="s">
        <v>1095</v>
      </c>
      <c r="D46" s="365"/>
      <c r="E46" s="365"/>
      <c r="F46" s="365"/>
      <c r="G46" s="365"/>
      <c r="H46" s="365"/>
      <c r="I46" s="484" t="s">
        <v>1194</v>
      </c>
      <c r="J46" s="389" t="s">
        <v>613</v>
      </c>
      <c r="K46" s="559"/>
      <c r="L46" s="470"/>
      <c r="M46" s="554"/>
      <c r="N46" s="448"/>
      <c r="O46" s="1290"/>
      <c r="P46" s="365"/>
    </row>
    <row r="47" spans="1:16" s="366" customFormat="1" ht="52.8" x14ac:dyDescent="0.35">
      <c r="A47" s="929">
        <v>4</v>
      </c>
      <c r="B47" s="447" t="s">
        <v>1098</v>
      </c>
      <c r="C47" s="557"/>
      <c r="D47" s="448"/>
      <c r="E47" s="448"/>
      <c r="F47" s="448"/>
      <c r="G47" s="448"/>
      <c r="H47" s="448"/>
      <c r="I47" s="429" t="s">
        <v>1339</v>
      </c>
      <c r="J47" s="430"/>
      <c r="K47" s="449">
        <f>K49+K50+K51+K55+K53+K56+K54+K57+K48+K52</f>
        <v>2059831.3199999998</v>
      </c>
      <c r="L47" s="470"/>
      <c r="M47" s="449">
        <f>M49+M50+M51+M55+M53+M56+M54+M57+M48+M52</f>
        <v>900648</v>
      </c>
      <c r="N47" s="448"/>
      <c r="O47" s="432" t="s">
        <v>1160</v>
      </c>
      <c r="P47" s="365"/>
    </row>
    <row r="48" spans="1:16" s="366" customFormat="1" ht="31.8" x14ac:dyDescent="0.35">
      <c r="A48" s="929"/>
      <c r="B48" s="558" t="s">
        <v>1249</v>
      </c>
      <c r="C48" s="451" t="s">
        <v>1099</v>
      </c>
      <c r="D48" s="365"/>
      <c r="E48" s="365"/>
      <c r="F48" s="365"/>
      <c r="G48" s="365"/>
      <c r="H48" s="365"/>
      <c r="I48" s="452" t="s">
        <v>1250</v>
      </c>
      <c r="J48" s="389" t="s">
        <v>586</v>
      </c>
      <c r="K48" s="661">
        <f>100000-78000</f>
        <v>22000</v>
      </c>
      <c r="L48" s="476"/>
      <c r="M48" s="445"/>
      <c r="N48" s="448"/>
      <c r="O48" s="520"/>
      <c r="P48" s="365"/>
    </row>
    <row r="49" spans="1:16" s="366" customFormat="1" ht="15.6" x14ac:dyDescent="0.3">
      <c r="A49" s="388"/>
      <c r="B49" s="459" t="s">
        <v>651</v>
      </c>
      <c r="C49" s="451" t="s">
        <v>1099</v>
      </c>
      <c r="D49" s="365"/>
      <c r="E49" s="365"/>
      <c r="F49" s="365"/>
      <c r="G49" s="365"/>
      <c r="H49" s="365"/>
      <c r="I49" s="452" t="s">
        <v>1248</v>
      </c>
      <c r="J49" s="389" t="s">
        <v>586</v>
      </c>
      <c r="K49" s="661">
        <v>564980</v>
      </c>
      <c r="L49" s="476"/>
      <c r="M49" s="445">
        <v>530000</v>
      </c>
      <c r="N49" s="365"/>
      <c r="O49" s="1318"/>
      <c r="P49" s="365"/>
    </row>
    <row r="50" spans="1:16" s="366" customFormat="1" ht="31.2" hidden="1" x14ac:dyDescent="0.3">
      <c r="A50" s="388"/>
      <c r="B50" s="423" t="s">
        <v>1027</v>
      </c>
      <c r="C50" s="451" t="s">
        <v>1101</v>
      </c>
      <c r="D50" s="365"/>
      <c r="E50" s="365"/>
      <c r="F50" s="365"/>
      <c r="G50" s="365"/>
      <c r="H50" s="365"/>
      <c r="I50" s="452" t="s">
        <v>1100</v>
      </c>
      <c r="J50" s="363" t="s">
        <v>586</v>
      </c>
      <c r="K50" s="457">
        <f>100000-50000-50000</f>
        <v>0</v>
      </c>
      <c r="L50" s="476"/>
      <c r="M50" s="445"/>
      <c r="N50" s="365"/>
      <c r="O50" s="1320"/>
      <c r="P50" s="365"/>
    </row>
    <row r="51" spans="1:16" s="366" customFormat="1" ht="42.75" customHeight="1" x14ac:dyDescent="0.3">
      <c r="A51" s="388"/>
      <c r="B51" s="1293" t="s">
        <v>1376</v>
      </c>
      <c r="C51" s="451" t="s">
        <v>1101</v>
      </c>
      <c r="D51" s="365"/>
      <c r="E51" s="365"/>
      <c r="F51" s="365"/>
      <c r="G51" s="365"/>
      <c r="H51" s="365"/>
      <c r="I51" s="1295" t="s">
        <v>1266</v>
      </c>
      <c r="J51" s="363" t="s">
        <v>586</v>
      </c>
      <c r="K51" s="457">
        <f>800000-800000+279990</f>
        <v>279990</v>
      </c>
      <c r="L51" s="476"/>
      <c r="M51" s="424">
        <v>69880</v>
      </c>
      <c r="N51" s="365"/>
      <c r="O51" s="1320"/>
      <c r="P51" s="365"/>
    </row>
    <row r="52" spans="1:16" s="366" customFormat="1" ht="42.75" customHeight="1" x14ac:dyDescent="0.3">
      <c r="A52" s="388"/>
      <c r="B52" s="1294"/>
      <c r="C52" s="451" t="s">
        <v>1377</v>
      </c>
      <c r="D52" s="365"/>
      <c r="E52" s="365"/>
      <c r="F52" s="365"/>
      <c r="G52" s="365"/>
      <c r="H52" s="365"/>
      <c r="I52" s="1296"/>
      <c r="J52" s="363" t="s">
        <v>813</v>
      </c>
      <c r="K52" s="457">
        <f>800000-279990</f>
        <v>520010</v>
      </c>
      <c r="L52" s="476"/>
      <c r="M52" s="424">
        <f>32500+90312+97956</f>
        <v>220768</v>
      </c>
      <c r="N52" s="365"/>
      <c r="O52" s="1320"/>
      <c r="P52" s="367"/>
    </row>
    <row r="53" spans="1:16" s="366" customFormat="1" ht="15.6" x14ac:dyDescent="0.3">
      <c r="A53" s="388"/>
      <c r="B53" s="459" t="s">
        <v>706</v>
      </c>
      <c r="C53" s="451" t="s">
        <v>1101</v>
      </c>
      <c r="D53" s="365"/>
      <c r="E53" s="365"/>
      <c r="F53" s="365"/>
      <c r="G53" s="365"/>
      <c r="H53" s="365"/>
      <c r="I53" s="452" t="s">
        <v>1267</v>
      </c>
      <c r="J53" s="363" t="s">
        <v>586</v>
      </c>
      <c r="K53" s="457">
        <v>380449.21</v>
      </c>
      <c r="L53" s="476"/>
      <c r="M53" s="445"/>
      <c r="N53" s="365"/>
      <c r="O53" s="1320"/>
      <c r="P53" s="367"/>
    </row>
    <row r="54" spans="1:16" s="366" customFormat="1" ht="15.6" x14ac:dyDescent="0.3">
      <c r="A54" s="388"/>
      <c r="B54" s="423" t="s">
        <v>1362</v>
      </c>
      <c r="C54" s="451" t="s">
        <v>1101</v>
      </c>
      <c r="D54" s="365"/>
      <c r="E54" s="365"/>
      <c r="F54" s="365"/>
      <c r="G54" s="365"/>
      <c r="H54" s="365"/>
      <c r="I54" s="452" t="s">
        <v>1363</v>
      </c>
      <c r="J54" s="363" t="s">
        <v>586</v>
      </c>
      <c r="K54" s="457">
        <v>78000</v>
      </c>
      <c r="L54" s="476"/>
      <c r="M54" s="445">
        <v>78000</v>
      </c>
      <c r="N54" s="365"/>
      <c r="O54" s="1320"/>
      <c r="P54" s="367"/>
    </row>
    <row r="55" spans="1:16" s="366" customFormat="1" ht="31.2" hidden="1" x14ac:dyDescent="0.3">
      <c r="A55" s="388"/>
      <c r="B55" s="459" t="s">
        <v>1158</v>
      </c>
      <c r="C55" s="451" t="s">
        <v>1159</v>
      </c>
      <c r="D55" s="365"/>
      <c r="E55" s="365"/>
      <c r="F55" s="365"/>
      <c r="G55" s="365"/>
      <c r="H55" s="365"/>
      <c r="I55" s="480" t="s">
        <v>707</v>
      </c>
      <c r="J55" s="363" t="s">
        <v>813</v>
      </c>
      <c r="K55" s="372"/>
      <c r="L55" s="476"/>
      <c r="M55" s="445"/>
      <c r="N55" s="365"/>
      <c r="O55" s="1321"/>
    </row>
    <row r="56" spans="1:16" s="366" customFormat="1" ht="31.2" x14ac:dyDescent="0.3">
      <c r="A56" s="388"/>
      <c r="B56" s="459" t="s">
        <v>1237</v>
      </c>
      <c r="C56" s="451" t="s">
        <v>1170</v>
      </c>
      <c r="D56" s="365"/>
      <c r="E56" s="365"/>
      <c r="F56" s="365"/>
      <c r="G56" s="365"/>
      <c r="H56" s="365"/>
      <c r="I56" s="389" t="s">
        <v>1238</v>
      </c>
      <c r="J56" s="389" t="s">
        <v>586</v>
      </c>
      <c r="K56" s="559">
        <v>214402.11</v>
      </c>
      <c r="L56" s="476"/>
      <c r="M56" s="445">
        <v>2000</v>
      </c>
      <c r="N56" s="365"/>
      <c r="O56" s="916"/>
    </row>
    <row r="57" spans="1:16" s="366" customFormat="1" ht="46.8" hidden="1" x14ac:dyDescent="0.3">
      <c r="A57" s="388"/>
      <c r="B57" s="521" t="s">
        <v>1195</v>
      </c>
      <c r="C57" s="451" t="s">
        <v>1101</v>
      </c>
      <c r="D57" s="365"/>
      <c r="E57" s="365"/>
      <c r="F57" s="365"/>
      <c r="G57" s="365"/>
      <c r="H57" s="365"/>
      <c r="I57" s="484" t="s">
        <v>1196</v>
      </c>
      <c r="J57" s="389" t="s">
        <v>586</v>
      </c>
      <c r="K57" s="559"/>
      <c r="L57" s="476"/>
      <c r="M57" s="661"/>
      <c r="N57" s="365"/>
      <c r="O57" s="916"/>
    </row>
    <row r="58" spans="1:16" s="366" customFormat="1" ht="54" x14ac:dyDescent="0.35">
      <c r="A58" s="929">
        <v>5</v>
      </c>
      <c r="B58" s="447" t="s">
        <v>1102</v>
      </c>
      <c r="C58" s="448"/>
      <c r="D58" s="448"/>
      <c r="E58" s="448"/>
      <c r="F58" s="448"/>
      <c r="G58" s="448"/>
      <c r="H58" s="448"/>
      <c r="I58" s="429" t="s">
        <v>1340</v>
      </c>
      <c r="J58" s="430"/>
      <c r="K58" s="449">
        <f>K62+K63+K65+K60+K59+K61+K64</f>
        <v>9737433.120000001</v>
      </c>
      <c r="L58" s="470"/>
      <c r="M58" s="449">
        <f>M62+M63+M65+M60+M59+M61+M64</f>
        <v>4003480.85</v>
      </c>
      <c r="N58" s="448"/>
      <c r="O58" s="432" t="s">
        <v>1183</v>
      </c>
    </row>
    <row r="59" spans="1:16" s="366" customFormat="1" ht="26.25" customHeight="1" x14ac:dyDescent="0.35">
      <c r="A59" s="929"/>
      <c r="B59" s="660" t="s">
        <v>1197</v>
      </c>
      <c r="C59" s="451" t="s">
        <v>1103</v>
      </c>
      <c r="D59" s="448"/>
      <c r="E59" s="448"/>
      <c r="F59" s="448"/>
      <c r="G59" s="448"/>
      <c r="H59" s="448"/>
      <c r="I59" s="1334" t="s">
        <v>1364</v>
      </c>
      <c r="J59" s="389" t="s">
        <v>586</v>
      </c>
      <c r="K59" s="457">
        <f>5385000-924000+1504587.33-1780000-240000-135921.51</f>
        <v>3809665.8200000003</v>
      </c>
      <c r="L59" s="742"/>
      <c r="M59" s="943">
        <f>85000+150096.77+460670.11</f>
        <v>695766.88</v>
      </c>
      <c r="N59" s="448"/>
      <c r="O59" s="454" t="s">
        <v>151</v>
      </c>
    </row>
    <row r="60" spans="1:16" s="366" customFormat="1" ht="62.4" x14ac:dyDescent="0.35">
      <c r="A60" s="929"/>
      <c r="B60" s="455" t="s">
        <v>1184</v>
      </c>
      <c r="C60" s="451" t="s">
        <v>1400</v>
      </c>
      <c r="D60" s="448"/>
      <c r="E60" s="448"/>
      <c r="F60" s="448"/>
      <c r="G60" s="448"/>
      <c r="H60" s="448"/>
      <c r="I60" s="1296"/>
      <c r="J60" s="430">
        <v>500</v>
      </c>
      <c r="K60" s="457">
        <f>924000+780000+383767.3</f>
        <v>2087767.3</v>
      </c>
      <c r="L60" s="470"/>
      <c r="M60" s="464">
        <f>924000+780000+143767.3+240000</f>
        <v>2087767.3</v>
      </c>
      <c r="N60" s="448"/>
      <c r="O60" s="456" t="s">
        <v>1179</v>
      </c>
    </row>
    <row r="61" spans="1:16" s="366" customFormat="1" ht="47.4" x14ac:dyDescent="0.35">
      <c r="A61" s="929"/>
      <c r="B61" s="831" t="s">
        <v>1402</v>
      </c>
      <c r="C61" s="451" t="s">
        <v>1400</v>
      </c>
      <c r="D61" s="448"/>
      <c r="E61" s="448"/>
      <c r="F61" s="448"/>
      <c r="G61" s="448"/>
      <c r="H61" s="448"/>
      <c r="I61" s="452" t="s">
        <v>1401</v>
      </c>
      <c r="J61" s="430">
        <v>500</v>
      </c>
      <c r="K61" s="457">
        <v>340000</v>
      </c>
      <c r="L61" s="470"/>
      <c r="M61" s="582">
        <v>340000</v>
      </c>
      <c r="N61" s="448"/>
      <c r="O61" s="903"/>
    </row>
    <row r="62" spans="1:16" s="366" customFormat="1" ht="31.2" hidden="1" x14ac:dyDescent="0.3">
      <c r="A62" s="388"/>
      <c r="B62" s="459" t="s">
        <v>822</v>
      </c>
      <c r="C62" s="451" t="s">
        <v>1105</v>
      </c>
      <c r="D62" s="365"/>
      <c r="E62" s="365"/>
      <c r="F62" s="365"/>
      <c r="G62" s="365"/>
      <c r="H62" s="365"/>
      <c r="I62" s="452" t="s">
        <v>823</v>
      </c>
      <c r="J62" s="363" t="s">
        <v>613</v>
      </c>
      <c r="K62" s="457"/>
      <c r="L62" s="476"/>
      <c r="M62" s="445"/>
      <c r="N62" s="365"/>
      <c r="O62" s="1322" t="s">
        <v>968</v>
      </c>
    </row>
    <row r="63" spans="1:16" s="366" customFormat="1" ht="15.6" hidden="1" x14ac:dyDescent="0.3">
      <c r="A63" s="460"/>
      <c r="B63" s="459" t="s">
        <v>825</v>
      </c>
      <c r="C63" s="451" t="s">
        <v>1105</v>
      </c>
      <c r="D63" s="461"/>
      <c r="E63" s="461"/>
      <c r="F63" s="461"/>
      <c r="G63" s="461"/>
      <c r="H63" s="461"/>
      <c r="I63" s="452" t="s">
        <v>826</v>
      </c>
      <c r="J63" s="363" t="s">
        <v>613</v>
      </c>
      <c r="K63" s="457"/>
      <c r="L63" s="476"/>
      <c r="M63" s="445"/>
      <c r="N63" s="461"/>
      <c r="O63" s="1323"/>
      <c r="P63" s="462"/>
    </row>
    <row r="64" spans="1:16" s="366" customFormat="1" ht="15.6" x14ac:dyDescent="0.3">
      <c r="A64" s="460"/>
      <c r="B64" s="1293" t="s">
        <v>828</v>
      </c>
      <c r="C64" s="451" t="s">
        <v>1142</v>
      </c>
      <c r="D64" s="365"/>
      <c r="E64" s="365"/>
      <c r="F64" s="365"/>
      <c r="G64" s="365"/>
      <c r="H64" s="365"/>
      <c r="I64" s="452" t="s">
        <v>1306</v>
      </c>
      <c r="J64" s="363" t="s">
        <v>613</v>
      </c>
      <c r="K64" s="457">
        <v>681008.52</v>
      </c>
      <c r="L64" s="476"/>
      <c r="M64" s="424">
        <f>248004.2+433004.32</f>
        <v>681008.52</v>
      </c>
      <c r="N64" s="461"/>
      <c r="O64" s="1323"/>
      <c r="P64" s="462"/>
    </row>
    <row r="65" spans="1:15" s="366" customFormat="1" ht="15.6" x14ac:dyDescent="0.3">
      <c r="A65" s="388"/>
      <c r="B65" s="1415"/>
      <c r="C65" s="451" t="s">
        <v>1105</v>
      </c>
      <c r="D65" s="365"/>
      <c r="E65" s="365"/>
      <c r="F65" s="365"/>
      <c r="G65" s="365"/>
      <c r="H65" s="365"/>
      <c r="I65" s="452" t="s">
        <v>1306</v>
      </c>
      <c r="J65" s="363" t="s">
        <v>613</v>
      </c>
      <c r="K65" s="457">
        <f>3500000-681008.52</f>
        <v>2818991.48</v>
      </c>
      <c r="L65" s="476"/>
      <c r="M65" s="424">
        <v>198938.15</v>
      </c>
      <c r="N65" s="365"/>
      <c r="O65" s="1324"/>
    </row>
    <row r="66" spans="1:15" s="366" customFormat="1" ht="54" x14ac:dyDescent="0.35">
      <c r="A66" s="929">
        <v>6</v>
      </c>
      <c r="B66" s="447" t="s">
        <v>1106</v>
      </c>
      <c r="C66" s="557"/>
      <c r="D66" s="448"/>
      <c r="E66" s="448"/>
      <c r="F66" s="448"/>
      <c r="G66" s="448"/>
      <c r="H66" s="448"/>
      <c r="I66" s="429" t="s">
        <v>1341</v>
      </c>
      <c r="J66" s="430"/>
      <c r="K66" s="449">
        <f>K67</f>
        <v>50000</v>
      </c>
      <c r="L66" s="470"/>
      <c r="M66" s="449">
        <f>M67</f>
        <v>23000</v>
      </c>
      <c r="N66" s="448"/>
      <c r="O66" s="432" t="s">
        <v>151</v>
      </c>
    </row>
    <row r="67" spans="1:15" s="366" customFormat="1" ht="31.2" x14ac:dyDescent="0.3">
      <c r="A67" s="561"/>
      <c r="B67" s="459" t="s">
        <v>728</v>
      </c>
      <c r="C67" s="387" t="s">
        <v>1107</v>
      </c>
      <c r="D67" s="562"/>
      <c r="E67" s="562"/>
      <c r="F67" s="562"/>
      <c r="G67" s="562"/>
      <c r="H67" s="562"/>
      <c r="I67" s="452" t="s">
        <v>1273</v>
      </c>
      <c r="J67" s="363" t="s">
        <v>586</v>
      </c>
      <c r="K67" s="457">
        <v>50000</v>
      </c>
      <c r="L67" s="476"/>
      <c r="M67" s="445">
        <v>23000</v>
      </c>
      <c r="N67" s="365"/>
      <c r="O67" s="563"/>
    </row>
    <row r="68" spans="1:15" s="474" customFormat="1" ht="36" x14ac:dyDescent="0.35">
      <c r="A68" s="467">
        <v>7</v>
      </c>
      <c r="B68" s="468" t="s">
        <v>1108</v>
      </c>
      <c r="C68" s="469"/>
      <c r="D68" s="470"/>
      <c r="E68" s="470"/>
      <c r="F68" s="470"/>
      <c r="G68" s="470"/>
      <c r="H68" s="470"/>
      <c r="I68" s="471" t="s">
        <v>1342</v>
      </c>
      <c r="J68" s="472"/>
      <c r="K68" s="473">
        <f>K69+K70+K71</f>
        <v>26551599.059999999</v>
      </c>
      <c r="L68" s="470"/>
      <c r="M68" s="473">
        <f>M69+M70+M71</f>
        <v>2065343.3</v>
      </c>
      <c r="N68" s="470"/>
      <c r="O68" s="432" t="s">
        <v>151</v>
      </c>
    </row>
    <row r="69" spans="1:15" s="474" customFormat="1" ht="46.8" x14ac:dyDescent="0.3">
      <c r="A69" s="475"/>
      <c r="B69" s="423" t="s">
        <v>697</v>
      </c>
      <c r="C69" s="395" t="s">
        <v>1109</v>
      </c>
      <c r="D69" s="476"/>
      <c r="E69" s="476"/>
      <c r="F69" s="476"/>
      <c r="G69" s="476"/>
      <c r="H69" s="476"/>
      <c r="I69" s="477" t="s">
        <v>1262</v>
      </c>
      <c r="J69" s="371" t="s">
        <v>700</v>
      </c>
      <c r="K69" s="457">
        <v>2500000</v>
      </c>
      <c r="L69" s="476"/>
      <c r="M69" s="445">
        <f>1065343.3-1065343.3</f>
        <v>0</v>
      </c>
      <c r="N69" s="476"/>
      <c r="O69" s="1325"/>
    </row>
    <row r="70" spans="1:15" s="366" customFormat="1" ht="31.2" x14ac:dyDescent="0.3">
      <c r="A70" s="388"/>
      <c r="B70" s="459" t="s">
        <v>768</v>
      </c>
      <c r="C70" s="387" t="s">
        <v>1111</v>
      </c>
      <c r="D70" s="365"/>
      <c r="E70" s="365"/>
      <c r="F70" s="365"/>
      <c r="G70" s="365"/>
      <c r="H70" s="365"/>
      <c r="I70" s="452" t="s">
        <v>1289</v>
      </c>
      <c r="J70" s="363" t="s">
        <v>764</v>
      </c>
      <c r="K70" s="457">
        <v>1000000</v>
      </c>
      <c r="L70" s="476"/>
      <c r="M70" s="424">
        <v>1000000</v>
      </c>
      <c r="N70" s="365"/>
      <c r="O70" s="1326"/>
    </row>
    <row r="71" spans="1:15" s="366" customFormat="1" ht="46.8" x14ac:dyDescent="0.3">
      <c r="A71" s="388"/>
      <c r="B71" s="423" t="s">
        <v>1360</v>
      </c>
      <c r="C71" s="387" t="s">
        <v>1109</v>
      </c>
      <c r="D71" s="365"/>
      <c r="E71" s="365"/>
      <c r="F71" s="365"/>
      <c r="G71" s="365"/>
      <c r="H71" s="365"/>
      <c r="I71" s="452" t="s">
        <v>1359</v>
      </c>
      <c r="J71" s="363" t="s">
        <v>700</v>
      </c>
      <c r="K71" s="457">
        <f>18304436.83+5535587.23-788425</f>
        <v>23051599.059999999</v>
      </c>
      <c r="L71" s="476"/>
      <c r="M71" s="743">
        <v>1065343.3</v>
      </c>
      <c r="N71" s="365"/>
      <c r="O71" s="917"/>
    </row>
    <row r="72" spans="1:15" s="366" customFormat="1" ht="35.4" x14ac:dyDescent="0.35">
      <c r="A72" s="425">
        <v>8</v>
      </c>
      <c r="B72" s="437" t="s">
        <v>561</v>
      </c>
      <c r="C72" s="427"/>
      <c r="D72" s="428"/>
      <c r="E72" s="428"/>
      <c r="F72" s="428"/>
      <c r="G72" s="428"/>
      <c r="H72" s="428"/>
      <c r="I72" s="429" t="s">
        <v>1343</v>
      </c>
      <c r="J72" s="430"/>
      <c r="K72" s="744">
        <f>K73+K74+K75+K76+K77</f>
        <v>233880</v>
      </c>
      <c r="L72" s="568"/>
      <c r="M72" s="744">
        <f>M73+M74+M75+M76+M77</f>
        <v>6534</v>
      </c>
      <c r="N72" s="428"/>
      <c r="O72" s="432" t="s">
        <v>151</v>
      </c>
    </row>
    <row r="73" spans="1:15" s="366" customFormat="1" ht="31.2" x14ac:dyDescent="0.3">
      <c r="A73" s="388"/>
      <c r="B73" s="459" t="s">
        <v>684</v>
      </c>
      <c r="C73" s="387" t="s">
        <v>1114</v>
      </c>
      <c r="D73" s="365"/>
      <c r="E73" s="365"/>
      <c r="F73" s="365"/>
      <c r="G73" s="365"/>
      <c r="H73" s="365"/>
      <c r="I73" s="452" t="s">
        <v>1259</v>
      </c>
      <c r="J73" s="363" t="s">
        <v>528</v>
      </c>
      <c r="K73" s="457">
        <v>106000</v>
      </c>
      <c r="L73" s="476"/>
      <c r="M73" s="445"/>
      <c r="N73" s="365"/>
      <c r="O73" s="1325"/>
    </row>
    <row r="74" spans="1:15" s="366" customFormat="1" ht="62.4" x14ac:dyDescent="0.3">
      <c r="A74" s="388"/>
      <c r="B74" s="459" t="s">
        <v>687</v>
      </c>
      <c r="C74" s="387" t="s">
        <v>1114</v>
      </c>
      <c r="D74" s="365"/>
      <c r="E74" s="365"/>
      <c r="F74" s="365"/>
      <c r="G74" s="365"/>
      <c r="H74" s="365"/>
      <c r="I74" s="452" t="s">
        <v>1260</v>
      </c>
      <c r="J74" s="363" t="s">
        <v>528</v>
      </c>
      <c r="K74" s="457">
        <v>53000</v>
      </c>
      <c r="L74" s="476"/>
      <c r="M74" s="445"/>
      <c r="N74" s="365"/>
      <c r="O74" s="1432"/>
    </row>
    <row r="75" spans="1:15" s="366" customFormat="1" ht="31.2" x14ac:dyDescent="0.3">
      <c r="A75" s="388"/>
      <c r="B75" s="459" t="s">
        <v>690</v>
      </c>
      <c r="C75" s="910" t="s">
        <v>1114</v>
      </c>
      <c r="D75" s="482"/>
      <c r="E75" s="482"/>
      <c r="F75" s="482"/>
      <c r="G75" s="482"/>
      <c r="H75" s="482"/>
      <c r="I75" s="480" t="s">
        <v>1261</v>
      </c>
      <c r="J75" s="564" t="s">
        <v>586</v>
      </c>
      <c r="K75" s="372">
        <v>24000</v>
      </c>
      <c r="L75" s="476"/>
      <c r="M75" s="445">
        <v>6534</v>
      </c>
      <c r="N75" s="365"/>
      <c r="O75" s="1326"/>
    </row>
    <row r="76" spans="1:15" s="366" customFormat="1" ht="31.2" x14ac:dyDescent="0.3">
      <c r="A76" s="388"/>
      <c r="B76" s="565" t="s">
        <v>1171</v>
      </c>
      <c r="C76" s="387" t="s">
        <v>1172</v>
      </c>
      <c r="D76" s="365"/>
      <c r="E76" s="365"/>
      <c r="F76" s="365"/>
      <c r="G76" s="365"/>
      <c r="H76" s="365"/>
      <c r="I76" s="389" t="s">
        <v>1246</v>
      </c>
      <c r="J76" s="389" t="s">
        <v>528</v>
      </c>
      <c r="K76" s="559">
        <v>31800</v>
      </c>
      <c r="L76" s="476"/>
      <c r="M76" s="445"/>
      <c r="N76" s="365"/>
      <c r="O76" s="917"/>
    </row>
    <row r="77" spans="1:15" s="366" customFormat="1" ht="62.4" x14ac:dyDescent="0.3">
      <c r="A77" s="388"/>
      <c r="B77" s="565" t="s">
        <v>1173</v>
      </c>
      <c r="C77" s="387" t="s">
        <v>1172</v>
      </c>
      <c r="D77" s="365"/>
      <c r="E77" s="365"/>
      <c r="F77" s="365"/>
      <c r="G77" s="365"/>
      <c r="H77" s="365"/>
      <c r="I77" s="389" t="s">
        <v>1247</v>
      </c>
      <c r="J77" s="389" t="s">
        <v>528</v>
      </c>
      <c r="K77" s="559">
        <v>19080</v>
      </c>
      <c r="L77" s="476"/>
      <c r="M77" s="445"/>
      <c r="N77" s="365"/>
      <c r="O77" s="917"/>
    </row>
    <row r="78" spans="1:15" s="366" customFormat="1" ht="36" x14ac:dyDescent="0.35">
      <c r="A78" s="929">
        <v>9</v>
      </c>
      <c r="B78" s="566" t="s">
        <v>560</v>
      </c>
      <c r="C78" s="365"/>
      <c r="D78" s="365"/>
      <c r="E78" s="365"/>
      <c r="F78" s="365"/>
      <c r="G78" s="365"/>
      <c r="H78" s="365"/>
      <c r="I78" s="429" t="s">
        <v>1344</v>
      </c>
      <c r="J78" s="430"/>
      <c r="K78" s="473">
        <f>K79+K80+K81+K82+K83</f>
        <v>6439308.7000000002</v>
      </c>
      <c r="L78" s="476"/>
      <c r="M78" s="473">
        <f>M79+M80+M81+M82+M83</f>
        <v>1376123.0499999998</v>
      </c>
      <c r="N78" s="365"/>
      <c r="O78" s="432" t="s">
        <v>151</v>
      </c>
    </row>
    <row r="79" spans="1:15" s="366" customFormat="1" ht="18" x14ac:dyDescent="0.35">
      <c r="A79" s="929"/>
      <c r="B79" s="459" t="s">
        <v>787</v>
      </c>
      <c r="C79" s="387" t="s">
        <v>1116</v>
      </c>
      <c r="D79" s="365"/>
      <c r="E79" s="365"/>
      <c r="F79" s="365"/>
      <c r="G79" s="365"/>
      <c r="H79" s="365"/>
      <c r="I79" s="452" t="s">
        <v>1295</v>
      </c>
      <c r="J79" s="363" t="s">
        <v>586</v>
      </c>
      <c r="K79" s="457">
        <v>476999</v>
      </c>
      <c r="L79" s="476"/>
      <c r="M79" s="424">
        <f>10146.64+26907+37893.28+15554.98+10789.64+16346.64+39510</f>
        <v>157148.18</v>
      </c>
      <c r="N79" s="365"/>
      <c r="O79" s="1325"/>
    </row>
    <row r="80" spans="1:15" s="366" customFormat="1" ht="15.6" x14ac:dyDescent="0.3">
      <c r="A80" s="388"/>
      <c r="B80" s="534" t="s">
        <v>781</v>
      </c>
      <c r="C80" s="387" t="s">
        <v>1115</v>
      </c>
      <c r="D80" s="365"/>
      <c r="E80" s="365"/>
      <c r="F80" s="365"/>
      <c r="G80" s="365"/>
      <c r="H80" s="365"/>
      <c r="I80" s="452" t="s">
        <v>1293</v>
      </c>
      <c r="J80" s="363" t="s">
        <v>586</v>
      </c>
      <c r="K80" s="457">
        <f>450000+928700</f>
        <v>1378700</v>
      </c>
      <c r="L80" s="476"/>
      <c r="M80" s="445">
        <v>635000.01</v>
      </c>
      <c r="N80" s="365"/>
      <c r="O80" s="1432"/>
    </row>
    <row r="81" spans="1:15" s="366" customFormat="1" ht="15.6" x14ac:dyDescent="0.3">
      <c r="A81" s="388"/>
      <c r="B81" s="459" t="s">
        <v>790</v>
      </c>
      <c r="C81" s="387" t="s">
        <v>1116</v>
      </c>
      <c r="D81" s="365"/>
      <c r="E81" s="365"/>
      <c r="F81" s="365"/>
      <c r="G81" s="365"/>
      <c r="H81" s="365"/>
      <c r="I81" s="452" t="s">
        <v>1296</v>
      </c>
      <c r="J81" s="363" t="s">
        <v>586</v>
      </c>
      <c r="K81" s="457">
        <v>529999</v>
      </c>
      <c r="L81" s="476"/>
      <c r="M81" s="424">
        <f>189150-107882+28785.7+126022.27+15811.89+41200</f>
        <v>293087.86</v>
      </c>
      <c r="N81" s="365"/>
      <c r="O81" s="1432"/>
    </row>
    <row r="82" spans="1:15" s="366" customFormat="1" ht="31.2" x14ac:dyDescent="0.3">
      <c r="A82" s="388"/>
      <c r="B82" s="459" t="s">
        <v>784</v>
      </c>
      <c r="C82" s="387" t="s">
        <v>1115</v>
      </c>
      <c r="D82" s="365"/>
      <c r="E82" s="365"/>
      <c r="F82" s="365"/>
      <c r="G82" s="365"/>
      <c r="H82" s="365"/>
      <c r="I82" s="452" t="s">
        <v>1294</v>
      </c>
      <c r="J82" s="363" t="s">
        <v>586</v>
      </c>
      <c r="K82" s="457">
        <f>100000-50000</f>
        <v>50000</v>
      </c>
      <c r="L82" s="476"/>
      <c r="M82" s="445"/>
      <c r="N82" s="365"/>
      <c r="O82" s="1326"/>
    </row>
    <row r="83" spans="1:15" s="366" customFormat="1" ht="31.2" x14ac:dyDescent="0.3">
      <c r="A83" s="388"/>
      <c r="B83" s="521" t="s">
        <v>1297</v>
      </c>
      <c r="C83" s="387" t="s">
        <v>1116</v>
      </c>
      <c r="D83" s="365"/>
      <c r="E83" s="365"/>
      <c r="F83" s="365"/>
      <c r="G83" s="365"/>
      <c r="H83" s="365"/>
      <c r="I83" s="452" t="s">
        <v>1298</v>
      </c>
      <c r="J83" s="363" t="s">
        <v>700</v>
      </c>
      <c r="K83" s="457">
        <f>6000000-152000-1210622-633767.3</f>
        <v>4003610.7</v>
      </c>
      <c r="L83" s="476"/>
      <c r="M83" s="424">
        <v>290887</v>
      </c>
      <c r="N83" s="365"/>
      <c r="O83" s="917"/>
    </row>
    <row r="84" spans="1:15" s="366" customFormat="1" ht="70.2" x14ac:dyDescent="0.35">
      <c r="A84" s="929">
        <v>10</v>
      </c>
      <c r="B84" s="447" t="s">
        <v>562</v>
      </c>
      <c r="C84" s="365"/>
      <c r="D84" s="365"/>
      <c r="E84" s="365"/>
      <c r="F84" s="365"/>
      <c r="G84" s="365"/>
      <c r="H84" s="365"/>
      <c r="I84" s="429" t="s">
        <v>1345</v>
      </c>
      <c r="J84" s="430"/>
      <c r="K84" s="473">
        <f>K85+K89+K91+K92+K94+K100+K103+K110+K112+K114+K113+K111+K115+K93+K109+K108+K90+K99</f>
        <v>80145067.74000001</v>
      </c>
      <c r="L84" s="476"/>
      <c r="M84" s="473">
        <f>M85+M89+M91+M92+M94+M100+M103+M110+M112+M114+M113+M111+M115+M93+M109+M108+M90+M99</f>
        <v>52343068.940000005</v>
      </c>
      <c r="N84" s="365"/>
      <c r="O84" s="432" t="s">
        <v>1135</v>
      </c>
    </row>
    <row r="85" spans="1:15" s="366" customFormat="1" ht="15.6" x14ac:dyDescent="0.3">
      <c r="A85" s="1428"/>
      <c r="B85" s="1346" t="s">
        <v>796</v>
      </c>
      <c r="C85" s="387" t="s">
        <v>1131</v>
      </c>
      <c r="D85" s="388"/>
      <c r="E85" s="388"/>
      <c r="F85" s="388"/>
      <c r="G85" s="388"/>
      <c r="H85" s="388"/>
      <c r="I85" s="389" t="s">
        <v>1299</v>
      </c>
      <c r="J85" s="363"/>
      <c r="K85" s="457">
        <f>K86+K87+K88</f>
        <v>10546860.609999999</v>
      </c>
      <c r="L85" s="476"/>
      <c r="M85" s="457">
        <f>M86+M87+M88</f>
        <v>6514206.1600000001</v>
      </c>
      <c r="N85" s="365"/>
      <c r="O85" s="1350" t="s">
        <v>1136</v>
      </c>
    </row>
    <row r="86" spans="1:15" s="366" customFormat="1" ht="15.6" x14ac:dyDescent="0.3">
      <c r="A86" s="1429"/>
      <c r="B86" s="1430"/>
      <c r="C86" s="887"/>
      <c r="D86" s="386"/>
      <c r="E86" s="386"/>
      <c r="F86" s="386"/>
      <c r="G86" s="386"/>
      <c r="H86" s="386"/>
      <c r="I86" s="888"/>
      <c r="J86" s="363" t="s">
        <v>162</v>
      </c>
      <c r="K86" s="457">
        <v>9687260.6099999994</v>
      </c>
      <c r="L86" s="476"/>
      <c r="M86" s="424">
        <f>524429.57+75+158298.21+536955.67+75+192902.57+568054.78+75+162342.28+648114.12+75+198805.22+573128.6+2476.7+169380.03+1012284.12+1094285.75+362322.37+3991+106547.75</f>
        <v>6314618.7400000002</v>
      </c>
      <c r="N86" s="365"/>
      <c r="O86" s="1431"/>
    </row>
    <row r="87" spans="1:15" s="366" customFormat="1" ht="15.6" x14ac:dyDescent="0.3">
      <c r="A87" s="1429"/>
      <c r="B87" s="1430"/>
      <c r="C87" s="887"/>
      <c r="D87" s="362"/>
      <c r="E87" s="362"/>
      <c r="F87" s="362"/>
      <c r="G87" s="362"/>
      <c r="H87" s="362"/>
      <c r="I87" s="888"/>
      <c r="J87" s="363" t="s">
        <v>586</v>
      </c>
      <c r="K87" s="457">
        <v>847600</v>
      </c>
      <c r="L87" s="476"/>
      <c r="M87" s="424">
        <f>815.14+20591.29+30465.97+12189.2+28272.17+30034.85+19269.7+57149.1</f>
        <v>198787.42</v>
      </c>
      <c r="N87" s="365"/>
      <c r="O87" s="1431"/>
    </row>
    <row r="88" spans="1:15" s="366" customFormat="1" ht="15.6" x14ac:dyDescent="0.3">
      <c r="A88" s="1345"/>
      <c r="B88" s="1299"/>
      <c r="C88" s="384"/>
      <c r="D88" s="362"/>
      <c r="E88" s="362"/>
      <c r="F88" s="362"/>
      <c r="G88" s="362"/>
      <c r="H88" s="362"/>
      <c r="I88" s="385"/>
      <c r="J88" s="363" t="s">
        <v>528</v>
      </c>
      <c r="K88" s="457">
        <v>12000</v>
      </c>
      <c r="L88" s="476"/>
      <c r="M88" s="445">
        <f>800</f>
        <v>800</v>
      </c>
      <c r="N88" s="365"/>
      <c r="O88" s="1431"/>
    </row>
    <row r="89" spans="1:15" s="366" customFormat="1" ht="78" x14ac:dyDescent="0.35">
      <c r="A89" s="929"/>
      <c r="B89" s="478" t="s">
        <v>810</v>
      </c>
      <c r="C89" s="387" t="s">
        <v>1133</v>
      </c>
      <c r="D89" s="365"/>
      <c r="E89" s="365"/>
      <c r="F89" s="365"/>
      <c r="G89" s="365"/>
      <c r="H89" s="365"/>
      <c r="I89" s="452" t="s">
        <v>1302</v>
      </c>
      <c r="J89" s="363" t="s">
        <v>813</v>
      </c>
      <c r="K89" s="457">
        <v>18000000</v>
      </c>
      <c r="L89" s="476"/>
      <c r="M89" s="424">
        <f>2126908+1469292+2403796+1499999+1499999+1499999+1499999</f>
        <v>11999992</v>
      </c>
      <c r="N89" s="365"/>
      <c r="O89" s="1431"/>
    </row>
    <row r="90" spans="1:15" s="366" customFormat="1" ht="62.4" x14ac:dyDescent="0.35">
      <c r="A90" s="929"/>
      <c r="B90" s="832" t="s">
        <v>1405</v>
      </c>
      <c r="C90" s="387" t="s">
        <v>1403</v>
      </c>
      <c r="D90" s="365"/>
      <c r="E90" s="365"/>
      <c r="F90" s="365"/>
      <c r="G90" s="365"/>
      <c r="H90" s="365"/>
      <c r="I90" s="452" t="s">
        <v>1404</v>
      </c>
      <c r="J90" s="363" t="s">
        <v>813</v>
      </c>
      <c r="K90" s="457">
        <v>150000</v>
      </c>
      <c r="L90" s="476"/>
      <c r="M90" s="445">
        <v>150000</v>
      </c>
      <c r="N90" s="365"/>
      <c r="O90" s="1431"/>
    </row>
    <row r="91" spans="1:15" s="366" customFormat="1" ht="31.2" x14ac:dyDescent="0.35">
      <c r="A91" s="929"/>
      <c r="B91" s="459" t="s">
        <v>805</v>
      </c>
      <c r="C91" s="387" t="s">
        <v>1132</v>
      </c>
      <c r="D91" s="365"/>
      <c r="E91" s="365"/>
      <c r="F91" s="365"/>
      <c r="G91" s="365"/>
      <c r="H91" s="365"/>
      <c r="I91" s="452" t="s">
        <v>1301</v>
      </c>
      <c r="J91" s="363" t="s">
        <v>808</v>
      </c>
      <c r="K91" s="457">
        <f>51963.84-51963.84</f>
        <v>0</v>
      </c>
      <c r="L91" s="476"/>
      <c r="M91" s="445"/>
      <c r="N91" s="365"/>
      <c r="O91" s="1431"/>
    </row>
    <row r="92" spans="1:15" s="366" customFormat="1" ht="18" x14ac:dyDescent="0.35">
      <c r="A92" s="889"/>
      <c r="B92" s="1297" t="s">
        <v>801</v>
      </c>
      <c r="C92" s="1372" t="s">
        <v>1131</v>
      </c>
      <c r="D92" s="890"/>
      <c r="E92" s="890"/>
      <c r="F92" s="890"/>
      <c r="G92" s="890"/>
      <c r="H92" s="890"/>
      <c r="I92" s="1295" t="s">
        <v>1300</v>
      </c>
      <c r="J92" s="363" t="s">
        <v>162</v>
      </c>
      <c r="K92" s="457">
        <f>600000+10000</f>
        <v>610000</v>
      </c>
      <c r="L92" s="476"/>
      <c r="M92" s="424">
        <f>30041.46+9072.51+32340.46+8828.94+38624.73+10544.55+33976.9+10661.72+35118.46+8201.31+38242.77+59610.06+68927.73+20816.17</f>
        <v>405007.76999999996</v>
      </c>
      <c r="N92" s="365"/>
      <c r="O92" s="1352"/>
    </row>
    <row r="93" spans="1:15" s="366" customFormat="1" ht="18" x14ac:dyDescent="0.35">
      <c r="A93" s="494"/>
      <c r="B93" s="1299"/>
      <c r="C93" s="1348"/>
      <c r="D93" s="890"/>
      <c r="E93" s="890"/>
      <c r="F93" s="890"/>
      <c r="G93" s="890"/>
      <c r="H93" s="890"/>
      <c r="I93" s="1285"/>
      <c r="J93" s="363" t="s">
        <v>586</v>
      </c>
      <c r="K93" s="457"/>
      <c r="L93" s="476"/>
      <c r="M93" s="745"/>
      <c r="N93" s="365"/>
      <c r="O93" s="925"/>
    </row>
    <row r="94" spans="1:15" s="366" customFormat="1" ht="15.6" x14ac:dyDescent="0.3">
      <c r="A94" s="1428"/>
      <c r="B94" s="1297" t="s">
        <v>904</v>
      </c>
      <c r="C94" s="387" t="s">
        <v>1134</v>
      </c>
      <c r="D94" s="388"/>
      <c r="E94" s="388"/>
      <c r="F94" s="388"/>
      <c r="G94" s="388"/>
      <c r="H94" s="388"/>
      <c r="I94" s="389" t="s">
        <v>1328</v>
      </c>
      <c r="J94" s="363"/>
      <c r="K94" s="457">
        <f>K95+K96+K97</f>
        <v>5332603.96</v>
      </c>
      <c r="L94" s="476"/>
      <c r="M94" s="457">
        <f>M95+M96+M97</f>
        <v>3322331.6299999994</v>
      </c>
      <c r="N94" s="365"/>
      <c r="O94" s="1288" t="s">
        <v>1097</v>
      </c>
    </row>
    <row r="95" spans="1:15" s="366" customFormat="1" ht="15.6" x14ac:dyDescent="0.3">
      <c r="A95" s="1429"/>
      <c r="B95" s="1430"/>
      <c r="C95" s="887"/>
      <c r="D95" s="386"/>
      <c r="E95" s="386"/>
      <c r="F95" s="386"/>
      <c r="G95" s="386"/>
      <c r="H95" s="386"/>
      <c r="I95" s="888"/>
      <c r="J95" s="363" t="s">
        <v>162</v>
      </c>
      <c r="K95" s="457">
        <v>5094348.96</v>
      </c>
      <c r="L95" s="476"/>
      <c r="M95" s="424">
        <f>267156.78+80681.33+323666.55+97747.31+286809.24+85408.41+372193.19+370.8+103763+293452.7+87623.72+368354.62+545951.71+242026.78+6525.8+73092.09</f>
        <v>3234824.0299999993</v>
      </c>
      <c r="N95" s="365"/>
      <c r="O95" s="1441"/>
    </row>
    <row r="96" spans="1:15" s="366" customFormat="1" ht="15.6" x14ac:dyDescent="0.3">
      <c r="A96" s="1429"/>
      <c r="B96" s="1430"/>
      <c r="C96" s="887"/>
      <c r="D96" s="362"/>
      <c r="E96" s="362"/>
      <c r="F96" s="362"/>
      <c r="G96" s="362"/>
      <c r="H96" s="362"/>
      <c r="I96" s="888"/>
      <c r="J96" s="363" t="s">
        <v>586</v>
      </c>
      <c r="K96" s="457">
        <f>237874-2000-1000</f>
        <v>234874</v>
      </c>
      <c r="L96" s="476"/>
      <c r="M96" s="445">
        <f>2490+14256+5500+20000+10000+32261.6</f>
        <v>84507.6</v>
      </c>
      <c r="N96" s="365"/>
      <c r="O96" s="1441"/>
    </row>
    <row r="97" spans="1:15" s="366" customFormat="1" ht="15.6" x14ac:dyDescent="0.3">
      <c r="A97" s="1345"/>
      <c r="B97" s="1299"/>
      <c r="C97" s="384"/>
      <c r="D97" s="362"/>
      <c r="E97" s="362"/>
      <c r="F97" s="362"/>
      <c r="G97" s="362"/>
      <c r="H97" s="362"/>
      <c r="I97" s="852"/>
      <c r="J97" s="363" t="s">
        <v>528</v>
      </c>
      <c r="K97" s="457">
        <f>381+2000+1000</f>
        <v>3381</v>
      </c>
      <c r="L97" s="476"/>
      <c r="M97" s="445">
        <f>2000+1000</f>
        <v>3000</v>
      </c>
      <c r="N97" s="365"/>
      <c r="O97" s="1290"/>
    </row>
    <row r="98" spans="1:15" s="366" customFormat="1" ht="18" x14ac:dyDescent="0.35">
      <c r="A98" s="891"/>
      <c r="B98" s="909"/>
      <c r="C98" s="850"/>
      <c r="D98" s="851"/>
      <c r="E98" s="851"/>
      <c r="F98" s="851"/>
      <c r="G98" s="851"/>
      <c r="H98" s="851"/>
      <c r="I98" s="852"/>
      <c r="J98" s="564"/>
      <c r="K98" s="372"/>
      <c r="L98" s="932"/>
      <c r="M98" s="745"/>
      <c r="N98" s="365"/>
      <c r="O98" s="856"/>
    </row>
    <row r="99" spans="1:15" s="366" customFormat="1" ht="31.2" x14ac:dyDescent="0.3">
      <c r="A99" s="1442"/>
      <c r="B99" s="1408" t="s">
        <v>909</v>
      </c>
      <c r="C99" s="855" t="s">
        <v>1411</v>
      </c>
      <c r="D99" s="362"/>
      <c r="E99" s="362"/>
      <c r="F99" s="362"/>
      <c r="G99" s="362"/>
      <c r="H99" s="362"/>
      <c r="I99" s="389" t="s">
        <v>1329</v>
      </c>
      <c r="J99" s="363" t="s">
        <v>586</v>
      </c>
      <c r="K99" s="848">
        <v>200000</v>
      </c>
      <c r="L99" s="476"/>
      <c r="M99" s="445"/>
      <c r="N99" s="365"/>
      <c r="O99" s="856" t="s">
        <v>151</v>
      </c>
    </row>
    <row r="100" spans="1:15" s="366" customFormat="1" ht="15.6" x14ac:dyDescent="0.3">
      <c r="A100" s="1442"/>
      <c r="B100" s="1408"/>
      <c r="C100" s="853" t="s">
        <v>1134</v>
      </c>
      <c r="D100" s="854"/>
      <c r="E100" s="854"/>
      <c r="F100" s="854"/>
      <c r="G100" s="854"/>
      <c r="H100" s="854"/>
      <c r="I100" s="912" t="s">
        <v>1329</v>
      </c>
      <c r="J100" s="662"/>
      <c r="K100" s="553">
        <f>K101+K102</f>
        <v>3591989.5300000003</v>
      </c>
      <c r="L100" s="933"/>
      <c r="M100" s="553">
        <f>M101+M102</f>
        <v>1351533.8</v>
      </c>
      <c r="N100" s="365"/>
      <c r="O100" s="1288" t="s">
        <v>1097</v>
      </c>
    </row>
    <row r="101" spans="1:15" s="366" customFormat="1" ht="15.6" x14ac:dyDescent="0.3">
      <c r="A101" s="1442"/>
      <c r="B101" s="1408"/>
      <c r="C101" s="1303"/>
      <c r="D101" s="482"/>
      <c r="E101" s="482"/>
      <c r="F101" s="482"/>
      <c r="G101" s="482"/>
      <c r="H101" s="482"/>
      <c r="I101" s="1305"/>
      <c r="J101" s="363" t="s">
        <v>586</v>
      </c>
      <c r="K101" s="372">
        <f>810750.26+771343.92+219062+1472707.35+300000</f>
        <v>3573863.5300000003</v>
      </c>
      <c r="L101" s="476"/>
      <c r="M101" s="424">
        <f>26103.04+260144.02+193989.2+163893.5+435030.02+144610.14+58497.8+68416.08</f>
        <v>1350683.8</v>
      </c>
      <c r="N101" s="365"/>
      <c r="O101" s="1317"/>
    </row>
    <row r="102" spans="1:15" s="366" customFormat="1" ht="15.6" x14ac:dyDescent="0.3">
      <c r="A102" s="1442"/>
      <c r="B102" s="1408"/>
      <c r="C102" s="1304"/>
      <c r="D102" s="482"/>
      <c r="E102" s="482"/>
      <c r="F102" s="482"/>
      <c r="G102" s="482"/>
      <c r="H102" s="482"/>
      <c r="I102" s="1306"/>
      <c r="J102" s="363" t="s">
        <v>528</v>
      </c>
      <c r="K102" s="372">
        <v>18126</v>
      </c>
      <c r="L102" s="476"/>
      <c r="M102" s="445">
        <v>850</v>
      </c>
      <c r="N102" s="365"/>
      <c r="O102" s="1290"/>
    </row>
    <row r="103" spans="1:15" s="474" customFormat="1" ht="15.6" x14ac:dyDescent="0.3">
      <c r="A103" s="1433"/>
      <c r="B103" s="1434" t="s">
        <v>1230</v>
      </c>
      <c r="C103" s="395" t="s">
        <v>1093</v>
      </c>
      <c r="D103" s="475"/>
      <c r="E103" s="475"/>
      <c r="F103" s="475"/>
      <c r="G103" s="475"/>
      <c r="H103" s="475"/>
      <c r="I103" s="397" t="s">
        <v>1226</v>
      </c>
      <c r="J103" s="371"/>
      <c r="K103" s="372">
        <f>K104+K105+K106</f>
        <v>28501970.560000002</v>
      </c>
      <c r="L103" s="476"/>
      <c r="M103" s="372">
        <f>M104+M105+M106</f>
        <v>18397534.310000002</v>
      </c>
      <c r="N103" s="476"/>
      <c r="O103" s="1280" t="s">
        <v>151</v>
      </c>
    </row>
    <row r="104" spans="1:15" s="474" customFormat="1" ht="15.6" x14ac:dyDescent="0.3">
      <c r="A104" s="1433"/>
      <c r="B104" s="1434"/>
      <c r="C104" s="892"/>
      <c r="D104" s="517"/>
      <c r="E104" s="517"/>
      <c r="F104" s="517"/>
      <c r="G104" s="517"/>
      <c r="H104" s="517"/>
      <c r="I104" s="893"/>
      <c r="J104" s="371" t="s">
        <v>162</v>
      </c>
      <c r="K104" s="372">
        <f>24557419.37-365566-80593.54</f>
        <v>24111259.830000002</v>
      </c>
      <c r="L104" s="476"/>
      <c r="M104" s="424">
        <f>1217872.51+88843.54+627345.62+1042801.37+36724.5+434017.63+1452587.28+18150+467538.72+1868313.96+17423.5+199936.57+1685104.01-72964.54+667346.52+2026170.98+2707229+1213020.31+5719.4+384756.79</f>
        <v>16087937.670000002</v>
      </c>
      <c r="N104" s="476"/>
      <c r="O104" s="1435"/>
    </row>
    <row r="105" spans="1:15" s="474" customFormat="1" ht="15.6" x14ac:dyDescent="0.3">
      <c r="A105" s="1433"/>
      <c r="B105" s="1434"/>
      <c r="C105" s="892"/>
      <c r="D105" s="518"/>
      <c r="E105" s="518"/>
      <c r="F105" s="518"/>
      <c r="G105" s="518"/>
      <c r="H105" s="518"/>
      <c r="I105" s="893"/>
      <c r="J105" s="371" t="s">
        <v>586</v>
      </c>
      <c r="K105" s="372">
        <f>3678500+365566+80593.54</f>
        <v>4124659.54</v>
      </c>
      <c r="L105" s="476"/>
      <c r="M105" s="424">
        <f>101785.52+235044.2+480428.05+313585.37+311743.82+225066.21+183478.32+428902.15</f>
        <v>2280033.64</v>
      </c>
      <c r="N105" s="476"/>
      <c r="O105" s="1435"/>
    </row>
    <row r="106" spans="1:15" s="474" customFormat="1" ht="15.6" x14ac:dyDescent="0.3">
      <c r="A106" s="1359"/>
      <c r="B106" s="1362"/>
      <c r="C106" s="392"/>
      <c r="D106" s="518"/>
      <c r="E106" s="518"/>
      <c r="F106" s="518"/>
      <c r="G106" s="518"/>
      <c r="H106" s="518"/>
      <c r="I106" s="393"/>
      <c r="J106" s="371" t="s">
        <v>528</v>
      </c>
      <c r="K106" s="372">
        <v>266051.19</v>
      </c>
      <c r="L106" s="476"/>
      <c r="M106" s="445">
        <f>3197+6613+19753</f>
        <v>29563</v>
      </c>
      <c r="N106" s="476"/>
      <c r="O106" s="1435"/>
    </row>
    <row r="107" spans="1:15" s="474" customFormat="1" ht="15.6" x14ac:dyDescent="0.3">
      <c r="A107" s="1436"/>
      <c r="B107" s="1437" t="s">
        <v>1383</v>
      </c>
      <c r="C107" s="910" t="s">
        <v>1134</v>
      </c>
      <c r="D107" s="518"/>
      <c r="E107" s="518"/>
      <c r="F107" s="518"/>
      <c r="G107" s="518"/>
      <c r="H107" s="518"/>
      <c r="I107" s="1439" t="s">
        <v>1384</v>
      </c>
      <c r="J107" s="371" t="s">
        <v>586</v>
      </c>
      <c r="K107" s="372"/>
      <c r="L107" s="476"/>
      <c r="M107" s="445"/>
      <c r="N107" s="476"/>
      <c r="O107" s="1435"/>
    </row>
    <row r="108" spans="1:15" s="474" customFormat="1" ht="15.6" x14ac:dyDescent="0.3">
      <c r="A108" s="1359"/>
      <c r="B108" s="1438"/>
      <c r="C108" s="910" t="s">
        <v>1130</v>
      </c>
      <c r="D108" s="518"/>
      <c r="E108" s="518"/>
      <c r="F108" s="518"/>
      <c r="G108" s="518"/>
      <c r="H108" s="518"/>
      <c r="I108" s="1440"/>
      <c r="J108" s="371" t="s">
        <v>528</v>
      </c>
      <c r="K108" s="372">
        <f>494846.92+10000+100000</f>
        <v>604846.91999999993</v>
      </c>
      <c r="L108" s="476"/>
      <c r="M108" s="424">
        <f>6000+304037.52+120048.92+1458.05</f>
        <v>431544.49</v>
      </c>
      <c r="N108" s="476"/>
      <c r="O108" s="1435"/>
    </row>
    <row r="109" spans="1:15" s="474" customFormat="1" ht="31.2" x14ac:dyDescent="0.3">
      <c r="A109" s="708"/>
      <c r="B109" s="709" t="s">
        <v>1353</v>
      </c>
      <c r="C109" s="395" t="s">
        <v>1130</v>
      </c>
      <c r="D109" s="475"/>
      <c r="E109" s="475"/>
      <c r="F109" s="475"/>
      <c r="G109" s="475"/>
      <c r="H109" s="475"/>
      <c r="I109" s="397" t="s">
        <v>1354</v>
      </c>
      <c r="J109" s="371" t="s">
        <v>528</v>
      </c>
      <c r="K109" s="372">
        <v>400000</v>
      </c>
      <c r="L109" s="476"/>
      <c r="M109" s="445">
        <v>320747.28000000003</v>
      </c>
      <c r="N109" s="476"/>
      <c r="O109" s="1435"/>
    </row>
    <row r="110" spans="1:15" s="366" customFormat="1" ht="46.8" x14ac:dyDescent="0.3">
      <c r="A110" s="388"/>
      <c r="B110" s="459" t="s">
        <v>610</v>
      </c>
      <c r="C110" s="387" t="s">
        <v>1130</v>
      </c>
      <c r="D110" s="365"/>
      <c r="E110" s="365"/>
      <c r="F110" s="365"/>
      <c r="G110" s="365"/>
      <c r="H110" s="365"/>
      <c r="I110" s="452" t="s">
        <v>1233</v>
      </c>
      <c r="J110" s="363" t="s">
        <v>613</v>
      </c>
      <c r="K110" s="457">
        <v>11822578.16</v>
      </c>
      <c r="L110" s="476"/>
      <c r="M110" s="424">
        <f>582207.78+1087559.96+1228848.09+1469746.84+1031323.13+1145567.72+1672440.16+1232477.82</f>
        <v>9450171.5</v>
      </c>
      <c r="N110" s="365"/>
      <c r="O110" s="1435"/>
    </row>
    <row r="111" spans="1:15" s="366" customFormat="1" ht="15.6" hidden="1" x14ac:dyDescent="0.3">
      <c r="A111" s="388"/>
      <c r="B111" s="459" t="s">
        <v>1174</v>
      </c>
      <c r="C111" s="387" t="s">
        <v>1130</v>
      </c>
      <c r="D111" s="365"/>
      <c r="E111" s="365"/>
      <c r="F111" s="365"/>
      <c r="G111" s="365"/>
      <c r="H111" s="365"/>
      <c r="I111" s="452" t="s">
        <v>1175</v>
      </c>
      <c r="J111" s="363" t="s">
        <v>528</v>
      </c>
      <c r="K111" s="457"/>
      <c r="L111" s="476"/>
      <c r="M111" s="445"/>
      <c r="N111" s="365"/>
      <c r="O111" s="1435"/>
    </row>
    <row r="112" spans="1:15" s="474" customFormat="1" ht="15.6" x14ac:dyDescent="0.3">
      <c r="A112" s="475"/>
      <c r="B112" s="423" t="s">
        <v>604</v>
      </c>
      <c r="C112" s="395" t="s">
        <v>1129</v>
      </c>
      <c r="D112" s="476"/>
      <c r="E112" s="476"/>
      <c r="F112" s="476"/>
      <c r="G112" s="476"/>
      <c r="H112" s="476"/>
      <c r="I112" s="477" t="s">
        <v>1229</v>
      </c>
      <c r="J112" s="371" t="s">
        <v>528</v>
      </c>
      <c r="K112" s="457">
        <v>334218</v>
      </c>
      <c r="L112" s="476"/>
      <c r="M112" s="445"/>
      <c r="N112" s="476"/>
      <c r="O112" s="1435"/>
    </row>
    <row r="113" spans="1:15" s="366" customFormat="1" ht="31.2" x14ac:dyDescent="0.3">
      <c r="A113" s="388"/>
      <c r="B113" s="459" t="s">
        <v>771</v>
      </c>
      <c r="C113" s="387" t="s">
        <v>1111</v>
      </c>
      <c r="D113" s="365"/>
      <c r="E113" s="365"/>
      <c r="F113" s="365"/>
      <c r="G113" s="365"/>
      <c r="H113" s="365"/>
      <c r="I113" s="452" t="s">
        <v>1290</v>
      </c>
      <c r="J113" s="363" t="s">
        <v>586</v>
      </c>
      <c r="K113" s="457">
        <v>50000</v>
      </c>
      <c r="L113" s="476"/>
      <c r="M113" s="445"/>
      <c r="N113" s="365"/>
      <c r="O113" s="1435"/>
    </row>
    <row r="114" spans="1:15" s="366" customFormat="1" ht="62.4" hidden="1" x14ac:dyDescent="0.3">
      <c r="A114" s="388"/>
      <c r="B114" s="483" t="s">
        <v>1187</v>
      </c>
      <c r="C114" s="387" t="s">
        <v>1161</v>
      </c>
      <c r="D114" s="365"/>
      <c r="E114" s="365"/>
      <c r="F114" s="365"/>
      <c r="G114" s="365"/>
      <c r="H114" s="365"/>
      <c r="I114" s="452" t="s">
        <v>1162</v>
      </c>
      <c r="J114" s="363" t="s">
        <v>528</v>
      </c>
      <c r="K114" s="372"/>
      <c r="L114" s="476"/>
      <c r="M114" s="445"/>
      <c r="N114" s="365"/>
      <c r="O114" s="1283"/>
    </row>
    <row r="115" spans="1:15" s="366" customFormat="1" ht="62.4" hidden="1" x14ac:dyDescent="0.3">
      <c r="A115" s="388"/>
      <c r="B115" s="423" t="s">
        <v>1188</v>
      </c>
      <c r="C115" s="387" t="s">
        <v>1185</v>
      </c>
      <c r="D115" s="365"/>
      <c r="E115" s="365"/>
      <c r="F115" s="365"/>
      <c r="G115" s="365"/>
      <c r="H115" s="365"/>
      <c r="I115" s="484" t="s">
        <v>1186</v>
      </c>
      <c r="J115" s="389" t="s">
        <v>528</v>
      </c>
      <c r="K115" s="559"/>
      <c r="L115" s="476"/>
      <c r="M115" s="661"/>
      <c r="N115" s="365"/>
      <c r="O115" s="905" t="s">
        <v>968</v>
      </c>
    </row>
    <row r="116" spans="1:15" s="366" customFormat="1" ht="72" x14ac:dyDescent="0.35">
      <c r="A116" s="425">
        <v>11</v>
      </c>
      <c r="B116" s="435" t="s">
        <v>563</v>
      </c>
      <c r="C116" s="428"/>
      <c r="D116" s="428"/>
      <c r="E116" s="428"/>
      <c r="F116" s="428"/>
      <c r="G116" s="428"/>
      <c r="H116" s="428"/>
      <c r="I116" s="429" t="s">
        <v>1346</v>
      </c>
      <c r="J116" s="430"/>
      <c r="K116" s="473">
        <f>K117+K118+K119+K120+K121+K122+K124+K125+K123</f>
        <v>5308249.99</v>
      </c>
      <c r="L116" s="568"/>
      <c r="M116" s="473">
        <f>M117+M118+M119+M120+M121+M122+M124+M125+M123</f>
        <v>1529673.7499999998</v>
      </c>
      <c r="N116" s="428"/>
      <c r="O116" s="432" t="s">
        <v>1147</v>
      </c>
    </row>
    <row r="117" spans="1:15" s="366" customFormat="1" ht="46.8" x14ac:dyDescent="0.35">
      <c r="A117" s="425"/>
      <c r="B117" s="459" t="s">
        <v>618</v>
      </c>
      <c r="C117" s="387" t="s">
        <v>1137</v>
      </c>
      <c r="D117" s="428"/>
      <c r="E117" s="428"/>
      <c r="F117" s="428"/>
      <c r="G117" s="428"/>
      <c r="H117" s="428"/>
      <c r="I117" s="452" t="s">
        <v>1235</v>
      </c>
      <c r="J117" s="363" t="s">
        <v>586</v>
      </c>
      <c r="K117" s="457">
        <f>515000-250000</f>
        <v>265000</v>
      </c>
      <c r="L117" s="568"/>
      <c r="M117" s="941">
        <f>30000-25141+5000-500</f>
        <v>9359</v>
      </c>
      <c r="N117" s="428"/>
      <c r="O117" s="1288" t="s">
        <v>151</v>
      </c>
    </row>
    <row r="118" spans="1:15" s="366" customFormat="1" ht="18" x14ac:dyDescent="0.35">
      <c r="A118" s="425"/>
      <c r="B118" s="459" t="s">
        <v>621</v>
      </c>
      <c r="C118" s="387" t="s">
        <v>1137</v>
      </c>
      <c r="D118" s="428"/>
      <c r="E118" s="428"/>
      <c r="F118" s="428"/>
      <c r="G118" s="428"/>
      <c r="H118" s="428"/>
      <c r="I118" s="452" t="s">
        <v>1236</v>
      </c>
      <c r="J118" s="363" t="s">
        <v>586</v>
      </c>
      <c r="K118" s="457">
        <f>212500+250000</f>
        <v>462500</v>
      </c>
      <c r="L118" s="568"/>
      <c r="M118" s="569">
        <v>20531.04</v>
      </c>
      <c r="N118" s="428"/>
      <c r="O118" s="1454"/>
    </row>
    <row r="119" spans="1:15" s="366" customFormat="1" ht="31.2" x14ac:dyDescent="0.35">
      <c r="A119" s="425"/>
      <c r="B119" s="459" t="s">
        <v>731</v>
      </c>
      <c r="C119" s="387" t="s">
        <v>1107</v>
      </c>
      <c r="D119" s="428"/>
      <c r="E119" s="428"/>
      <c r="F119" s="428"/>
      <c r="G119" s="428"/>
      <c r="H119" s="428"/>
      <c r="I119" s="452" t="s">
        <v>1274</v>
      </c>
      <c r="J119" s="363" t="s">
        <v>586</v>
      </c>
      <c r="K119" s="457">
        <v>50000</v>
      </c>
      <c r="L119" s="568"/>
      <c r="M119" s="569"/>
      <c r="N119" s="428"/>
      <c r="O119" s="1454"/>
    </row>
    <row r="120" spans="1:15" s="515" customFormat="1" ht="31.2" x14ac:dyDescent="0.35">
      <c r="A120" s="567"/>
      <c r="B120" s="423" t="s">
        <v>736</v>
      </c>
      <c r="C120" s="395" t="s">
        <v>1107</v>
      </c>
      <c r="D120" s="568"/>
      <c r="E120" s="568"/>
      <c r="F120" s="568"/>
      <c r="G120" s="568"/>
      <c r="H120" s="568"/>
      <c r="I120" s="477" t="s">
        <v>1275</v>
      </c>
      <c r="J120" s="371" t="s">
        <v>586</v>
      </c>
      <c r="K120" s="457">
        <v>53000</v>
      </c>
      <c r="L120" s="568"/>
      <c r="M120" s="569"/>
      <c r="N120" s="570"/>
      <c r="O120" s="1290"/>
    </row>
    <row r="121" spans="1:15" s="366" customFormat="1" ht="31.2" x14ac:dyDescent="0.35">
      <c r="A121" s="425"/>
      <c r="B121" s="459" t="s">
        <v>834</v>
      </c>
      <c r="C121" s="387" t="s">
        <v>1105</v>
      </c>
      <c r="D121" s="428"/>
      <c r="E121" s="428"/>
      <c r="F121" s="428"/>
      <c r="G121" s="428"/>
      <c r="H121" s="428"/>
      <c r="I121" s="452" t="s">
        <v>1308</v>
      </c>
      <c r="J121" s="363" t="s">
        <v>613</v>
      </c>
      <c r="K121" s="457">
        <v>1650000</v>
      </c>
      <c r="L121" s="568"/>
      <c r="M121" s="941">
        <v>102182.2</v>
      </c>
      <c r="N121" s="428"/>
      <c r="O121" s="1291" t="s">
        <v>968</v>
      </c>
    </row>
    <row r="122" spans="1:15" s="366" customFormat="1" ht="18" x14ac:dyDescent="0.35">
      <c r="A122" s="425"/>
      <c r="B122" s="1293" t="s">
        <v>831</v>
      </c>
      <c r="C122" s="387" t="s">
        <v>1105</v>
      </c>
      <c r="D122" s="428"/>
      <c r="E122" s="428"/>
      <c r="F122" s="428"/>
      <c r="G122" s="428"/>
      <c r="H122" s="428"/>
      <c r="I122" s="1295" t="s">
        <v>1307</v>
      </c>
      <c r="J122" s="363" t="s">
        <v>613</v>
      </c>
      <c r="K122" s="457">
        <v>300000</v>
      </c>
      <c r="L122" s="568"/>
      <c r="M122" s="941"/>
      <c r="N122" s="428"/>
      <c r="O122" s="1292"/>
    </row>
    <row r="123" spans="1:15" s="366" customFormat="1" ht="18" x14ac:dyDescent="0.35">
      <c r="A123" s="425"/>
      <c r="B123" s="1294"/>
      <c r="C123" s="387" t="s">
        <v>1142</v>
      </c>
      <c r="D123" s="428"/>
      <c r="E123" s="428"/>
      <c r="F123" s="428"/>
      <c r="G123" s="428"/>
      <c r="H123" s="428"/>
      <c r="I123" s="1296"/>
      <c r="J123" s="363" t="s">
        <v>613</v>
      </c>
      <c r="K123" s="372"/>
      <c r="L123" s="568"/>
      <c r="M123" s="941"/>
      <c r="N123" s="428"/>
      <c r="O123" s="908"/>
    </row>
    <row r="124" spans="1:15" s="366" customFormat="1" ht="31.2" x14ac:dyDescent="0.35">
      <c r="A124" s="425"/>
      <c r="B124" s="459" t="s">
        <v>912</v>
      </c>
      <c r="C124" s="387" t="s">
        <v>1138</v>
      </c>
      <c r="D124" s="428"/>
      <c r="E124" s="428"/>
      <c r="F124" s="428"/>
      <c r="G124" s="428"/>
      <c r="H124" s="428"/>
      <c r="I124" s="452" t="s">
        <v>1330</v>
      </c>
      <c r="J124" s="363" t="s">
        <v>613</v>
      </c>
      <c r="K124" s="372">
        <v>2497749.9900000002</v>
      </c>
      <c r="L124" s="568"/>
      <c r="M124" s="941">
        <f>156868.34+144625.25+188115.22+194249.18+207874.54+133937.95+184909.36+164178.67</f>
        <v>1374758.5099999998</v>
      </c>
      <c r="N124" s="428"/>
      <c r="O124" s="495" t="s">
        <v>1097</v>
      </c>
    </row>
    <row r="125" spans="1:15" s="366" customFormat="1" ht="46.8" x14ac:dyDescent="0.35">
      <c r="A125" s="425"/>
      <c r="B125" s="521" t="s">
        <v>1198</v>
      </c>
      <c r="C125" s="387" t="s">
        <v>1107</v>
      </c>
      <c r="D125" s="428"/>
      <c r="E125" s="428"/>
      <c r="F125" s="428"/>
      <c r="G125" s="428"/>
      <c r="H125" s="428"/>
      <c r="I125" s="484" t="s">
        <v>1276</v>
      </c>
      <c r="J125" s="389" t="s">
        <v>586</v>
      </c>
      <c r="K125" s="559">
        <v>30000</v>
      </c>
      <c r="L125" s="568"/>
      <c r="M125" s="942">
        <v>22843</v>
      </c>
      <c r="N125" s="428"/>
      <c r="O125" s="495"/>
    </row>
    <row r="126" spans="1:15" s="366" customFormat="1" ht="52.8" x14ac:dyDescent="0.35">
      <c r="A126" s="425">
        <v>12</v>
      </c>
      <c r="B126" s="435" t="s">
        <v>558</v>
      </c>
      <c r="C126" s="428"/>
      <c r="D126" s="428"/>
      <c r="E126" s="428"/>
      <c r="F126" s="428"/>
      <c r="G126" s="428"/>
      <c r="H126" s="428"/>
      <c r="I126" s="429" t="s">
        <v>1347</v>
      </c>
      <c r="J126" s="430"/>
      <c r="K126" s="473">
        <f>K127+K128+K129+K130+K131+K132+K133+K134+K135+K136+K137+K140+K141+K142+K143+K147+K151+K139+K138</f>
        <v>207066970.47000003</v>
      </c>
      <c r="L126" s="568"/>
      <c r="M126" s="473">
        <f>M127+M128+M129+M130+M131+M132+M133+M134+M135+M136+M137+M140+M141+M142+M143+M147+M151+M139+M138</f>
        <v>113471266.23999999</v>
      </c>
      <c r="N126" s="428"/>
      <c r="O126" s="432" t="s">
        <v>1147</v>
      </c>
    </row>
    <row r="127" spans="1:15" s="366" customFormat="1" ht="18" hidden="1" x14ac:dyDescent="0.35">
      <c r="A127" s="425"/>
      <c r="B127" s="423" t="s">
        <v>1153</v>
      </c>
      <c r="C127" s="387" t="s">
        <v>1139</v>
      </c>
      <c r="D127" s="428"/>
      <c r="E127" s="428"/>
      <c r="F127" s="428"/>
      <c r="G127" s="428"/>
      <c r="H127" s="428"/>
      <c r="I127" s="452" t="s">
        <v>818</v>
      </c>
      <c r="J127" s="363" t="s">
        <v>586</v>
      </c>
      <c r="K127" s="457">
        <v>0</v>
      </c>
      <c r="L127" s="568"/>
      <c r="M127" s="569"/>
      <c r="N127" s="428"/>
      <c r="O127" s="1288" t="s">
        <v>151</v>
      </c>
    </row>
    <row r="128" spans="1:15" s="366" customFormat="1" ht="18" x14ac:dyDescent="0.35">
      <c r="A128" s="425"/>
      <c r="B128" s="459" t="s">
        <v>725</v>
      </c>
      <c r="C128" s="387" t="s">
        <v>1140</v>
      </c>
      <c r="D128" s="428"/>
      <c r="E128" s="428"/>
      <c r="F128" s="428"/>
      <c r="G128" s="428"/>
      <c r="H128" s="428"/>
      <c r="I128" s="452" t="s">
        <v>1272</v>
      </c>
      <c r="J128" s="363" t="s">
        <v>586</v>
      </c>
      <c r="K128" s="457">
        <v>8000000</v>
      </c>
      <c r="L128" s="568"/>
      <c r="M128" s="569"/>
      <c r="N128" s="428"/>
      <c r="O128" s="1454"/>
    </row>
    <row r="129" spans="1:15" s="366" customFormat="1" ht="31.2" x14ac:dyDescent="0.35">
      <c r="A129" s="425"/>
      <c r="B129" s="459" t="s">
        <v>1278</v>
      </c>
      <c r="C129" s="387" t="s">
        <v>1107</v>
      </c>
      <c r="D129" s="428"/>
      <c r="E129" s="428"/>
      <c r="F129" s="428"/>
      <c r="G129" s="428"/>
      <c r="H129" s="428"/>
      <c r="I129" s="452" t="s">
        <v>1277</v>
      </c>
      <c r="J129" s="363" t="s">
        <v>586</v>
      </c>
      <c r="K129" s="457">
        <f>114734.4+167128.87+82871.13</f>
        <v>364734.4</v>
      </c>
      <c r="L129" s="568"/>
      <c r="M129" s="941">
        <f>1100+10234+53656.71+9000+36200+22007.39+11200</f>
        <v>143398.09999999998</v>
      </c>
      <c r="N129" s="428"/>
      <c r="O129" s="1290"/>
    </row>
    <row r="130" spans="1:15" s="366" customFormat="1" ht="31.2" x14ac:dyDescent="0.35">
      <c r="A130" s="425"/>
      <c r="B130" s="459" t="s">
        <v>915</v>
      </c>
      <c r="C130" s="387" t="s">
        <v>1146</v>
      </c>
      <c r="D130" s="428"/>
      <c r="E130" s="428"/>
      <c r="F130" s="428"/>
      <c r="G130" s="428"/>
      <c r="H130" s="428"/>
      <c r="I130" s="452" t="s">
        <v>1331</v>
      </c>
      <c r="J130" s="363" t="s">
        <v>613</v>
      </c>
      <c r="K130" s="457">
        <v>7636834.5599999996</v>
      </c>
      <c r="L130" s="568"/>
      <c r="M130" s="941">
        <f>363230.85+492151.88+489303.4+384974.99+579918.09+351555.26+109310.48+95389.44</f>
        <v>2865834.3899999997</v>
      </c>
      <c r="N130" s="428"/>
      <c r="O130" s="907" t="s">
        <v>1097</v>
      </c>
    </row>
    <row r="131" spans="1:15" s="366" customFormat="1" ht="18" x14ac:dyDescent="0.35">
      <c r="A131" s="425"/>
      <c r="B131" s="459" t="s">
        <v>817</v>
      </c>
      <c r="C131" s="387" t="s">
        <v>1142</v>
      </c>
      <c r="D131" s="428"/>
      <c r="E131" s="428"/>
      <c r="F131" s="428"/>
      <c r="G131" s="428"/>
      <c r="H131" s="428"/>
      <c r="I131" s="452" t="s">
        <v>1304</v>
      </c>
      <c r="J131" s="363" t="s">
        <v>613</v>
      </c>
      <c r="K131" s="457">
        <v>3282185.35</v>
      </c>
      <c r="L131" s="568"/>
      <c r="M131" s="941">
        <f>585817.49+80129.95+50000+99000+28788+34320+428496.66+658353.26+38351.62+111484</f>
        <v>2114740.98</v>
      </c>
      <c r="N131" s="428"/>
      <c r="O131" s="1288" t="s">
        <v>968</v>
      </c>
    </row>
    <row r="132" spans="1:15" s="366" customFormat="1" ht="31.2" x14ac:dyDescent="0.35">
      <c r="A132" s="425"/>
      <c r="B132" s="459" t="s">
        <v>814</v>
      </c>
      <c r="C132" s="387" t="s">
        <v>1142</v>
      </c>
      <c r="D132" s="428"/>
      <c r="E132" s="428"/>
      <c r="F132" s="428"/>
      <c r="G132" s="428"/>
      <c r="H132" s="428"/>
      <c r="I132" s="452" t="s">
        <v>1303</v>
      </c>
      <c r="J132" s="363" t="s">
        <v>613</v>
      </c>
      <c r="K132" s="457">
        <f>34085991.49+3149000+14433000+1500000-1500000</f>
        <v>51667991.490000002</v>
      </c>
      <c r="L132" s="568"/>
      <c r="M132" s="941">
        <f>2356160.12+452255.67+3660357.99+873532.27+21680+65980+4123273.33+883777.74+3586455.13+32990+710340.32+10840+3262742.11+26482.5+604256.74+10840+3477644.88+3290226.26+2350102.51+28482.5+577377.86+10840</f>
        <v>30416637.929999992</v>
      </c>
      <c r="N132" s="428"/>
      <c r="O132" s="1454"/>
    </row>
    <row r="133" spans="1:15" s="366" customFormat="1" ht="31.2" x14ac:dyDescent="0.35">
      <c r="A133" s="425"/>
      <c r="B133" s="459" t="s">
        <v>837</v>
      </c>
      <c r="C133" s="387" t="s">
        <v>1105</v>
      </c>
      <c r="D133" s="428"/>
      <c r="E133" s="428"/>
      <c r="F133" s="428"/>
      <c r="G133" s="428"/>
      <c r="H133" s="428"/>
      <c r="I133" s="452" t="s">
        <v>1309</v>
      </c>
      <c r="J133" s="363" t="s">
        <v>613</v>
      </c>
      <c r="K133" s="457">
        <f>95155748.66+5078000-14769460.99-500000+500000</f>
        <v>85464287.670000002</v>
      </c>
      <c r="L133" s="568"/>
      <c r="M133" s="941">
        <f>4290134.18+215001.81+6724002.5+346703.2+245656.77+23755+8882268.11+288534.14+6866405.26+180487+233607.5+11877.5+5549070.62+172487+196307.64+11877.5+4720390.26+4403226.67+3892303.24+168487+137633.55+11877.5</f>
        <v>47572093.949999996</v>
      </c>
      <c r="N133" s="428"/>
      <c r="O133" s="1454"/>
    </row>
    <row r="134" spans="1:15" s="366" customFormat="1" ht="31.2" x14ac:dyDescent="0.35">
      <c r="A134" s="425"/>
      <c r="B134" s="459" t="s">
        <v>840</v>
      </c>
      <c r="C134" s="387" t="s">
        <v>1105</v>
      </c>
      <c r="D134" s="428"/>
      <c r="E134" s="428"/>
      <c r="F134" s="428"/>
      <c r="G134" s="428"/>
      <c r="H134" s="428"/>
      <c r="I134" s="452" t="s">
        <v>1310</v>
      </c>
      <c r="J134" s="363" t="s">
        <v>613</v>
      </c>
      <c r="K134" s="457">
        <f>6355514.52+25000-1001029.83</f>
        <v>5379484.6899999995</v>
      </c>
      <c r="L134" s="568"/>
      <c r="M134" s="941">
        <f>588256.75+563774.2+525742.9+562037.94+1160756.67+98257.09+266848.78+67029.97</f>
        <v>3832704.3000000003</v>
      </c>
      <c r="N134" s="428"/>
      <c r="O134" s="1454"/>
    </row>
    <row r="135" spans="1:15" s="366" customFormat="1" ht="18" x14ac:dyDescent="0.35">
      <c r="A135" s="425"/>
      <c r="B135" s="459" t="s">
        <v>725</v>
      </c>
      <c r="C135" s="387" t="s">
        <v>1105</v>
      </c>
      <c r="D135" s="428"/>
      <c r="E135" s="428"/>
      <c r="F135" s="428"/>
      <c r="G135" s="428"/>
      <c r="H135" s="428"/>
      <c r="I135" s="452" t="s">
        <v>1272</v>
      </c>
      <c r="J135" s="363" t="s">
        <v>613</v>
      </c>
      <c r="K135" s="457">
        <f>17174500+1467814.65-500000-1500000</f>
        <v>16642314.649999999</v>
      </c>
      <c r="L135" s="568"/>
      <c r="M135" s="941">
        <f>2307366.72+54716.15+53834+411162.21+250477+1245413.01+1771690.14+1798610.19</f>
        <v>7893269.4199999999</v>
      </c>
      <c r="N135" s="428"/>
      <c r="O135" s="1454"/>
    </row>
    <row r="136" spans="1:15" s="366" customFormat="1" ht="15.6" x14ac:dyDescent="0.3">
      <c r="A136" s="388"/>
      <c r="B136" s="459" t="s">
        <v>844</v>
      </c>
      <c r="C136" s="387" t="s">
        <v>1105</v>
      </c>
      <c r="D136" s="365"/>
      <c r="E136" s="365"/>
      <c r="F136" s="365"/>
      <c r="G136" s="365"/>
      <c r="H136" s="365"/>
      <c r="I136" s="452" t="s">
        <v>1311</v>
      </c>
      <c r="J136" s="363" t="s">
        <v>613</v>
      </c>
      <c r="K136" s="457">
        <v>483000</v>
      </c>
      <c r="L136" s="476"/>
      <c r="M136" s="569">
        <f>36608.7+1260.6</f>
        <v>37869.299999999996</v>
      </c>
      <c r="N136" s="365"/>
      <c r="O136" s="1454"/>
    </row>
    <row r="137" spans="1:15" s="366" customFormat="1" ht="46.8" x14ac:dyDescent="0.3">
      <c r="A137" s="388"/>
      <c r="B137" s="459" t="s">
        <v>847</v>
      </c>
      <c r="C137" s="387" t="s">
        <v>1105</v>
      </c>
      <c r="D137" s="365"/>
      <c r="E137" s="365"/>
      <c r="F137" s="365"/>
      <c r="G137" s="365"/>
      <c r="H137" s="365"/>
      <c r="I137" s="452" t="s">
        <v>1312</v>
      </c>
      <c r="J137" s="363" t="s">
        <v>613</v>
      </c>
      <c r="K137" s="457">
        <v>50000</v>
      </c>
      <c r="L137" s="476"/>
      <c r="M137" s="569"/>
      <c r="N137" s="365"/>
      <c r="O137" s="1454"/>
    </row>
    <row r="138" spans="1:15" s="366" customFormat="1" ht="15.6" x14ac:dyDescent="0.3">
      <c r="A138" s="1443"/>
      <c r="B138" s="1297" t="s">
        <v>864</v>
      </c>
      <c r="C138" s="1303" t="s">
        <v>1143</v>
      </c>
      <c r="D138" s="365"/>
      <c r="E138" s="365"/>
      <c r="F138" s="365"/>
      <c r="G138" s="365"/>
      <c r="H138" s="365"/>
      <c r="I138" s="1355" t="s">
        <v>1317</v>
      </c>
      <c r="J138" s="363" t="s">
        <v>586</v>
      </c>
      <c r="K138" s="457">
        <v>100000</v>
      </c>
      <c r="L138" s="476"/>
      <c r="M138" s="941">
        <f>24500+7000+73500</f>
        <v>105000</v>
      </c>
      <c r="N138" s="365"/>
      <c r="O138" s="1454"/>
    </row>
    <row r="139" spans="1:15" s="366" customFormat="1" ht="15.6" x14ac:dyDescent="0.3">
      <c r="A139" s="1444"/>
      <c r="B139" s="1445"/>
      <c r="C139" s="1446"/>
      <c r="D139" s="365"/>
      <c r="E139" s="365"/>
      <c r="F139" s="365"/>
      <c r="G139" s="365"/>
      <c r="H139" s="365"/>
      <c r="I139" s="1447"/>
      <c r="J139" s="363" t="s">
        <v>764</v>
      </c>
      <c r="K139" s="457"/>
      <c r="L139" s="476"/>
      <c r="M139" s="569"/>
      <c r="N139" s="365"/>
      <c r="O139" s="1317"/>
    </row>
    <row r="140" spans="1:15" s="366" customFormat="1" ht="15.6" x14ac:dyDescent="0.3">
      <c r="A140" s="1308"/>
      <c r="B140" s="1299"/>
      <c r="C140" s="1304"/>
      <c r="D140" s="365"/>
      <c r="E140" s="365"/>
      <c r="F140" s="365"/>
      <c r="G140" s="365"/>
      <c r="H140" s="365"/>
      <c r="I140" s="1356"/>
      <c r="J140" s="363" t="s">
        <v>613</v>
      </c>
      <c r="K140" s="457">
        <f>1900000+500000</f>
        <v>2400000</v>
      </c>
      <c r="L140" s="476"/>
      <c r="M140" s="941">
        <f>405934.4+14760+30982.8+707149.6+842145.33+186638</f>
        <v>2187610.13</v>
      </c>
      <c r="N140" s="365"/>
      <c r="O140" s="1317"/>
    </row>
    <row r="141" spans="1:15" s="366" customFormat="1" ht="31.2" x14ac:dyDescent="0.3">
      <c r="A141" s="388"/>
      <c r="B141" s="459" t="s">
        <v>867</v>
      </c>
      <c r="C141" s="387" t="s">
        <v>1143</v>
      </c>
      <c r="D141" s="365"/>
      <c r="E141" s="365"/>
      <c r="F141" s="365"/>
      <c r="G141" s="365"/>
      <c r="H141" s="365"/>
      <c r="I141" s="452" t="s">
        <v>1318</v>
      </c>
      <c r="J141" s="363" t="s">
        <v>613</v>
      </c>
      <c r="K141" s="457">
        <f>100000-100000</f>
        <v>0</v>
      </c>
      <c r="L141" s="476"/>
      <c r="M141" s="569"/>
      <c r="N141" s="365"/>
      <c r="O141" s="1317"/>
    </row>
    <row r="142" spans="1:15" s="366" customFormat="1" ht="15.6" hidden="1" x14ac:dyDescent="0.3">
      <c r="A142" s="388"/>
      <c r="B142" s="459" t="s">
        <v>870</v>
      </c>
      <c r="C142" s="910" t="s">
        <v>1143</v>
      </c>
      <c r="D142" s="482"/>
      <c r="E142" s="482"/>
      <c r="F142" s="482"/>
      <c r="G142" s="482"/>
      <c r="H142" s="482"/>
      <c r="I142" s="480" t="s">
        <v>871</v>
      </c>
      <c r="J142" s="363" t="s">
        <v>613</v>
      </c>
      <c r="K142" s="457">
        <v>0</v>
      </c>
      <c r="L142" s="476"/>
      <c r="M142" s="569"/>
      <c r="N142" s="365"/>
      <c r="O142" s="1317"/>
    </row>
    <row r="143" spans="1:15" s="366" customFormat="1" ht="15.6" x14ac:dyDescent="0.3">
      <c r="A143" s="1443"/>
      <c r="B143" s="1297" t="s">
        <v>877</v>
      </c>
      <c r="C143" s="387" t="s">
        <v>1144</v>
      </c>
      <c r="D143" s="388"/>
      <c r="E143" s="388"/>
      <c r="F143" s="388"/>
      <c r="G143" s="388"/>
      <c r="H143" s="388"/>
      <c r="I143" s="389" t="s">
        <v>1320</v>
      </c>
      <c r="J143" s="363"/>
      <c r="K143" s="457">
        <f>K144+K145+K146</f>
        <v>5523184.1100000003</v>
      </c>
      <c r="L143" s="476"/>
      <c r="M143" s="457">
        <f>M144+M145+M146</f>
        <v>3738933.2499999995</v>
      </c>
      <c r="N143" s="365"/>
      <c r="O143" s="1317"/>
    </row>
    <row r="144" spans="1:15" s="366" customFormat="1" ht="15.6" x14ac:dyDescent="0.3">
      <c r="A144" s="1444"/>
      <c r="B144" s="1445"/>
      <c r="C144" s="1448"/>
      <c r="D144" s="386"/>
      <c r="E144" s="386"/>
      <c r="F144" s="386"/>
      <c r="G144" s="386"/>
      <c r="H144" s="386"/>
      <c r="I144" s="1451"/>
      <c r="J144" s="363" t="s">
        <v>162</v>
      </c>
      <c r="K144" s="457">
        <v>5429984.1100000003</v>
      </c>
      <c r="L144" s="476"/>
      <c r="M144" s="941">
        <f>267903.28+3600+367432.83+1840+187591.01+312722.84+1715+86278.38+380556.18+112813.98+282694.46+9938.7+47519.41+707646.03+634171.59+228372.57+2300+67107.36</f>
        <v>3702203.6199999996</v>
      </c>
      <c r="N144" s="365"/>
      <c r="O144" s="1317"/>
    </row>
    <row r="145" spans="1:15" s="366" customFormat="1" ht="15.6" x14ac:dyDescent="0.3">
      <c r="A145" s="1444"/>
      <c r="B145" s="1445"/>
      <c r="C145" s="1449"/>
      <c r="D145" s="362"/>
      <c r="E145" s="362"/>
      <c r="F145" s="362"/>
      <c r="G145" s="362"/>
      <c r="H145" s="362"/>
      <c r="I145" s="1452"/>
      <c r="J145" s="363" t="s">
        <v>586</v>
      </c>
      <c r="K145" s="457">
        <v>93200</v>
      </c>
      <c r="L145" s="476"/>
      <c r="M145" s="941">
        <f>6475.39+5003.42+5126.63+4386.41+5102.65+3520.62+7114.51</f>
        <v>36729.629999999997</v>
      </c>
      <c r="N145" s="365"/>
      <c r="O145" s="1454"/>
    </row>
    <row r="146" spans="1:15" s="366" customFormat="1" ht="15.6" x14ac:dyDescent="0.3">
      <c r="A146" s="1308"/>
      <c r="B146" s="1299"/>
      <c r="C146" s="1450"/>
      <c r="D146" s="851"/>
      <c r="E146" s="851"/>
      <c r="F146" s="851"/>
      <c r="G146" s="851"/>
      <c r="H146" s="851"/>
      <c r="I146" s="1453"/>
      <c r="J146" s="363" t="s">
        <v>528</v>
      </c>
      <c r="K146" s="457">
        <f>6000-6000</f>
        <v>0</v>
      </c>
      <c r="L146" s="476"/>
      <c r="M146" s="569"/>
      <c r="N146" s="365"/>
      <c r="O146" s="1317"/>
    </row>
    <row r="147" spans="1:15" s="366" customFormat="1" ht="15.6" x14ac:dyDescent="0.3">
      <c r="A147" s="1443"/>
      <c r="B147" s="1297" t="s">
        <v>882</v>
      </c>
      <c r="C147" s="387" t="s">
        <v>1144</v>
      </c>
      <c r="D147" s="388"/>
      <c r="E147" s="388"/>
      <c r="F147" s="388"/>
      <c r="G147" s="388"/>
      <c r="H147" s="388"/>
      <c r="I147" s="389" t="s">
        <v>1321</v>
      </c>
      <c r="J147" s="363"/>
      <c r="K147" s="457">
        <f>K148+K149+K150</f>
        <v>17687799.880000003</v>
      </c>
      <c r="L147" s="476"/>
      <c r="M147" s="457">
        <f>M148+M149+M150</f>
        <v>10895645.949999999</v>
      </c>
      <c r="N147" s="365"/>
      <c r="O147" s="1317"/>
    </row>
    <row r="148" spans="1:15" s="366" customFormat="1" ht="15.6" x14ac:dyDescent="0.3">
      <c r="A148" s="1444"/>
      <c r="B148" s="1445"/>
      <c r="C148" s="1448"/>
      <c r="D148" s="386"/>
      <c r="E148" s="386"/>
      <c r="F148" s="386"/>
      <c r="G148" s="386"/>
      <c r="H148" s="386"/>
      <c r="I148" s="1451"/>
      <c r="J148" s="363" t="s">
        <v>162</v>
      </c>
      <c r="K148" s="457">
        <f>12358242.65+1001029.83</f>
        <v>13359272.48</v>
      </c>
      <c r="L148" s="476"/>
      <c r="M148" s="941">
        <f>641319.57+6605.75+854663.7+4600+442773.64+706630.5+212830.71+2982353.46+4600+889773.06-2202613.77-4600-662210.1+724964.69+17598.8+225547.34+2721952.83+1111184.22+704464.36+5200+204907.84-281467.91</f>
        <v>9311078.6899999995</v>
      </c>
      <c r="N148" s="365"/>
      <c r="O148" s="1454"/>
    </row>
    <row r="149" spans="1:15" s="366" customFormat="1" ht="15.6" x14ac:dyDescent="0.3">
      <c r="A149" s="1444"/>
      <c r="B149" s="1445"/>
      <c r="C149" s="1449"/>
      <c r="D149" s="362"/>
      <c r="E149" s="362"/>
      <c r="F149" s="362"/>
      <c r="G149" s="362"/>
      <c r="H149" s="362"/>
      <c r="I149" s="1452"/>
      <c r="J149" s="363" t="s">
        <v>586</v>
      </c>
      <c r="K149" s="457">
        <f>4275140.4-10000+45000</f>
        <v>4310140.4000000004</v>
      </c>
      <c r="L149" s="476"/>
      <c r="M149" s="941">
        <f>37923.85+226540.51+208735.04+279803.86+241274.93+318025.26+61612.79+198576.02</f>
        <v>1572492.26</v>
      </c>
      <c r="N149" s="365"/>
      <c r="O149" s="1454"/>
    </row>
    <row r="150" spans="1:15" s="366" customFormat="1" ht="15.6" x14ac:dyDescent="0.3">
      <c r="A150" s="1308"/>
      <c r="B150" s="1299"/>
      <c r="C150" s="1339"/>
      <c r="D150" s="362"/>
      <c r="E150" s="362"/>
      <c r="F150" s="362"/>
      <c r="G150" s="362"/>
      <c r="H150" s="362"/>
      <c r="I150" s="1342"/>
      <c r="J150" s="363" t="s">
        <v>528</v>
      </c>
      <c r="K150" s="457">
        <f>8387+10000</f>
        <v>18387</v>
      </c>
      <c r="L150" s="476"/>
      <c r="M150" s="569">
        <f>2652+45+38+1852+4800+2688</f>
        <v>12075</v>
      </c>
      <c r="N150" s="365"/>
      <c r="O150" s="1317"/>
    </row>
    <row r="151" spans="1:15" s="366" customFormat="1" ht="31.2" x14ac:dyDescent="0.3">
      <c r="A151" s="388"/>
      <c r="B151" s="459" t="s">
        <v>887</v>
      </c>
      <c r="C151" s="911" t="s">
        <v>1144</v>
      </c>
      <c r="D151" s="489"/>
      <c r="E151" s="489"/>
      <c r="F151" s="489"/>
      <c r="G151" s="489"/>
      <c r="H151" s="489"/>
      <c r="I151" s="490" t="s">
        <v>1322</v>
      </c>
      <c r="J151" s="363" t="s">
        <v>613</v>
      </c>
      <c r="K151" s="457">
        <f>2678797.79-293644.12</f>
        <v>2385153.67</v>
      </c>
      <c r="L151" s="476"/>
      <c r="M151" s="941">
        <f>170122.74+204050.19+272354.51+235420.64+293941.25+143350.46+203116.69+145172.06</f>
        <v>1667528.54</v>
      </c>
      <c r="N151" s="365"/>
      <c r="O151" s="1290"/>
    </row>
    <row r="152" spans="1:15" s="366" customFormat="1" ht="52.8" x14ac:dyDescent="0.35">
      <c r="A152" s="929">
        <v>13</v>
      </c>
      <c r="B152" s="447" t="s">
        <v>564</v>
      </c>
      <c r="C152" s="448"/>
      <c r="D152" s="448"/>
      <c r="E152" s="448"/>
      <c r="F152" s="448"/>
      <c r="G152" s="448"/>
      <c r="H152" s="448"/>
      <c r="I152" s="429" t="s">
        <v>1348</v>
      </c>
      <c r="J152" s="430"/>
      <c r="K152" s="449">
        <f>K153+K155+K157+K158+K159+K160+K161+K162+K163+K164+K168+K169+K170+K154+K156+K165+K166+K167</f>
        <v>17703934.920000002</v>
      </c>
      <c r="L152" s="470"/>
      <c r="M152" s="449">
        <f>M153+M155+M157+M158+M159+M160+M161+M162+M163+M164+M168+M169+M170+M154+M156+M165+M166+M167</f>
        <v>8768684.5099999998</v>
      </c>
      <c r="N152" s="448"/>
      <c r="O152" s="432" t="s">
        <v>1083</v>
      </c>
    </row>
    <row r="153" spans="1:15" s="366" customFormat="1" ht="15.6" x14ac:dyDescent="0.3">
      <c r="A153" s="388"/>
      <c r="B153" s="459" t="s">
        <v>654</v>
      </c>
      <c r="C153" s="387" t="s">
        <v>1148</v>
      </c>
      <c r="D153" s="365"/>
      <c r="E153" s="365"/>
      <c r="F153" s="365"/>
      <c r="G153" s="365"/>
      <c r="H153" s="365"/>
      <c r="I153" s="452" t="s">
        <v>1251</v>
      </c>
      <c r="J153" s="363" t="s">
        <v>586</v>
      </c>
      <c r="K153" s="457">
        <f>300000+1938000</f>
        <v>2238000</v>
      </c>
      <c r="L153" s="476"/>
      <c r="M153" s="445"/>
      <c r="N153" s="365"/>
      <c r="O153" s="1280" t="s">
        <v>151</v>
      </c>
    </row>
    <row r="154" spans="1:15" s="366" customFormat="1" ht="15.6" x14ac:dyDescent="0.3">
      <c r="A154" s="388"/>
      <c r="B154" s="459" t="s">
        <v>1357</v>
      </c>
      <c r="C154" s="387" t="s">
        <v>1148</v>
      </c>
      <c r="D154" s="365"/>
      <c r="E154" s="365"/>
      <c r="F154" s="365"/>
      <c r="G154" s="365"/>
      <c r="H154" s="365"/>
      <c r="I154" s="452" t="s">
        <v>1356</v>
      </c>
      <c r="J154" s="363" t="s">
        <v>586</v>
      </c>
      <c r="K154" s="457">
        <v>5400000</v>
      </c>
      <c r="L154" s="476"/>
      <c r="M154" s="445">
        <v>1762666.67</v>
      </c>
      <c r="N154" s="365"/>
      <c r="O154" s="1281"/>
    </row>
    <row r="155" spans="1:15" s="366" customFormat="1" ht="31.2" x14ac:dyDescent="0.3">
      <c r="A155" s="388"/>
      <c r="B155" s="459" t="s">
        <v>657</v>
      </c>
      <c r="C155" s="387" t="s">
        <v>1148</v>
      </c>
      <c r="D155" s="365"/>
      <c r="E155" s="365"/>
      <c r="F155" s="365"/>
      <c r="G155" s="365"/>
      <c r="H155" s="365"/>
      <c r="I155" s="452" t="s">
        <v>1252</v>
      </c>
      <c r="J155" s="363" t="s">
        <v>586</v>
      </c>
      <c r="K155" s="457">
        <f>59000+351000</f>
        <v>410000</v>
      </c>
      <c r="L155" s="476"/>
      <c r="M155" s="445"/>
      <c r="N155" s="365"/>
      <c r="O155" s="1281"/>
    </row>
    <row r="156" spans="1:15" s="366" customFormat="1" ht="31.2" x14ac:dyDescent="0.3">
      <c r="A156" s="388"/>
      <c r="B156" s="181" t="s">
        <v>660</v>
      </c>
      <c r="C156" s="387" t="s">
        <v>1148</v>
      </c>
      <c r="D156" s="365"/>
      <c r="E156" s="365"/>
      <c r="F156" s="365"/>
      <c r="G156" s="365"/>
      <c r="H156" s="365"/>
      <c r="I156" s="452" t="s">
        <v>1358</v>
      </c>
      <c r="J156" s="363" t="s">
        <v>586</v>
      </c>
      <c r="K156" s="457">
        <f>50000+51000</f>
        <v>101000</v>
      </c>
      <c r="L156" s="476"/>
      <c r="M156" s="424">
        <f>47090+17400</f>
        <v>64490</v>
      </c>
      <c r="N156" s="365"/>
      <c r="O156" s="1281"/>
    </row>
    <row r="157" spans="1:15" s="366" customFormat="1" ht="31.2" hidden="1" x14ac:dyDescent="0.3">
      <c r="A157" s="388"/>
      <c r="B157" s="459" t="s">
        <v>660</v>
      </c>
      <c r="C157" s="387" t="s">
        <v>1148</v>
      </c>
      <c r="D157" s="365"/>
      <c r="E157" s="365"/>
      <c r="F157" s="365"/>
      <c r="G157" s="365"/>
      <c r="H157" s="365"/>
      <c r="I157" s="452" t="s">
        <v>661</v>
      </c>
      <c r="J157" s="363" t="s">
        <v>586</v>
      </c>
      <c r="K157" s="457"/>
      <c r="L157" s="476"/>
      <c r="M157" s="445"/>
      <c r="N157" s="365"/>
      <c r="O157" s="1281"/>
    </row>
    <row r="158" spans="1:15" s="366" customFormat="1" ht="15.6" x14ac:dyDescent="0.3">
      <c r="A158" s="388"/>
      <c r="B158" s="459" t="s">
        <v>663</v>
      </c>
      <c r="C158" s="387" t="s">
        <v>1148</v>
      </c>
      <c r="D158" s="365"/>
      <c r="E158" s="365"/>
      <c r="F158" s="365"/>
      <c r="G158" s="365"/>
      <c r="H158" s="365"/>
      <c r="I158" s="452" t="s">
        <v>1253</v>
      </c>
      <c r="J158" s="363" t="s">
        <v>586</v>
      </c>
      <c r="K158" s="457">
        <f>360000+206000</f>
        <v>566000</v>
      </c>
      <c r="L158" s="476"/>
      <c r="M158" s="445">
        <f>171000+390000</f>
        <v>561000</v>
      </c>
      <c r="N158" s="365"/>
      <c r="O158" s="1281"/>
    </row>
    <row r="159" spans="1:15" s="366" customFormat="1" ht="31.2" x14ac:dyDescent="0.3">
      <c r="A159" s="388"/>
      <c r="B159" s="459" t="s">
        <v>666</v>
      </c>
      <c r="C159" s="387" t="s">
        <v>1148</v>
      </c>
      <c r="D159" s="365"/>
      <c r="E159" s="365"/>
      <c r="F159" s="365"/>
      <c r="G159" s="365"/>
      <c r="H159" s="365"/>
      <c r="I159" s="452" t="s">
        <v>1254</v>
      </c>
      <c r="J159" s="363" t="s">
        <v>528</v>
      </c>
      <c r="K159" s="457">
        <f>500000-50000-10000</f>
        <v>440000</v>
      </c>
      <c r="L159" s="476"/>
      <c r="M159" s="445"/>
      <c r="N159" s="365"/>
      <c r="O159" s="1281"/>
    </row>
    <row r="160" spans="1:15" s="366" customFormat="1" ht="15.6" x14ac:dyDescent="0.3">
      <c r="A160" s="388"/>
      <c r="B160" s="459" t="s">
        <v>669</v>
      </c>
      <c r="C160" s="387" t="s">
        <v>1148</v>
      </c>
      <c r="D160" s="365"/>
      <c r="E160" s="365"/>
      <c r="F160" s="365"/>
      <c r="G160" s="365"/>
      <c r="H160" s="365"/>
      <c r="I160" s="452" t="s">
        <v>1255</v>
      </c>
      <c r="J160" s="363" t="s">
        <v>586</v>
      </c>
      <c r="K160" s="457">
        <v>150000</v>
      </c>
      <c r="L160" s="476"/>
      <c r="M160" s="445"/>
      <c r="N160" s="365"/>
      <c r="O160" s="1281"/>
    </row>
    <row r="161" spans="1:15" s="366" customFormat="1" ht="46.8" x14ac:dyDescent="0.3">
      <c r="A161" s="388"/>
      <c r="B161" s="459" t="s">
        <v>672</v>
      </c>
      <c r="C161" s="387" t="s">
        <v>1148</v>
      </c>
      <c r="D161" s="365"/>
      <c r="E161" s="365"/>
      <c r="F161" s="365"/>
      <c r="G161" s="365"/>
      <c r="H161" s="365"/>
      <c r="I161" s="452" t="s">
        <v>1256</v>
      </c>
      <c r="J161" s="363" t="s">
        <v>586</v>
      </c>
      <c r="K161" s="457">
        <v>106000</v>
      </c>
      <c r="L161" s="476"/>
      <c r="M161" s="445"/>
      <c r="N161" s="365"/>
      <c r="O161" s="1281"/>
    </row>
    <row r="162" spans="1:15" s="366" customFormat="1" ht="31.2" x14ac:dyDescent="0.3">
      <c r="A162" s="388"/>
      <c r="B162" s="519" t="s">
        <v>675</v>
      </c>
      <c r="C162" s="910" t="s">
        <v>1148</v>
      </c>
      <c r="D162" s="482"/>
      <c r="E162" s="482"/>
      <c r="F162" s="482"/>
      <c r="G162" s="482"/>
      <c r="H162" s="482"/>
      <c r="I162" s="480" t="s">
        <v>1257</v>
      </c>
      <c r="J162" s="363" t="s">
        <v>586</v>
      </c>
      <c r="K162" s="372"/>
      <c r="L162" s="476"/>
      <c r="M162" s="445">
        <f>183800-183800</f>
        <v>0</v>
      </c>
      <c r="N162" s="365"/>
      <c r="O162" s="1281"/>
    </row>
    <row r="163" spans="1:15" s="532" customFormat="1" ht="31.2" x14ac:dyDescent="0.3">
      <c r="A163" s="572"/>
      <c r="B163" s="849" t="s">
        <v>675</v>
      </c>
      <c r="C163" s="387" t="s">
        <v>1163</v>
      </c>
      <c r="D163" s="574"/>
      <c r="E163" s="574"/>
      <c r="F163" s="574"/>
      <c r="G163" s="574"/>
      <c r="H163" s="574"/>
      <c r="I163" s="576" t="s">
        <v>1257</v>
      </c>
      <c r="J163" s="576" t="s">
        <v>586</v>
      </c>
      <c r="K163" s="372">
        <f>4966877.4-1076104.48-400000</f>
        <v>3490772.9200000004</v>
      </c>
      <c r="L163" s="476"/>
      <c r="M163" s="424">
        <f>182571.51+362696.52+121714+220783.81+691000</f>
        <v>1578765.84</v>
      </c>
      <c r="N163" s="368"/>
      <c r="O163" s="1281"/>
    </row>
    <row r="164" spans="1:15" s="366" customFormat="1" ht="46.8" hidden="1" x14ac:dyDescent="0.3">
      <c r="A164" s="928"/>
      <c r="B164" s="455" t="s">
        <v>681</v>
      </c>
      <c r="C164" s="387" t="s">
        <v>1148</v>
      </c>
      <c r="D164" s="482"/>
      <c r="E164" s="482"/>
      <c r="F164" s="482"/>
      <c r="G164" s="482"/>
      <c r="H164" s="482"/>
      <c r="I164" s="363" t="s">
        <v>682</v>
      </c>
      <c r="J164" s="564" t="s">
        <v>586</v>
      </c>
      <c r="K164" s="372">
        <v>0</v>
      </c>
      <c r="L164" s="932"/>
      <c r="M164" s="934"/>
      <c r="N164" s="365"/>
      <c r="O164" s="1281"/>
    </row>
    <row r="165" spans="1:15" s="366" customFormat="1" ht="15.6" x14ac:dyDescent="0.3">
      <c r="A165" s="388"/>
      <c r="B165" s="1408" t="s">
        <v>681</v>
      </c>
      <c r="C165" s="1407" t="s">
        <v>1163</v>
      </c>
      <c r="D165" s="365"/>
      <c r="E165" s="365"/>
      <c r="F165" s="365"/>
      <c r="G165" s="365"/>
      <c r="H165" s="365"/>
      <c r="I165" s="1409" t="s">
        <v>1258</v>
      </c>
      <c r="J165" s="363"/>
      <c r="K165" s="848"/>
      <c r="L165" s="476"/>
      <c r="M165" s="445"/>
      <c r="N165" s="365"/>
      <c r="O165" s="1281"/>
    </row>
    <row r="166" spans="1:15" s="366" customFormat="1" ht="15.6" x14ac:dyDescent="0.3">
      <c r="A166" s="388"/>
      <c r="B166" s="1408"/>
      <c r="C166" s="1407"/>
      <c r="D166" s="658"/>
      <c r="E166" s="658"/>
      <c r="F166" s="658"/>
      <c r="G166" s="658"/>
      <c r="H166" s="658"/>
      <c r="I166" s="1409"/>
      <c r="J166" s="363" t="s">
        <v>586</v>
      </c>
      <c r="K166" s="848">
        <f>3176057.52-2000000-1176057.52</f>
        <v>0</v>
      </c>
      <c r="L166" s="476"/>
      <c r="M166" s="445">
        <v>0</v>
      </c>
      <c r="N166" s="365"/>
      <c r="O166" s="1283"/>
    </row>
    <row r="167" spans="1:15" s="366" customFormat="1" ht="15.6" x14ac:dyDescent="0.3">
      <c r="A167" s="388"/>
      <c r="B167" s="1408"/>
      <c r="C167" s="927" t="s">
        <v>1386</v>
      </c>
      <c r="D167" s="658"/>
      <c r="E167" s="658"/>
      <c r="F167" s="658"/>
      <c r="G167" s="658"/>
      <c r="H167" s="658"/>
      <c r="I167" s="1409"/>
      <c r="J167" s="363" t="s">
        <v>813</v>
      </c>
      <c r="K167" s="848">
        <f>2000000+2252162+400000</f>
        <v>4652162</v>
      </c>
      <c r="L167" s="476"/>
      <c r="M167" s="424">
        <f>1000000+3652162</f>
        <v>4652162</v>
      </c>
      <c r="N167" s="365"/>
      <c r="O167" s="904" t="s">
        <v>1407</v>
      </c>
    </row>
    <row r="168" spans="1:15" s="366" customFormat="1" ht="15.6" x14ac:dyDescent="0.3">
      <c r="A168" s="918"/>
      <c r="B168" s="534" t="s">
        <v>852</v>
      </c>
      <c r="C168" s="911" t="s">
        <v>1105</v>
      </c>
      <c r="D168" s="489"/>
      <c r="E168" s="489"/>
      <c r="F168" s="489"/>
      <c r="G168" s="489"/>
      <c r="H168" s="489"/>
      <c r="I168" s="490" t="s">
        <v>1314</v>
      </c>
      <c r="J168" s="662" t="s">
        <v>613</v>
      </c>
      <c r="K168" s="553">
        <v>80000</v>
      </c>
      <c r="L168" s="933"/>
      <c r="M168" s="739">
        <v>79746.58</v>
      </c>
      <c r="N168" s="365"/>
      <c r="O168" s="1280" t="s">
        <v>968</v>
      </c>
    </row>
    <row r="169" spans="1:15" s="366" customFormat="1" ht="15.6" x14ac:dyDescent="0.3">
      <c r="A169" s="388"/>
      <c r="B169" s="459" t="s">
        <v>855</v>
      </c>
      <c r="C169" s="387" t="s">
        <v>1105</v>
      </c>
      <c r="D169" s="365"/>
      <c r="E169" s="365"/>
      <c r="F169" s="365"/>
      <c r="G169" s="365"/>
      <c r="H169" s="365"/>
      <c r="I169" s="452" t="s">
        <v>1315</v>
      </c>
      <c r="J169" s="363" t="s">
        <v>613</v>
      </c>
      <c r="K169" s="457">
        <v>50000</v>
      </c>
      <c r="L169" s="476"/>
      <c r="M169" s="445">
        <v>49853.42</v>
      </c>
      <c r="N169" s="365"/>
      <c r="O169" s="1281"/>
    </row>
    <row r="170" spans="1:15" s="366" customFormat="1" ht="15.6" x14ac:dyDescent="0.3">
      <c r="A170" s="388"/>
      <c r="B170" s="459" t="s">
        <v>858</v>
      </c>
      <c r="C170" s="387" t="s">
        <v>1105</v>
      </c>
      <c r="D170" s="365"/>
      <c r="E170" s="365"/>
      <c r="F170" s="365"/>
      <c r="G170" s="365"/>
      <c r="H170" s="365"/>
      <c r="I170" s="452" t="s">
        <v>1316</v>
      </c>
      <c r="J170" s="363" t="s">
        <v>613</v>
      </c>
      <c r="K170" s="457">
        <v>20000</v>
      </c>
      <c r="L170" s="476"/>
      <c r="M170" s="445">
        <v>20000</v>
      </c>
      <c r="N170" s="365"/>
      <c r="O170" s="1283"/>
    </row>
    <row r="171" spans="1:15" s="433" customFormat="1" ht="18" x14ac:dyDescent="0.35">
      <c r="A171" s="425">
        <v>14</v>
      </c>
      <c r="B171" s="426" t="s">
        <v>559</v>
      </c>
      <c r="C171" s="427"/>
      <c r="D171" s="428"/>
      <c r="E171" s="428"/>
      <c r="F171" s="428"/>
      <c r="G171" s="428"/>
      <c r="H171" s="428"/>
      <c r="I171" s="429" t="s">
        <v>1349</v>
      </c>
      <c r="J171" s="430"/>
      <c r="K171" s="746">
        <f>K174+K175+K177+K176+K172+K173</f>
        <v>2266518.98</v>
      </c>
      <c r="L171" s="568"/>
      <c r="M171" s="746">
        <f>M174+M175+M177+M176+M172+M173</f>
        <v>1826518.98</v>
      </c>
      <c r="N171" s="428"/>
      <c r="O171" s="432"/>
    </row>
    <row r="172" spans="1:15" s="433" customFormat="1" ht="18" x14ac:dyDescent="0.35">
      <c r="A172" s="425"/>
      <c r="B172" s="521" t="s">
        <v>709</v>
      </c>
      <c r="C172" s="910" t="s">
        <v>1101</v>
      </c>
      <c r="D172" s="365"/>
      <c r="E172" s="365"/>
      <c r="F172" s="365"/>
      <c r="G172" s="365"/>
      <c r="H172" s="365"/>
      <c r="I172" s="452" t="s">
        <v>1268</v>
      </c>
      <c r="J172" s="363" t="s">
        <v>586</v>
      </c>
      <c r="K172" s="457">
        <v>100000</v>
      </c>
      <c r="L172" s="568"/>
      <c r="M172" s="746"/>
      <c r="N172" s="428"/>
      <c r="O172" s="520"/>
    </row>
    <row r="173" spans="1:15" s="433" customFormat="1" ht="18" x14ac:dyDescent="0.35">
      <c r="A173" s="425"/>
      <c r="B173" s="466" t="s">
        <v>712</v>
      </c>
      <c r="C173" s="910" t="s">
        <v>1101</v>
      </c>
      <c r="D173" s="365"/>
      <c r="E173" s="365"/>
      <c r="F173" s="365"/>
      <c r="G173" s="365"/>
      <c r="H173" s="365"/>
      <c r="I173" s="452" t="s">
        <v>1361</v>
      </c>
      <c r="J173" s="363" t="s">
        <v>586</v>
      </c>
      <c r="K173" s="457">
        <f>3500000-1429771-243710.02</f>
        <v>1826518.98</v>
      </c>
      <c r="L173" s="568"/>
      <c r="M173" s="740">
        <v>1826518.98</v>
      </c>
      <c r="N173" s="428"/>
      <c r="O173" s="520"/>
    </row>
    <row r="174" spans="1:15" s="366" customFormat="1" ht="15.6" x14ac:dyDescent="0.3">
      <c r="A174" s="388"/>
      <c r="B174" s="534" t="s">
        <v>715</v>
      </c>
      <c r="C174" s="910" t="s">
        <v>1101</v>
      </c>
      <c r="D174" s="365"/>
      <c r="E174" s="365"/>
      <c r="F174" s="365"/>
      <c r="G174" s="365"/>
      <c r="H174" s="365"/>
      <c r="I174" s="452" t="s">
        <v>1269</v>
      </c>
      <c r="J174" s="363" t="s">
        <v>586</v>
      </c>
      <c r="K174" s="457">
        <v>200000</v>
      </c>
      <c r="L174" s="476"/>
      <c r="M174" s="476"/>
      <c r="N174" s="365"/>
      <c r="O174" s="1380" t="s">
        <v>151</v>
      </c>
    </row>
    <row r="175" spans="1:15" s="366" customFormat="1" ht="15.6" x14ac:dyDescent="0.3">
      <c r="A175" s="388"/>
      <c r="B175" s="459" t="s">
        <v>718</v>
      </c>
      <c r="C175" s="910" t="s">
        <v>1101</v>
      </c>
      <c r="D175" s="365"/>
      <c r="E175" s="365"/>
      <c r="F175" s="365"/>
      <c r="G175" s="365"/>
      <c r="H175" s="365"/>
      <c r="I175" s="452" t="s">
        <v>1270</v>
      </c>
      <c r="J175" s="363" t="s">
        <v>586</v>
      </c>
      <c r="K175" s="372">
        <v>40000</v>
      </c>
      <c r="L175" s="476"/>
      <c r="M175" s="476"/>
      <c r="N175" s="365"/>
      <c r="O175" s="1381"/>
    </row>
    <row r="176" spans="1:15" s="366" customFormat="1" ht="15.6" x14ac:dyDescent="0.3">
      <c r="A176" s="388"/>
      <c r="B176" s="521" t="s">
        <v>1205</v>
      </c>
      <c r="C176" s="910" t="s">
        <v>1101</v>
      </c>
      <c r="D176" s="365"/>
      <c r="E176" s="365"/>
      <c r="F176" s="365"/>
      <c r="G176" s="365"/>
      <c r="H176" s="365"/>
      <c r="I176" s="484" t="s">
        <v>1271</v>
      </c>
      <c r="J176" s="389" t="s">
        <v>586</v>
      </c>
      <c r="K176" s="559">
        <v>100000</v>
      </c>
      <c r="L176" s="476"/>
      <c r="M176" s="747"/>
      <c r="N176" s="365"/>
      <c r="O176" s="581"/>
    </row>
    <row r="177" spans="1:16" s="366" customFormat="1" ht="15.6" hidden="1" x14ac:dyDescent="0.3">
      <c r="A177" s="388"/>
      <c r="B177" s="521" t="s">
        <v>1205</v>
      </c>
      <c r="C177" s="910" t="s">
        <v>1159</v>
      </c>
      <c r="D177" s="365"/>
      <c r="E177" s="365"/>
      <c r="F177" s="365"/>
      <c r="G177" s="365"/>
      <c r="H177" s="365"/>
      <c r="I177" s="389" t="s">
        <v>1206</v>
      </c>
      <c r="J177" s="389" t="s">
        <v>813</v>
      </c>
      <c r="K177" s="582"/>
      <c r="L177" s="476"/>
      <c r="M177" s="661"/>
      <c r="N177" s="365"/>
      <c r="O177" s="904" t="s">
        <v>1136</v>
      </c>
    </row>
    <row r="178" spans="1:16" ht="21" x14ac:dyDescent="0.4">
      <c r="A178" s="401"/>
      <c r="B178" s="402" t="s">
        <v>1149</v>
      </c>
      <c r="C178" s="403"/>
      <c r="D178" s="401"/>
      <c r="E178" s="401"/>
      <c r="F178" s="401"/>
      <c r="G178" s="401"/>
      <c r="H178" s="401"/>
      <c r="I178" s="404"/>
      <c r="J178" s="405"/>
      <c r="K178" s="935">
        <f>K21+K34+K36+K47+K58+K66+K68+K72+K78+K84+K116+K126+K152+K171</f>
        <v>380177698.45000011</v>
      </c>
      <c r="L178" s="936"/>
      <c r="M178" s="937">
        <f>M21+M34+M36+M47+M58+M66+M68+M72+M78+M84+M116+M126+M152+M171</f>
        <v>201351611.75999996</v>
      </c>
      <c r="N178" s="400"/>
      <c r="O178" s="400"/>
    </row>
    <row r="179" spans="1:16" ht="15.6" x14ac:dyDescent="0.3">
      <c r="A179" s="146"/>
      <c r="B179" s="146"/>
      <c r="C179" s="146"/>
      <c r="D179" s="146"/>
      <c r="E179" s="146"/>
      <c r="F179" s="146"/>
      <c r="G179" s="146"/>
      <c r="H179" s="146"/>
      <c r="I179" s="358"/>
      <c r="J179" s="360"/>
      <c r="K179" s="747"/>
      <c r="L179" s="938"/>
      <c r="M179" s="938"/>
      <c r="N179" s="146"/>
      <c r="O179" s="146"/>
    </row>
    <row r="180" spans="1:16" s="375" customFormat="1" ht="31.2" x14ac:dyDescent="0.3">
      <c r="A180" s="1382">
        <v>1</v>
      </c>
      <c r="B180" s="1456" t="s">
        <v>1355</v>
      </c>
      <c r="C180" s="395" t="s">
        <v>1110</v>
      </c>
      <c r="D180" s="396"/>
      <c r="E180" s="396"/>
      <c r="F180" s="396"/>
      <c r="G180" s="396"/>
      <c r="H180" s="396"/>
      <c r="I180" s="397" t="s">
        <v>1287</v>
      </c>
      <c r="J180" s="371"/>
      <c r="K180" s="421">
        <f>K181+K182</f>
        <v>573397.05000000005</v>
      </c>
      <c r="L180" s="476"/>
      <c r="M180" s="421">
        <f>M181+M182</f>
        <v>340406.2</v>
      </c>
      <c r="N180" s="373"/>
      <c r="O180" s="374" t="s">
        <v>151</v>
      </c>
    </row>
    <row r="181" spans="1:16" s="375" customFormat="1" ht="15.6" x14ac:dyDescent="0.3">
      <c r="A181" s="1455"/>
      <c r="B181" s="1457"/>
      <c r="C181" s="894"/>
      <c r="D181" s="895"/>
      <c r="E181" s="895"/>
      <c r="F181" s="895"/>
      <c r="G181" s="895"/>
      <c r="H181" s="895"/>
      <c r="I181" s="896"/>
      <c r="J181" s="371" t="s">
        <v>162</v>
      </c>
      <c r="K181" s="372">
        <f>541284-2.95</f>
        <v>541281.05000000005</v>
      </c>
      <c r="L181" s="932"/>
      <c r="M181" s="944">
        <f>18151.56+5481.77+24149.77+5376.57+8916.96+27412.56+8278.59+51009.05+14196.73+27783+8390.46+37669.47+52023.78+15703.48+4742.45</f>
        <v>309286.2</v>
      </c>
      <c r="N181" s="588"/>
      <c r="O181" s="374"/>
    </row>
    <row r="182" spans="1:16" s="375" customFormat="1" ht="76.5" customHeight="1" x14ac:dyDescent="0.3">
      <c r="A182" s="1384"/>
      <c r="B182" s="1368"/>
      <c r="C182" s="392"/>
      <c r="D182" s="897"/>
      <c r="E182" s="897"/>
      <c r="F182" s="897"/>
      <c r="G182" s="897"/>
      <c r="H182" s="897"/>
      <c r="I182" s="393"/>
      <c r="J182" s="371" t="s">
        <v>586</v>
      </c>
      <c r="K182" s="372">
        <v>32116</v>
      </c>
      <c r="L182" s="932"/>
      <c r="M182" s="944">
        <f>9336+21784</f>
        <v>31120</v>
      </c>
      <c r="N182" s="588"/>
      <c r="O182" s="374"/>
    </row>
    <row r="183" spans="1:16" s="375" customFormat="1" ht="55.5" customHeight="1" x14ac:dyDescent="0.3">
      <c r="A183" s="930">
        <v>2</v>
      </c>
      <c r="B183" s="750" t="s">
        <v>1385</v>
      </c>
      <c r="C183" s="926" t="s">
        <v>1386</v>
      </c>
      <c r="D183" s="752"/>
      <c r="E183" s="752"/>
      <c r="F183" s="752"/>
      <c r="G183" s="752"/>
      <c r="H183" s="752"/>
      <c r="I183" s="753" t="s">
        <v>1387</v>
      </c>
      <c r="J183" s="371" t="s">
        <v>813</v>
      </c>
      <c r="K183" s="421">
        <v>11787484</v>
      </c>
      <c r="L183" s="932"/>
      <c r="M183" s="944">
        <v>11787484</v>
      </c>
      <c r="N183" s="588"/>
      <c r="O183" s="374"/>
    </row>
    <row r="184" spans="1:16" s="375" customFormat="1" ht="46.8" x14ac:dyDescent="0.3">
      <c r="A184" s="921">
        <v>3</v>
      </c>
      <c r="B184" s="584" t="s">
        <v>1104</v>
      </c>
      <c r="C184" s="923" t="s">
        <v>1103</v>
      </c>
      <c r="D184" s="586"/>
      <c r="E184" s="586"/>
      <c r="F184" s="586"/>
      <c r="G184" s="586"/>
      <c r="H184" s="586"/>
      <c r="I184" s="587" t="s">
        <v>1265</v>
      </c>
      <c r="J184" s="371" t="s">
        <v>528</v>
      </c>
      <c r="K184" s="421">
        <f>87107200-24.78-4760796.84</f>
        <v>82346378.379999995</v>
      </c>
      <c r="L184" s="932"/>
      <c r="M184" s="945">
        <f>14417772.06+7298261.36+7240617.85+8882707.35+13776880.6+10727877.55</f>
        <v>62344116.770000011</v>
      </c>
      <c r="N184" s="588"/>
      <c r="O184" s="374" t="s">
        <v>151</v>
      </c>
    </row>
    <row r="185" spans="1:16" s="366" customFormat="1" ht="54" customHeight="1" x14ac:dyDescent="0.3">
      <c r="A185" s="921">
        <v>4</v>
      </c>
      <c r="B185" s="590" t="s">
        <v>645</v>
      </c>
      <c r="C185" s="395" t="s">
        <v>1086</v>
      </c>
      <c r="D185" s="591"/>
      <c r="E185" s="592"/>
      <c r="F185" s="592"/>
      <c r="G185" s="592"/>
      <c r="H185" s="593"/>
      <c r="I185" s="594" t="s">
        <v>1245</v>
      </c>
      <c r="J185" s="371" t="s">
        <v>586</v>
      </c>
      <c r="K185" s="421">
        <f>147000+58.82-130391.82</f>
        <v>16667</v>
      </c>
      <c r="L185" s="474"/>
      <c r="M185" s="445"/>
      <c r="N185" s="373"/>
      <c r="O185" s="595" t="s">
        <v>151</v>
      </c>
    </row>
    <row r="186" spans="1:16" s="366" customFormat="1" ht="24.75" customHeight="1" x14ac:dyDescent="0.3">
      <c r="A186" s="1458">
        <v>5</v>
      </c>
      <c r="B186" s="919" t="s">
        <v>893</v>
      </c>
      <c r="C186" s="1410" t="s">
        <v>1090</v>
      </c>
      <c r="D186" s="844"/>
      <c r="E186" s="844"/>
      <c r="F186" s="844"/>
      <c r="G186" s="844"/>
      <c r="H186" s="844"/>
      <c r="I186" s="1412" t="s">
        <v>1323</v>
      </c>
      <c r="J186" s="371" t="s">
        <v>586</v>
      </c>
      <c r="K186" s="421">
        <v>10000</v>
      </c>
      <c r="L186" s="474"/>
      <c r="M186" s="445"/>
      <c r="N186" s="373"/>
      <c r="O186" s="595"/>
    </row>
    <row r="187" spans="1:16" s="375" customFormat="1" ht="22.5" customHeight="1" x14ac:dyDescent="0.3">
      <c r="A187" s="1423"/>
      <c r="B187" s="839"/>
      <c r="C187" s="1411"/>
      <c r="D187" s="844"/>
      <c r="E187" s="844"/>
      <c r="F187" s="844"/>
      <c r="G187" s="844"/>
      <c r="H187" s="844"/>
      <c r="I187" s="1413"/>
      <c r="J187" s="371" t="s">
        <v>764</v>
      </c>
      <c r="K187" s="453">
        <f>1241900-44-10000</f>
        <v>1231856</v>
      </c>
      <c r="L187" s="474"/>
      <c r="M187" s="939">
        <f>620928</f>
        <v>620928</v>
      </c>
      <c r="N187" s="373"/>
      <c r="O187" s="595" t="s">
        <v>1084</v>
      </c>
      <c r="P187" s="599"/>
    </row>
    <row r="188" spans="1:16" s="375" customFormat="1" ht="46.8" x14ac:dyDescent="0.3">
      <c r="A188" s="596">
        <v>6</v>
      </c>
      <c r="B188" s="423" t="s">
        <v>896</v>
      </c>
      <c r="C188" s="395" t="s">
        <v>1091</v>
      </c>
      <c r="D188" s="597"/>
      <c r="E188" s="597"/>
      <c r="F188" s="597"/>
      <c r="G188" s="597"/>
      <c r="H188" s="597"/>
      <c r="I188" s="477" t="s">
        <v>1324</v>
      </c>
      <c r="J188" s="371" t="s">
        <v>764</v>
      </c>
      <c r="K188" s="453">
        <f>55100-2.48</f>
        <v>55097.52</v>
      </c>
      <c r="L188" s="474"/>
      <c r="M188" s="939">
        <v>34095</v>
      </c>
      <c r="N188" s="373"/>
      <c r="O188" s="595" t="s">
        <v>1084</v>
      </c>
      <c r="P188" s="599"/>
    </row>
    <row r="189" spans="1:16" s="375" customFormat="1" ht="15.6" x14ac:dyDescent="0.3">
      <c r="A189" s="1375">
        <v>7</v>
      </c>
      <c r="B189" s="1385" t="s">
        <v>873</v>
      </c>
      <c r="C189" s="923" t="s">
        <v>1090</v>
      </c>
      <c r="D189" s="597"/>
      <c r="E189" s="597"/>
      <c r="F189" s="597"/>
      <c r="G189" s="597"/>
      <c r="H189" s="597"/>
      <c r="I189" s="477" t="s">
        <v>1327</v>
      </c>
      <c r="J189" s="371"/>
      <c r="K189" s="453">
        <f>K190+K191</f>
        <v>1750191.15</v>
      </c>
      <c r="L189" s="474"/>
      <c r="M189" s="453">
        <f>M190+M191</f>
        <v>900897.15999999992</v>
      </c>
      <c r="N189" s="588"/>
      <c r="O189" s="595" t="s">
        <v>1084</v>
      </c>
      <c r="P189" s="600"/>
    </row>
    <row r="190" spans="1:16" s="375" customFormat="1" ht="15.6" x14ac:dyDescent="0.3">
      <c r="A190" s="1376"/>
      <c r="B190" s="1459"/>
      <c r="C190" s="1388"/>
      <c r="D190" s="597"/>
      <c r="E190" s="597"/>
      <c r="F190" s="597"/>
      <c r="G190" s="597"/>
      <c r="H190" s="597"/>
      <c r="I190" s="1389"/>
      <c r="J190" s="371" t="s">
        <v>162</v>
      </c>
      <c r="K190" s="457">
        <f>1635414-8.85-350-150000</f>
        <v>1485055.15</v>
      </c>
      <c r="L190" s="474"/>
      <c r="M190" s="944">
        <f>71790.37+2972.2+22971.77+43749.18+352.62+26090+4450+14249.64+13428.56+119347.71+44706.09+88494.97-2638.65+26833.86+150861.83+68101.13+61644.67+5500+18616.69</f>
        <v>781522.6399999999</v>
      </c>
      <c r="N190" s="588"/>
      <c r="O190" s="595"/>
      <c r="P190" s="600"/>
    </row>
    <row r="191" spans="1:16" s="375" customFormat="1" ht="15.6" x14ac:dyDescent="0.3">
      <c r="A191" s="1365"/>
      <c r="B191" s="1387"/>
      <c r="C191" s="1379"/>
      <c r="D191" s="597"/>
      <c r="E191" s="597"/>
      <c r="F191" s="597"/>
      <c r="G191" s="597"/>
      <c r="H191" s="597"/>
      <c r="I191" s="1390"/>
      <c r="J191" s="371" t="s">
        <v>586</v>
      </c>
      <c r="K191" s="457">
        <f>114786+350+150000</f>
        <v>265136</v>
      </c>
      <c r="L191" s="474"/>
      <c r="M191" s="944">
        <f>26250+4000+28801.64+8344.79+350+30169.51+3801.78+7542.19+10114.61</f>
        <v>119374.51999999999</v>
      </c>
      <c r="N191" s="588"/>
      <c r="O191" s="595"/>
      <c r="P191" s="600"/>
    </row>
    <row r="192" spans="1:16" s="375" customFormat="1" ht="24.75" customHeight="1" x14ac:dyDescent="0.3">
      <c r="A192" s="1375">
        <v>8</v>
      </c>
      <c r="B192" s="1385" t="s">
        <v>899</v>
      </c>
      <c r="C192" s="1410" t="s">
        <v>1090</v>
      </c>
      <c r="D192" s="845"/>
      <c r="E192" s="846"/>
      <c r="F192" s="846"/>
      <c r="G192" s="846"/>
      <c r="H192" s="899"/>
      <c r="I192" s="1414" t="s">
        <v>1325</v>
      </c>
      <c r="J192" s="371" t="s">
        <v>586</v>
      </c>
      <c r="K192" s="457">
        <v>100000</v>
      </c>
      <c r="L192" s="474"/>
      <c r="M192" s="934"/>
      <c r="N192" s="588"/>
      <c r="O192" s="595"/>
      <c r="P192" s="600"/>
    </row>
    <row r="193" spans="1:16" s="375" customFormat="1" ht="33.75" customHeight="1" x14ac:dyDescent="0.3">
      <c r="A193" s="1365"/>
      <c r="B193" s="1424"/>
      <c r="C193" s="1411"/>
      <c r="D193" s="845"/>
      <c r="E193" s="846"/>
      <c r="F193" s="846"/>
      <c r="G193" s="846"/>
      <c r="H193" s="899"/>
      <c r="I193" s="1413"/>
      <c r="J193" s="371" t="s">
        <v>764</v>
      </c>
      <c r="K193" s="453">
        <f>15024600+54.55-100000-3663248.83</f>
        <v>11261405.720000001</v>
      </c>
      <c r="L193" s="474"/>
      <c r="M193" s="945">
        <f>1902501+372964.26+186482.16+1933297+186482.1+927384+213822.55+1172850.86+1170050.79+981296+201957.87</f>
        <v>9249088.589999998</v>
      </c>
      <c r="N193" s="588"/>
      <c r="O193" s="595" t="s">
        <v>1084</v>
      </c>
      <c r="P193" s="599"/>
    </row>
    <row r="194" spans="1:16" s="366" customFormat="1" ht="31.2" hidden="1" x14ac:dyDescent="0.3">
      <c r="A194" s="596">
        <v>8</v>
      </c>
      <c r="B194" s="605" t="s">
        <v>1032</v>
      </c>
      <c r="C194" s="395" t="s">
        <v>1111</v>
      </c>
      <c r="D194" s="592"/>
      <c r="E194" s="592"/>
      <c r="F194" s="592"/>
      <c r="G194" s="592"/>
      <c r="H194" s="592"/>
      <c r="I194" s="477" t="s">
        <v>1112</v>
      </c>
      <c r="J194" s="371" t="s">
        <v>586</v>
      </c>
      <c r="K194" s="453"/>
      <c r="L194" s="474"/>
      <c r="M194" s="939"/>
      <c r="O194" s="595" t="s">
        <v>151</v>
      </c>
    </row>
    <row r="195" spans="1:16" s="366" customFormat="1" ht="31.2" hidden="1" x14ac:dyDescent="0.3">
      <c r="A195" s="596">
        <v>8</v>
      </c>
      <c r="B195" s="423"/>
      <c r="C195" s="395"/>
      <c r="D195" s="592"/>
      <c r="E195" s="592"/>
      <c r="F195" s="592"/>
      <c r="G195" s="592"/>
      <c r="H195" s="592"/>
      <c r="I195" s="477"/>
      <c r="J195" s="371"/>
      <c r="K195" s="453"/>
      <c r="L195" s="474"/>
      <c r="M195" s="939"/>
      <c r="O195" s="595" t="s">
        <v>151</v>
      </c>
    </row>
    <row r="196" spans="1:16" s="366" customFormat="1" ht="31.2" x14ac:dyDescent="0.3">
      <c r="A196" s="921">
        <v>9</v>
      </c>
      <c r="B196" s="606" t="s">
        <v>1365</v>
      </c>
      <c r="C196" s="923" t="s">
        <v>1103</v>
      </c>
      <c r="D196" s="586"/>
      <c r="E196" s="586"/>
      <c r="F196" s="586"/>
      <c r="G196" s="586"/>
      <c r="H196" s="586"/>
      <c r="I196" s="587" t="s">
        <v>1366</v>
      </c>
      <c r="J196" s="371" t="s">
        <v>586</v>
      </c>
      <c r="K196" s="421">
        <f>2300000+1500000</f>
        <v>3800000</v>
      </c>
      <c r="L196" s="474"/>
      <c r="M196" s="939">
        <f>2300000</f>
        <v>2300000</v>
      </c>
      <c r="O196" s="595"/>
    </row>
    <row r="197" spans="1:16" s="366" customFormat="1" ht="62.4" x14ac:dyDescent="0.3">
      <c r="A197" s="921">
        <v>10</v>
      </c>
      <c r="B197" s="754" t="s">
        <v>1388</v>
      </c>
      <c r="C197" s="923" t="s">
        <v>1111</v>
      </c>
      <c r="D197" s="586"/>
      <c r="E197" s="586"/>
      <c r="F197" s="586"/>
      <c r="G197" s="586"/>
      <c r="H197" s="586"/>
      <c r="I197" s="587" t="s">
        <v>1389</v>
      </c>
      <c r="J197" s="371" t="s">
        <v>764</v>
      </c>
      <c r="K197" s="421">
        <v>471100</v>
      </c>
      <c r="L197" s="474"/>
      <c r="M197" s="946">
        <v>471100</v>
      </c>
      <c r="O197" s="595"/>
    </row>
    <row r="198" spans="1:16" s="366" customFormat="1" ht="62.4" x14ac:dyDescent="0.3">
      <c r="A198" s="921">
        <v>11</v>
      </c>
      <c r="B198" s="606" t="s">
        <v>514</v>
      </c>
      <c r="C198" s="923" t="s">
        <v>1113</v>
      </c>
      <c r="D198" s="586"/>
      <c r="E198" s="586"/>
      <c r="F198" s="586"/>
      <c r="G198" s="586"/>
      <c r="H198" s="586"/>
      <c r="I198" s="587" t="s">
        <v>1292</v>
      </c>
      <c r="J198" s="371" t="s">
        <v>700</v>
      </c>
      <c r="K198" s="421">
        <v>2178000</v>
      </c>
      <c r="L198" s="474"/>
      <c r="M198" s="939">
        <f>1518000+660000</f>
        <v>2178000</v>
      </c>
      <c r="O198" s="595" t="s">
        <v>151</v>
      </c>
    </row>
    <row r="199" spans="1:16" s="366" customFormat="1" ht="31.2" x14ac:dyDescent="0.3">
      <c r="A199" s="1375">
        <v>12</v>
      </c>
      <c r="B199" s="1456" t="s">
        <v>1150</v>
      </c>
      <c r="C199" s="395" t="s">
        <v>1130</v>
      </c>
      <c r="D199" s="396"/>
      <c r="E199" s="396"/>
      <c r="F199" s="396"/>
      <c r="G199" s="396"/>
      <c r="H199" s="396"/>
      <c r="I199" s="397" t="s">
        <v>1234</v>
      </c>
      <c r="J199" s="371"/>
      <c r="K199" s="422">
        <f>K200+K201</f>
        <v>584381.05000000005</v>
      </c>
      <c r="L199" s="476"/>
      <c r="M199" s="422">
        <f>M200+M201</f>
        <v>358811.11</v>
      </c>
      <c r="N199" s="365"/>
      <c r="O199" s="374" t="s">
        <v>151</v>
      </c>
    </row>
    <row r="200" spans="1:16" s="366" customFormat="1" ht="15.6" x14ac:dyDescent="0.3">
      <c r="A200" s="1376"/>
      <c r="B200" s="1457"/>
      <c r="C200" s="894"/>
      <c r="D200" s="399"/>
      <c r="E200" s="399"/>
      <c r="F200" s="399"/>
      <c r="G200" s="399"/>
      <c r="H200" s="399"/>
      <c r="I200" s="896"/>
      <c r="J200" s="371" t="s">
        <v>162</v>
      </c>
      <c r="K200" s="381">
        <f>538299.94-18.95</f>
        <v>538280.99</v>
      </c>
      <c r="L200" s="476"/>
      <c r="M200" s="424">
        <f>25979.4+7845.78+10481.82+35807.18+13979.28+20153.79+6086.43+33773.22+10199.53+25979.4+7845.78+33825.17+33825.17+57325.77+16104.39</f>
        <v>339212.11</v>
      </c>
      <c r="N200" s="365"/>
      <c r="O200" s="374"/>
    </row>
    <row r="201" spans="1:16" s="366" customFormat="1" ht="15.6" x14ac:dyDescent="0.3">
      <c r="A201" s="1365"/>
      <c r="B201" s="1368"/>
      <c r="C201" s="392"/>
      <c r="D201" s="370"/>
      <c r="E201" s="370"/>
      <c r="F201" s="370"/>
      <c r="G201" s="370"/>
      <c r="H201" s="370"/>
      <c r="I201" s="398"/>
      <c r="J201" s="371" t="s">
        <v>586</v>
      </c>
      <c r="K201" s="381">
        <v>46100.06</v>
      </c>
      <c r="L201" s="476"/>
      <c r="M201" s="424">
        <f>8599+10000+1000</f>
        <v>19599</v>
      </c>
      <c r="N201" s="365"/>
      <c r="O201" s="374"/>
    </row>
    <row r="202" spans="1:16" s="366" customFormat="1" ht="34.799999999999997" x14ac:dyDescent="0.3">
      <c r="A202" s="1375">
        <v>13</v>
      </c>
      <c r="B202" s="607" t="s">
        <v>1215</v>
      </c>
      <c r="C202" s="392"/>
      <c r="D202" s="370"/>
      <c r="E202" s="370"/>
      <c r="F202" s="370"/>
      <c r="G202" s="370"/>
      <c r="H202" s="370"/>
      <c r="I202" s="497"/>
      <c r="J202" s="371"/>
      <c r="K202" s="381"/>
      <c r="L202" s="476"/>
      <c r="M202" s="661"/>
      <c r="N202" s="365"/>
      <c r="O202" s="374"/>
    </row>
    <row r="203" spans="1:16" s="366" customFormat="1" ht="31.2" x14ac:dyDescent="0.3">
      <c r="A203" s="1376"/>
      <c r="B203" s="1377" t="s">
        <v>1216</v>
      </c>
      <c r="C203" s="395" t="s">
        <v>1141</v>
      </c>
      <c r="D203" s="592"/>
      <c r="E203" s="592"/>
      <c r="F203" s="592"/>
      <c r="G203" s="592"/>
      <c r="H203" s="592"/>
      <c r="I203" s="594" t="s">
        <v>1279</v>
      </c>
      <c r="J203" s="371"/>
      <c r="K203" s="422">
        <f>K204+K205</f>
        <v>573397.1</v>
      </c>
      <c r="L203" s="476"/>
      <c r="M203" s="422">
        <f>M204+M205</f>
        <v>384420.28999999992</v>
      </c>
      <c r="N203" s="365"/>
      <c r="O203" s="374" t="s">
        <v>151</v>
      </c>
    </row>
    <row r="204" spans="1:16" s="366" customFormat="1" ht="15.6" x14ac:dyDescent="0.3">
      <c r="A204" s="1376"/>
      <c r="B204" s="1377"/>
      <c r="C204" s="1388"/>
      <c r="D204" s="592"/>
      <c r="E204" s="592"/>
      <c r="F204" s="592"/>
      <c r="G204" s="592"/>
      <c r="H204" s="592"/>
      <c r="I204" s="1395"/>
      <c r="J204" s="371" t="s">
        <v>162</v>
      </c>
      <c r="K204" s="381">
        <f>539686.9-2.9</f>
        <v>539684</v>
      </c>
      <c r="L204" s="476"/>
      <c r="M204" s="424">
        <f>29652.04+8954.91+3932.34+57670.74+5700+18604.14+38547.65+11641.39+22413.32+78216.34+113.9+38264.52-113.9-113.9+40221.59+12146.92</f>
        <v>365851.99999999994</v>
      </c>
      <c r="N204" s="365"/>
      <c r="O204" s="374"/>
    </row>
    <row r="205" spans="1:16" s="366" customFormat="1" ht="15.6" x14ac:dyDescent="0.3">
      <c r="A205" s="1376"/>
      <c r="B205" s="1377"/>
      <c r="C205" s="1379"/>
      <c r="D205" s="592"/>
      <c r="E205" s="592"/>
      <c r="F205" s="592"/>
      <c r="G205" s="592"/>
      <c r="H205" s="592"/>
      <c r="I205" s="1393"/>
      <c r="J205" s="371" t="s">
        <v>586</v>
      </c>
      <c r="K205" s="381">
        <v>33713.1</v>
      </c>
      <c r="L205" s="476"/>
      <c r="M205" s="424">
        <f>1767.46+3423.81+1335.61+1731.41+1770+6770+1770</f>
        <v>18568.29</v>
      </c>
      <c r="N205" s="365"/>
      <c r="O205" s="374"/>
    </row>
    <row r="206" spans="1:16" s="366" customFormat="1" ht="62.4" x14ac:dyDescent="0.3">
      <c r="A206" s="1376"/>
      <c r="B206" s="608" t="s">
        <v>1217</v>
      </c>
      <c r="C206" s="395" t="s">
        <v>1142</v>
      </c>
      <c r="D206" s="592"/>
      <c r="E206" s="592"/>
      <c r="F206" s="592"/>
      <c r="G206" s="592"/>
      <c r="H206" s="592"/>
      <c r="I206" s="594" t="s">
        <v>1305</v>
      </c>
      <c r="J206" s="371" t="s">
        <v>613</v>
      </c>
      <c r="K206" s="422">
        <f>43977400-56.79</f>
        <v>43977343.210000001</v>
      </c>
      <c r="L206" s="476"/>
      <c r="M206" s="946">
        <f>2619427.54+595333.96+2415772.19+683972.58+2501762.64+714093.95+2735760.22+679286.64+2690562.84+672144.96+3701564.9+3550587.42+2766357.03+730749.04</f>
        <v>27057375.909999996</v>
      </c>
      <c r="N206" s="365"/>
      <c r="O206" s="1350" t="s">
        <v>968</v>
      </c>
    </row>
    <row r="207" spans="1:16" s="366" customFormat="1" ht="15.6" x14ac:dyDescent="0.3">
      <c r="A207" s="1376"/>
      <c r="B207" s="1377" t="s">
        <v>1218</v>
      </c>
      <c r="C207" s="395" t="s">
        <v>1105</v>
      </c>
      <c r="D207" s="592"/>
      <c r="E207" s="592"/>
      <c r="F207" s="592"/>
      <c r="G207" s="592"/>
      <c r="H207" s="592"/>
      <c r="I207" s="594" t="s">
        <v>1313</v>
      </c>
      <c r="J207" s="371"/>
      <c r="K207" s="422">
        <f>K208+K209</f>
        <v>155831249.56999999</v>
      </c>
      <c r="L207" s="476"/>
      <c r="M207" s="422">
        <f>M208+M209</f>
        <v>105246965.52</v>
      </c>
      <c r="N207" s="365"/>
      <c r="O207" s="1394"/>
    </row>
    <row r="208" spans="1:16" s="366" customFormat="1" ht="15.6" x14ac:dyDescent="0.3">
      <c r="A208" s="1376"/>
      <c r="B208" s="1377"/>
      <c r="C208" s="1388"/>
      <c r="D208" s="592"/>
      <c r="E208" s="592"/>
      <c r="F208" s="592"/>
      <c r="G208" s="592"/>
      <c r="H208" s="592"/>
      <c r="I208" s="1395"/>
      <c r="J208" s="371" t="s">
        <v>586</v>
      </c>
      <c r="K208" s="381"/>
      <c r="L208" s="476"/>
      <c r="M208" s="445"/>
      <c r="N208" s="365"/>
      <c r="O208" s="1394"/>
    </row>
    <row r="209" spans="1:15" s="366" customFormat="1" ht="15.6" x14ac:dyDescent="0.3">
      <c r="A209" s="1376"/>
      <c r="B209" s="1377"/>
      <c r="C209" s="1379"/>
      <c r="D209" s="592"/>
      <c r="E209" s="592"/>
      <c r="F209" s="592"/>
      <c r="G209" s="592"/>
      <c r="H209" s="592"/>
      <c r="I209" s="1393"/>
      <c r="J209" s="371" t="s">
        <v>613</v>
      </c>
      <c r="K209" s="381">
        <f>155831300-50.43</f>
        <v>155831249.56999999</v>
      </c>
      <c r="L209" s="476"/>
      <c r="M209" s="424">
        <f>9004508.92+591141.05+12556560.11+488552.18+11893748.58+540298.1+12499910.88+540211.56+690980.37+14512375.96+29462273.57+1904156.99+10441643.46+120603.79</f>
        <v>105246965.52</v>
      </c>
      <c r="N209" s="365"/>
      <c r="O209" s="1394"/>
    </row>
    <row r="210" spans="1:15" s="366" customFormat="1" ht="15.6" x14ac:dyDescent="0.3">
      <c r="A210" s="1376"/>
      <c r="B210" s="1377" t="s">
        <v>1368</v>
      </c>
      <c r="C210" s="1388" t="s">
        <v>1145</v>
      </c>
      <c r="D210" s="592"/>
      <c r="E210" s="592"/>
      <c r="F210" s="592"/>
      <c r="G210" s="592"/>
      <c r="H210" s="592"/>
      <c r="I210" s="1395" t="s">
        <v>1326</v>
      </c>
      <c r="J210" s="371"/>
      <c r="K210" s="422">
        <f>K212+K213+K211</f>
        <v>7075422.9199999999</v>
      </c>
      <c r="L210" s="476"/>
      <c r="M210" s="422">
        <f>M212+M213+M211</f>
        <v>6918408.9399999985</v>
      </c>
      <c r="N210" s="365"/>
      <c r="O210" s="1394"/>
    </row>
    <row r="211" spans="1:15" s="366" customFormat="1" ht="15.6" x14ac:dyDescent="0.3">
      <c r="A211" s="1376"/>
      <c r="B211" s="1377"/>
      <c r="C211" s="1405"/>
      <c r="D211" s="592"/>
      <c r="E211" s="592"/>
      <c r="F211" s="592"/>
      <c r="G211" s="592"/>
      <c r="H211" s="592"/>
      <c r="I211" s="1406"/>
      <c r="J211" s="371" t="s">
        <v>586</v>
      </c>
      <c r="K211" s="381">
        <v>50400</v>
      </c>
      <c r="L211" s="476"/>
      <c r="M211" s="740">
        <f>5615.36+5627.77</f>
        <v>11243.130000000001</v>
      </c>
      <c r="N211" s="365"/>
      <c r="O211" s="1394"/>
    </row>
    <row r="212" spans="1:15" s="366" customFormat="1" ht="15.6" x14ac:dyDescent="0.3">
      <c r="A212" s="1376"/>
      <c r="B212" s="1377"/>
      <c r="C212" s="1405"/>
      <c r="D212" s="592"/>
      <c r="E212" s="592"/>
      <c r="F212" s="592"/>
      <c r="G212" s="592"/>
      <c r="H212" s="592"/>
      <c r="I212" s="1406"/>
      <c r="J212" s="371" t="s">
        <v>764</v>
      </c>
      <c r="K212" s="381">
        <f>7075400+22.92-4825400-50400</f>
        <v>2199622.92</v>
      </c>
      <c r="L212" s="476"/>
      <c r="M212" s="424">
        <f>615180.58+275872.01+285664.98+562777.7+215247.82+221672.44</f>
        <v>2176415.5299999998</v>
      </c>
      <c r="N212" s="365"/>
      <c r="O212" s="1394"/>
    </row>
    <row r="213" spans="1:15" s="366" customFormat="1" ht="15.6" x14ac:dyDescent="0.3">
      <c r="A213" s="1376"/>
      <c r="B213" s="1377"/>
      <c r="C213" s="1379"/>
      <c r="D213" s="592"/>
      <c r="E213" s="592"/>
      <c r="F213" s="592"/>
      <c r="G213" s="592"/>
      <c r="H213" s="592"/>
      <c r="I213" s="1393"/>
      <c r="J213" s="371" t="s">
        <v>613</v>
      </c>
      <c r="K213" s="381">
        <v>4825400</v>
      </c>
      <c r="L213" s="476"/>
      <c r="M213" s="424">
        <f>1295117.99+274734.8+136154.6+189158.35+527701.61+166435.54+1007935.24+166769.69+695979.16+270763.3</f>
        <v>4730750.2799999993</v>
      </c>
      <c r="N213" s="365"/>
      <c r="O213" s="1394"/>
    </row>
    <row r="214" spans="1:15" s="366" customFormat="1" ht="46.8" hidden="1" x14ac:dyDescent="0.3">
      <c r="A214" s="1376"/>
      <c r="B214" s="608" t="s">
        <v>1220</v>
      </c>
      <c r="C214" s="922" t="s">
        <v>1105</v>
      </c>
      <c r="D214" s="592"/>
      <c r="E214" s="592"/>
      <c r="F214" s="592"/>
      <c r="G214" s="592"/>
      <c r="H214" s="592"/>
      <c r="I214" s="610" t="s">
        <v>1189</v>
      </c>
      <c r="J214" s="371" t="s">
        <v>613</v>
      </c>
      <c r="K214" s="422"/>
      <c r="L214" s="476"/>
      <c r="M214" s="939"/>
      <c r="N214" s="365"/>
      <c r="O214" s="1394"/>
    </row>
    <row r="215" spans="1:15" s="366" customFormat="1" ht="15.6" x14ac:dyDescent="0.3">
      <c r="A215" s="1376"/>
      <c r="B215" s="1377" t="s">
        <v>1221</v>
      </c>
      <c r="C215" s="922" t="s">
        <v>1143</v>
      </c>
      <c r="D215" s="592"/>
      <c r="E215" s="592"/>
      <c r="F215" s="592"/>
      <c r="G215" s="592"/>
      <c r="H215" s="592"/>
      <c r="I215" s="610" t="s">
        <v>1319</v>
      </c>
      <c r="J215" s="371"/>
      <c r="K215" s="422">
        <f>K217+K218+K216</f>
        <v>1566340</v>
      </c>
      <c r="L215" s="476"/>
      <c r="M215" s="422">
        <f>M217+M218+M216</f>
        <v>1566340</v>
      </c>
      <c r="N215" s="365"/>
      <c r="O215" s="1394"/>
    </row>
    <row r="216" spans="1:15" s="366" customFormat="1" ht="15.6" x14ac:dyDescent="0.3">
      <c r="A216" s="1376"/>
      <c r="B216" s="1377"/>
      <c r="C216" s="922"/>
      <c r="D216" s="592"/>
      <c r="E216" s="592"/>
      <c r="F216" s="592"/>
      <c r="G216" s="592"/>
      <c r="H216" s="592"/>
      <c r="I216" s="610"/>
      <c r="J216" s="371" t="s">
        <v>586</v>
      </c>
      <c r="K216" s="381">
        <v>239030.39999999999</v>
      </c>
      <c r="L216" s="476"/>
      <c r="M216" s="740">
        <v>239030.39999999999</v>
      </c>
      <c r="N216" s="365"/>
      <c r="O216" s="1394"/>
    </row>
    <row r="217" spans="1:15" s="366" customFormat="1" ht="15.6" x14ac:dyDescent="0.3">
      <c r="A217" s="1376"/>
      <c r="B217" s="1377"/>
      <c r="C217" s="922"/>
      <c r="D217" s="592"/>
      <c r="E217" s="592"/>
      <c r="F217" s="592"/>
      <c r="G217" s="592"/>
      <c r="H217" s="592"/>
      <c r="I217" s="610"/>
      <c r="J217" s="371" t="s">
        <v>764</v>
      </c>
      <c r="K217" s="381"/>
      <c r="L217" s="476"/>
      <c r="M217" s="445"/>
      <c r="N217" s="365"/>
      <c r="O217" s="1394"/>
    </row>
    <row r="218" spans="1:15" s="366" customFormat="1" ht="15.6" x14ac:dyDescent="0.3">
      <c r="A218" s="1376"/>
      <c r="B218" s="1377"/>
      <c r="C218" s="922"/>
      <c r="D218" s="592"/>
      <c r="E218" s="592"/>
      <c r="F218" s="592"/>
      <c r="G218" s="592"/>
      <c r="H218" s="592"/>
      <c r="I218" s="610"/>
      <c r="J218" s="371" t="s">
        <v>613</v>
      </c>
      <c r="K218" s="381">
        <f>1361000+130+205210-239030.4</f>
        <v>1327309.6000000001</v>
      </c>
      <c r="L218" s="476"/>
      <c r="M218" s="445">
        <v>1327309.6000000001</v>
      </c>
      <c r="N218" s="365"/>
      <c r="O218" s="1394"/>
    </row>
    <row r="219" spans="1:15" s="366" customFormat="1" ht="46.8" x14ac:dyDescent="0.3">
      <c r="A219" s="1376"/>
      <c r="B219" s="748" t="s">
        <v>1396</v>
      </c>
      <c r="C219" s="550" t="s">
        <v>1398</v>
      </c>
      <c r="D219" s="592"/>
      <c r="E219" s="592"/>
      <c r="F219" s="592"/>
      <c r="G219" s="592"/>
      <c r="H219" s="592"/>
      <c r="I219" s="611" t="s">
        <v>1399</v>
      </c>
      <c r="J219" s="397" t="s">
        <v>613</v>
      </c>
      <c r="K219" s="612">
        <v>456000</v>
      </c>
      <c r="L219" s="476"/>
      <c r="M219" s="940"/>
      <c r="N219" s="365"/>
      <c r="O219" s="1394"/>
    </row>
    <row r="220" spans="1:15" s="713" customFormat="1" ht="46.8" x14ac:dyDescent="0.3">
      <c r="A220" s="1376"/>
      <c r="B220" s="608" t="s">
        <v>1223</v>
      </c>
      <c r="C220" s="550" t="s">
        <v>1142</v>
      </c>
      <c r="D220" s="592"/>
      <c r="E220" s="592"/>
      <c r="F220" s="592"/>
      <c r="G220" s="592"/>
      <c r="H220" s="592"/>
      <c r="I220" s="611" t="s">
        <v>1371</v>
      </c>
      <c r="J220" s="397" t="s">
        <v>700</v>
      </c>
      <c r="K220" s="612">
        <f>1929041.48+80226.97</f>
        <v>2009268.45</v>
      </c>
      <c r="L220" s="476"/>
      <c r="M220" s="940">
        <f>1929041.48+80226.97</f>
        <v>2009268.45</v>
      </c>
      <c r="N220" s="712"/>
      <c r="O220" s="1394"/>
    </row>
    <row r="221" spans="1:15" s="366" customFormat="1" ht="46.8" hidden="1" x14ac:dyDescent="0.3">
      <c r="A221" s="1376"/>
      <c r="B221" s="608" t="s">
        <v>1224</v>
      </c>
      <c r="C221" s="550" t="s">
        <v>1105</v>
      </c>
      <c r="D221" s="592"/>
      <c r="E221" s="592"/>
      <c r="F221" s="592"/>
      <c r="G221" s="592"/>
      <c r="H221" s="592"/>
      <c r="I221" s="611" t="s">
        <v>1193</v>
      </c>
      <c r="J221" s="397" t="s">
        <v>613</v>
      </c>
      <c r="K221" s="612"/>
      <c r="L221" s="476"/>
      <c r="M221" s="940"/>
      <c r="N221" s="365"/>
      <c r="O221" s="1352"/>
    </row>
    <row r="222" spans="1:15" s="366" customFormat="1" ht="17.399999999999999" x14ac:dyDescent="0.3">
      <c r="A222" s="1365"/>
      <c r="B222" s="614" t="s">
        <v>483</v>
      </c>
      <c r="C222" s="615"/>
      <c r="D222" s="616"/>
      <c r="E222" s="616"/>
      <c r="F222" s="616"/>
      <c r="G222" s="616"/>
      <c r="H222" s="616"/>
      <c r="I222" s="617"/>
      <c r="J222" s="371"/>
      <c r="K222" s="422">
        <f>K203+K206+K207+K210+K214+K215+K219+K220+K221</f>
        <v>211489021.24999997</v>
      </c>
      <c r="L222" s="625"/>
      <c r="M222" s="422">
        <f>M203+M206+M207+M210+M214+M215+M219+M220+M221</f>
        <v>143182779.10999998</v>
      </c>
      <c r="N222" s="365"/>
      <c r="O222" s="619"/>
    </row>
    <row r="223" spans="1:15" s="366" customFormat="1" ht="36" x14ac:dyDescent="0.35">
      <c r="A223" s="920">
        <v>13</v>
      </c>
      <c r="B223" s="620" t="s">
        <v>1164</v>
      </c>
      <c r="C223" s="395" t="s">
        <v>1109</v>
      </c>
      <c r="D223" s="592"/>
      <c r="E223" s="592"/>
      <c r="F223" s="592"/>
      <c r="G223" s="592"/>
      <c r="H223" s="592"/>
      <c r="I223" s="611"/>
      <c r="J223" s="397"/>
      <c r="K223" s="612">
        <f>K224+K225+K226</f>
        <v>0</v>
      </c>
      <c r="L223" s="625"/>
      <c r="M223" s="612"/>
      <c r="N223" s="365"/>
      <c r="O223" s="432" t="s">
        <v>151</v>
      </c>
    </row>
    <row r="224" spans="1:15" s="366" customFormat="1" ht="46.8" hidden="1" x14ac:dyDescent="0.3">
      <c r="A224" s="920">
        <v>14</v>
      </c>
      <c r="B224" s="621" t="s">
        <v>1165</v>
      </c>
      <c r="C224" s="395" t="s">
        <v>1109</v>
      </c>
      <c r="D224" s="592"/>
      <c r="E224" s="592"/>
      <c r="F224" s="592"/>
      <c r="G224" s="592"/>
      <c r="H224" s="592"/>
      <c r="I224" s="611" t="s">
        <v>1166</v>
      </c>
      <c r="J224" s="397" t="s">
        <v>700</v>
      </c>
      <c r="K224" s="612"/>
      <c r="L224" s="625"/>
      <c r="M224" s="622"/>
      <c r="N224" s="365"/>
      <c r="O224" s="619"/>
    </row>
    <row r="225" spans="1:15" s="366" customFormat="1" ht="31.2" hidden="1" x14ac:dyDescent="0.3">
      <c r="A225" s="920">
        <v>15</v>
      </c>
      <c r="B225" s="466" t="s">
        <v>1176</v>
      </c>
      <c r="C225" s="451" t="s">
        <v>1109</v>
      </c>
      <c r="I225" s="531" t="s">
        <v>1177</v>
      </c>
      <c r="J225" s="397" t="s">
        <v>700</v>
      </c>
      <c r="K225" s="612"/>
      <c r="L225" s="625"/>
      <c r="M225" s="622"/>
      <c r="N225" s="365"/>
      <c r="O225" s="619"/>
    </row>
    <row r="226" spans="1:15" s="366" customFormat="1" ht="15.6" hidden="1" x14ac:dyDescent="0.3">
      <c r="A226" s="920">
        <v>16</v>
      </c>
      <c r="B226" s="521" t="s">
        <v>1207</v>
      </c>
      <c r="C226" s="451" t="s">
        <v>1111</v>
      </c>
      <c r="I226" s="531" t="s">
        <v>1208</v>
      </c>
      <c r="J226" s="397" t="s">
        <v>764</v>
      </c>
      <c r="K226" s="612"/>
      <c r="L226" s="625"/>
      <c r="M226" s="612"/>
      <c r="N226" s="365"/>
      <c r="O226" s="619"/>
    </row>
    <row r="227" spans="1:15" s="366" customFormat="1" ht="18" hidden="1" x14ac:dyDescent="0.35">
      <c r="A227" s="920">
        <v>17</v>
      </c>
      <c r="B227" s="623" t="s">
        <v>322</v>
      </c>
      <c r="C227" s="451" t="s">
        <v>1159</v>
      </c>
      <c r="I227" s="531" t="s">
        <v>1178</v>
      </c>
      <c r="J227" s="397" t="s">
        <v>813</v>
      </c>
      <c r="K227" s="612"/>
      <c r="L227" s="625"/>
      <c r="M227" s="612"/>
      <c r="N227" s="365"/>
      <c r="O227" s="448" t="s">
        <v>1179</v>
      </c>
    </row>
    <row r="228" spans="1:15" s="366" customFormat="1" ht="46.8" hidden="1" x14ac:dyDescent="0.3">
      <c r="A228" s="920">
        <v>18</v>
      </c>
      <c r="B228" s="466" t="s">
        <v>1199</v>
      </c>
      <c r="C228" s="451" t="s">
        <v>1103</v>
      </c>
      <c r="I228" s="531" t="s">
        <v>1200</v>
      </c>
      <c r="J228" s="397" t="s">
        <v>586</v>
      </c>
      <c r="K228" s="612"/>
      <c r="L228" s="625"/>
      <c r="M228" s="612"/>
      <c r="N228" s="365"/>
      <c r="O228" s="432" t="s">
        <v>151</v>
      </c>
    </row>
    <row r="229" spans="1:15" s="474" customFormat="1" ht="62.4" x14ac:dyDescent="0.3">
      <c r="A229" s="624">
        <v>14</v>
      </c>
      <c r="B229" s="423" t="s">
        <v>601</v>
      </c>
      <c r="C229" s="550" t="s">
        <v>1227</v>
      </c>
      <c r="I229" s="611" t="s">
        <v>1228</v>
      </c>
      <c r="J229" s="397" t="s">
        <v>586</v>
      </c>
      <c r="K229" s="612">
        <f>24200-13.73</f>
        <v>24186.27</v>
      </c>
      <c r="L229" s="625"/>
      <c r="M229" s="612"/>
      <c r="N229" s="476"/>
      <c r="O229" s="432"/>
    </row>
    <row r="230" spans="1:15" s="474" customFormat="1" ht="31.2" x14ac:dyDescent="0.3">
      <c r="A230" s="624">
        <v>15</v>
      </c>
      <c r="B230" s="416" t="s">
        <v>1369</v>
      </c>
      <c r="C230" s="550" t="s">
        <v>1109</v>
      </c>
      <c r="I230" s="611" t="s">
        <v>1370</v>
      </c>
      <c r="J230" s="397" t="s">
        <v>700</v>
      </c>
      <c r="K230" s="612">
        <f>7065202.59+155395336</f>
        <v>162460538.59</v>
      </c>
      <c r="L230" s="625"/>
      <c r="M230" s="612">
        <f>2660770.7</f>
        <v>2660770.7000000002</v>
      </c>
      <c r="N230" s="476"/>
      <c r="O230" s="432"/>
    </row>
    <row r="231" spans="1:15" ht="21" x14ac:dyDescent="0.4">
      <c r="A231" s="410"/>
      <c r="B231" s="402" t="s">
        <v>1151</v>
      </c>
      <c r="C231" s="411"/>
      <c r="D231" s="411"/>
      <c r="E231" s="411"/>
      <c r="F231" s="411"/>
      <c r="G231" s="411"/>
      <c r="H231" s="411"/>
      <c r="I231" s="412"/>
      <c r="J231" s="413"/>
      <c r="K231" s="676">
        <f>K180+K184+K185+K187+K188+K189+K193+K194+K195+K198+K199+K222+K223+K225+K227+K228+K229+K196+K230+K183+K197+K186+K192</f>
        <v>490139703.9799999</v>
      </c>
      <c r="L231" s="408"/>
      <c r="M231" s="676">
        <f>M180+M184+M185+M187+M188+M189+M193+M194+M195+M198+M199+M222+M223+M225+M227+M228+M229+M196+M230+M183+M197+M186+M192</f>
        <v>236428476.63999999</v>
      </c>
      <c r="N231" s="354"/>
      <c r="O231" s="354"/>
    </row>
    <row r="232" spans="1:15" ht="46.8" x14ac:dyDescent="0.3">
      <c r="A232" s="444">
        <v>1</v>
      </c>
      <c r="B232" s="423" t="s">
        <v>513</v>
      </c>
      <c r="C232" s="923" t="s">
        <v>1113</v>
      </c>
      <c r="D232" s="586"/>
      <c r="E232" s="586"/>
      <c r="F232" s="586"/>
      <c r="G232" s="586"/>
      <c r="H232" s="586"/>
      <c r="I232" s="587" t="s">
        <v>1291</v>
      </c>
      <c r="J232" s="834" t="s">
        <v>700</v>
      </c>
      <c r="K232" s="421">
        <f>4356000+1089000</f>
        <v>5445000</v>
      </c>
      <c r="L232" s="366"/>
      <c r="M232" s="946">
        <f>195424+1705632</f>
        <v>1901056</v>
      </c>
      <c r="N232" s="366"/>
      <c r="O232" s="595" t="s">
        <v>151</v>
      </c>
    </row>
    <row r="233" spans="1:15" ht="15.6" x14ac:dyDescent="0.3">
      <c r="A233" s="1460">
        <v>2</v>
      </c>
      <c r="B233" s="1420" t="s">
        <v>1390</v>
      </c>
      <c r="C233" s="395" t="s">
        <v>1111</v>
      </c>
      <c r="D233" s="592"/>
      <c r="E233" s="592"/>
      <c r="F233" s="592"/>
      <c r="G233" s="592"/>
      <c r="H233" s="592"/>
      <c r="I233" s="397" t="s">
        <v>1391</v>
      </c>
      <c r="J233" s="397" t="s">
        <v>764</v>
      </c>
      <c r="K233" s="622">
        <f>400000-400000</f>
        <v>0</v>
      </c>
      <c r="L233" s="366"/>
      <c r="M233" s="946"/>
      <c r="N233" s="366"/>
      <c r="O233" s="595"/>
    </row>
    <row r="234" spans="1:15" ht="15.6" x14ac:dyDescent="0.3">
      <c r="A234" s="1419"/>
      <c r="B234" s="1421"/>
      <c r="C234" s="395" t="s">
        <v>1111</v>
      </c>
      <c r="D234" s="592"/>
      <c r="E234" s="592"/>
      <c r="F234" s="592"/>
      <c r="G234" s="592"/>
      <c r="H234" s="592"/>
      <c r="I234" s="397" t="s">
        <v>1406</v>
      </c>
      <c r="J234" s="397" t="s">
        <v>764</v>
      </c>
      <c r="K234" s="622">
        <v>400000</v>
      </c>
      <c r="L234" s="366"/>
      <c r="M234" s="946">
        <v>400000</v>
      </c>
      <c r="N234" s="366"/>
      <c r="O234" s="595"/>
    </row>
    <row r="235" spans="1:15" ht="36" x14ac:dyDescent="0.4">
      <c r="A235" s="444">
        <v>3</v>
      </c>
      <c r="B235" s="348" t="s">
        <v>1378</v>
      </c>
      <c r="C235" s="835" t="s">
        <v>1130</v>
      </c>
      <c r="I235" s="836" t="s">
        <v>1379</v>
      </c>
      <c r="J235" s="931" t="s">
        <v>586</v>
      </c>
      <c r="K235" s="837">
        <f>638410.08-95763.09+95763.09</f>
        <v>638410.07999999996</v>
      </c>
      <c r="L235" s="408"/>
      <c r="M235" s="947">
        <f>3500+502150</f>
        <v>505650</v>
      </c>
      <c r="N235" s="354"/>
      <c r="O235" s="342" t="s">
        <v>151</v>
      </c>
    </row>
    <row r="236" spans="1:15" ht="63.6" hidden="1" x14ac:dyDescent="0.4">
      <c r="A236" s="444">
        <v>2</v>
      </c>
      <c r="B236" s="115" t="s">
        <v>1210</v>
      </c>
      <c r="C236" s="351" t="s">
        <v>1105</v>
      </c>
      <c r="I236" s="357" t="s">
        <v>1211</v>
      </c>
      <c r="J236" s="415" t="s">
        <v>613</v>
      </c>
      <c r="K236" s="679"/>
      <c r="L236" s="408"/>
      <c r="M236" s="440"/>
      <c r="N236" s="354"/>
      <c r="O236" s="342" t="s">
        <v>1152</v>
      </c>
    </row>
    <row r="237" spans="1:15" ht="46.8" x14ac:dyDescent="0.4">
      <c r="A237" s="444">
        <v>4</v>
      </c>
      <c r="B237" s="748" t="s">
        <v>1396</v>
      </c>
      <c r="C237" s="351" t="s">
        <v>1105</v>
      </c>
      <c r="I237" s="357" t="s">
        <v>1397</v>
      </c>
      <c r="J237" s="415" t="s">
        <v>613</v>
      </c>
      <c r="K237" s="679">
        <v>1064000</v>
      </c>
      <c r="L237" s="408"/>
      <c r="M237" s="440"/>
      <c r="N237" s="354"/>
      <c r="O237" s="342"/>
    </row>
    <row r="238" spans="1:15" ht="21" x14ac:dyDescent="0.4">
      <c r="A238" s="444"/>
      <c r="B238" s="115"/>
      <c r="C238" s="351"/>
      <c r="I238" s="357"/>
      <c r="J238" s="415"/>
      <c r="K238" s="679"/>
      <c r="L238" s="408"/>
      <c r="M238" s="440"/>
      <c r="N238" s="354"/>
      <c r="O238" s="342"/>
    </row>
    <row r="239" spans="1:15" ht="21" x14ac:dyDescent="0.4">
      <c r="A239" s="444"/>
      <c r="B239" s="115"/>
      <c r="C239" s="351"/>
      <c r="I239" s="357"/>
      <c r="J239" s="415"/>
      <c r="K239" s="679"/>
      <c r="L239" s="408"/>
      <c r="M239" s="440"/>
      <c r="N239" s="354"/>
      <c r="O239" s="342"/>
    </row>
    <row r="240" spans="1:15" ht="21" x14ac:dyDescent="0.4">
      <c r="A240" s="410"/>
      <c r="B240" s="402" t="s">
        <v>1212</v>
      </c>
      <c r="C240" s="411"/>
      <c r="D240" s="411"/>
      <c r="E240" s="411"/>
      <c r="F240" s="411"/>
      <c r="G240" s="411"/>
      <c r="H240" s="411"/>
      <c r="I240" s="413"/>
      <c r="J240" s="413"/>
      <c r="K240" s="680">
        <f>K232+K235+K233+K237+K234</f>
        <v>7547410.0800000001</v>
      </c>
      <c r="L240" s="408"/>
      <c r="M240" s="680">
        <f>M232+M235+M233+M237+M234</f>
        <v>2806706</v>
      </c>
      <c r="N240" s="354"/>
      <c r="O240" s="354"/>
    </row>
    <row r="243" spans="1:15" ht="18" x14ac:dyDescent="0.35">
      <c r="A243" s="331" t="s">
        <v>1380</v>
      </c>
      <c r="B243" s="331"/>
      <c r="C243" s="331"/>
      <c r="D243" s="331"/>
      <c r="E243" s="331"/>
      <c r="F243" s="331"/>
      <c r="G243" s="331"/>
      <c r="H243" s="331"/>
      <c r="I243" s="355"/>
      <c r="J243" s="355"/>
      <c r="K243" s="681"/>
      <c r="L243" s="355"/>
      <c r="M243" s="331"/>
      <c r="N243" s="331"/>
      <c r="O243" s="331"/>
    </row>
    <row r="244" spans="1:15" ht="18" x14ac:dyDescent="0.35">
      <c r="A244" s="331" t="s">
        <v>1155</v>
      </c>
      <c r="B244" s="331"/>
      <c r="C244" s="331"/>
      <c r="D244" s="331"/>
      <c r="E244" s="331"/>
      <c r="F244" s="331"/>
      <c r="G244" s="331"/>
      <c r="H244" s="331"/>
      <c r="I244" s="355"/>
      <c r="J244" s="355"/>
      <c r="K244" s="681"/>
      <c r="L244" s="355"/>
      <c r="M244" s="331"/>
      <c r="N244" s="1391" t="s">
        <v>958</v>
      </c>
      <c r="O244" s="1391"/>
    </row>
    <row r="245" spans="1:15" ht="18" x14ac:dyDescent="0.35">
      <c r="A245" s="331"/>
      <c r="B245" s="331"/>
      <c r="C245" s="331"/>
      <c r="D245" s="331"/>
      <c r="E245" s="331"/>
      <c r="F245" s="331"/>
      <c r="G245" s="331"/>
      <c r="H245" s="331"/>
      <c r="I245" s="355"/>
      <c r="J245" s="355"/>
      <c r="K245" s="681"/>
      <c r="L245" s="355"/>
      <c r="M245" s="331"/>
      <c r="N245" s="331"/>
      <c r="O245" s="331"/>
    </row>
    <row r="246" spans="1:15" ht="18" x14ac:dyDescent="0.35">
      <c r="A246" s="331" t="s">
        <v>1156</v>
      </c>
      <c r="B246" s="331" t="s">
        <v>1414</v>
      </c>
      <c r="C246" s="331"/>
      <c r="D246" s="331"/>
      <c r="E246" s="331"/>
      <c r="F246" s="331"/>
      <c r="G246" s="331"/>
      <c r="H246" s="331"/>
      <c r="I246" s="355"/>
      <c r="J246" s="355"/>
      <c r="K246" s="681"/>
      <c r="L246" s="355"/>
      <c r="M246" s="331"/>
      <c r="N246" s="331"/>
      <c r="O246" s="331"/>
    </row>
    <row r="247" spans="1:15" ht="18" x14ac:dyDescent="0.35">
      <c r="A247" s="331"/>
      <c r="B247" s="331" t="s">
        <v>960</v>
      </c>
      <c r="C247" s="331"/>
      <c r="D247" s="331"/>
      <c r="E247" s="331"/>
      <c r="F247" s="331"/>
      <c r="G247" s="331"/>
      <c r="H247" s="331"/>
      <c r="I247" s="355"/>
      <c r="J247" s="355"/>
      <c r="K247" s="681"/>
      <c r="L247" s="355"/>
      <c r="M247" s="331"/>
      <c r="N247" s="331"/>
      <c r="O247" s="331"/>
    </row>
    <row r="249" spans="1:15" ht="15.6" x14ac:dyDescent="0.3">
      <c r="A249" s="420"/>
      <c r="B249" s="414"/>
      <c r="C249" s="417"/>
      <c r="D249" s="336"/>
      <c r="E249" s="336"/>
      <c r="F249" s="336"/>
      <c r="G249" s="336"/>
      <c r="H249" s="336"/>
      <c r="I249" s="418"/>
      <c r="J249" s="418"/>
      <c r="K249" s="367"/>
    </row>
    <row r="252" spans="1:15" ht="15.6" x14ac:dyDescent="0.3">
      <c r="B252" s="414"/>
      <c r="C252" s="417"/>
      <c r="D252" s="336"/>
      <c r="E252" s="336"/>
      <c r="F252" s="336"/>
      <c r="G252" s="336"/>
      <c r="H252" s="336"/>
      <c r="I252" s="418"/>
      <c r="J252" s="418"/>
      <c r="K252" s="582"/>
      <c r="L252" s="336"/>
      <c r="M252" s="336"/>
    </row>
    <row r="253" spans="1:15" x14ac:dyDescent="0.3">
      <c r="B253" s="336"/>
      <c r="C253" s="336"/>
      <c r="D253" s="336"/>
      <c r="E253" s="336"/>
      <c r="F253" s="336"/>
      <c r="G253" s="336"/>
      <c r="H253" s="336"/>
      <c r="I253" s="336"/>
      <c r="J253" s="336"/>
      <c r="K253" s="367"/>
      <c r="L253" s="336"/>
      <c r="M253" s="336"/>
    </row>
  </sheetData>
  <mergeCells count="123">
    <mergeCell ref="A8:B8"/>
    <mergeCell ref="I8:O8"/>
    <mergeCell ref="A9:B9"/>
    <mergeCell ref="I9:O9"/>
    <mergeCell ref="A10:B10"/>
    <mergeCell ref="I10:O10"/>
    <mergeCell ref="A7:B7"/>
    <mergeCell ref="A2:B2"/>
    <mergeCell ref="A3:B3"/>
    <mergeCell ref="A4:B4"/>
    <mergeCell ref="A5:B5"/>
    <mergeCell ref="A6:B6"/>
    <mergeCell ref="M2:O2"/>
    <mergeCell ref="M3:O3"/>
    <mergeCell ref="B22:B23"/>
    <mergeCell ref="C22:C23"/>
    <mergeCell ref="I22:I23"/>
    <mergeCell ref="O22:O29"/>
    <mergeCell ref="A11:B11"/>
    <mergeCell ref="I11:O11"/>
    <mergeCell ref="A12:B12"/>
    <mergeCell ref="A14:O14"/>
    <mergeCell ref="A17:A20"/>
    <mergeCell ref="B17:B20"/>
    <mergeCell ref="C17:C20"/>
    <mergeCell ref="I17:I20"/>
    <mergeCell ref="J17:J20"/>
    <mergeCell ref="K17:K20"/>
    <mergeCell ref="L17:L19"/>
    <mergeCell ref="M17:M20"/>
    <mergeCell ref="N17:N19"/>
    <mergeCell ref="O17:P17"/>
    <mergeCell ref="O18:O20"/>
    <mergeCell ref="P18:P20"/>
    <mergeCell ref="A138:A140"/>
    <mergeCell ref="B138:B140"/>
    <mergeCell ref="C138:C140"/>
    <mergeCell ref="I138:I140"/>
    <mergeCell ref="A143:A146"/>
    <mergeCell ref="B143:B146"/>
    <mergeCell ref="C144:C146"/>
    <mergeCell ref="I144:I146"/>
    <mergeCell ref="A147:A150"/>
    <mergeCell ref="O117:O120"/>
    <mergeCell ref="O121:O122"/>
    <mergeCell ref="O127:O129"/>
    <mergeCell ref="O131:O151"/>
    <mergeCell ref="B147:B150"/>
    <mergeCell ref="C148:C150"/>
    <mergeCell ref="I148:I150"/>
    <mergeCell ref="O85:O92"/>
    <mergeCell ref="B92:B93"/>
    <mergeCell ref="C92:C93"/>
    <mergeCell ref="I92:I93"/>
    <mergeCell ref="I101:I102"/>
    <mergeCell ref="B122:B123"/>
    <mergeCell ref="I122:I123"/>
    <mergeCell ref="B85:B88"/>
    <mergeCell ref="O43:O46"/>
    <mergeCell ref="O49:O55"/>
    <mergeCell ref="B51:B52"/>
    <mergeCell ref="I51:I52"/>
    <mergeCell ref="I59:I60"/>
    <mergeCell ref="A29:A30"/>
    <mergeCell ref="B29:B30"/>
    <mergeCell ref="I29:I30"/>
    <mergeCell ref="O31:O32"/>
    <mergeCell ref="O37:O40"/>
    <mergeCell ref="A103:A106"/>
    <mergeCell ref="B103:B106"/>
    <mergeCell ref="O103:O114"/>
    <mergeCell ref="A107:A108"/>
    <mergeCell ref="B107:B108"/>
    <mergeCell ref="I107:I108"/>
    <mergeCell ref="O62:O65"/>
    <mergeCell ref="B64:B65"/>
    <mergeCell ref="O69:O70"/>
    <mergeCell ref="O73:O75"/>
    <mergeCell ref="O79:O82"/>
    <mergeCell ref="B94:B97"/>
    <mergeCell ref="O94:O97"/>
    <mergeCell ref="A99:A102"/>
    <mergeCell ref="B99:B102"/>
    <mergeCell ref="O100:O102"/>
    <mergeCell ref="C101:C102"/>
    <mergeCell ref="A94:A97"/>
    <mergeCell ref="A85:A88"/>
    <mergeCell ref="A180:A182"/>
    <mergeCell ref="B180:B182"/>
    <mergeCell ref="A186:A187"/>
    <mergeCell ref="C186:C187"/>
    <mergeCell ref="I186:I187"/>
    <mergeCell ref="O153:O166"/>
    <mergeCell ref="B165:B167"/>
    <mergeCell ref="I165:I167"/>
    <mergeCell ref="O168:O170"/>
    <mergeCell ref="O174:O175"/>
    <mergeCell ref="C165:C166"/>
    <mergeCell ref="A199:A201"/>
    <mergeCell ref="B199:B201"/>
    <mergeCell ref="A202:A222"/>
    <mergeCell ref="B203:B205"/>
    <mergeCell ref="C204:C205"/>
    <mergeCell ref="A189:A191"/>
    <mergeCell ref="B189:B191"/>
    <mergeCell ref="C190:C191"/>
    <mergeCell ref="I190:I191"/>
    <mergeCell ref="A192:A193"/>
    <mergeCell ref="B192:B193"/>
    <mergeCell ref="C192:C193"/>
    <mergeCell ref="I192:I193"/>
    <mergeCell ref="A233:A234"/>
    <mergeCell ref="B233:B234"/>
    <mergeCell ref="N244:O244"/>
    <mergeCell ref="I204:I205"/>
    <mergeCell ref="O206:O221"/>
    <mergeCell ref="B207:B209"/>
    <mergeCell ref="C208:C209"/>
    <mergeCell ref="I208:I209"/>
    <mergeCell ref="B210:B213"/>
    <mergeCell ref="C210:C213"/>
    <mergeCell ref="I210:I213"/>
    <mergeCell ref="B215:B218"/>
  </mergeCells>
  <hyperlinks>
    <hyperlink ref="A8" r:id="rId1" display="mailto:rfo-skv@mail.ru"/>
  </hyperlinks>
  <pageMargins left="0.70866141732283472" right="0.70866141732283472" top="0.74803149606299213" bottom="0.74803149606299213" header="0.31496062992125984" footer="0.31496062992125984"/>
  <pageSetup paperSize="9" scale="58"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256"/>
  <sheetViews>
    <sheetView view="pageBreakPreview" zoomScale="77" zoomScaleNormal="100" zoomScaleSheetLayoutView="77" workbookViewId="0">
      <selection activeCell="B24" sqref="B24"/>
    </sheetView>
  </sheetViews>
  <sheetFormatPr defaultRowHeight="14.4" x14ac:dyDescent="0.3"/>
  <cols>
    <col min="1" max="1" width="8.6640625" customWidth="1"/>
    <col min="2" max="2" width="75.6640625" customWidth="1"/>
    <col min="3" max="3" width="21" customWidth="1"/>
    <col min="4" max="7" width="9.109375" hidden="1" customWidth="1"/>
    <col min="8" max="8" width="5.44140625" hidden="1" customWidth="1"/>
    <col min="9" max="9" width="19.109375" customWidth="1"/>
    <col min="10" max="10" width="12" customWidth="1"/>
    <col min="11" max="11" width="23.5546875" style="366" customWidth="1"/>
    <col min="12" max="12" width="0.33203125" hidden="1" customWidth="1"/>
    <col min="13" max="13" width="26.88671875" customWidth="1"/>
    <col min="14" max="14" width="3" hidden="1" customWidth="1"/>
    <col min="15" max="15" width="37.109375" customWidth="1"/>
    <col min="16" max="16" width="25" hidden="1" customWidth="1"/>
  </cols>
  <sheetData>
    <row r="1" spans="1:15" ht="18" x14ac:dyDescent="0.35">
      <c r="A1" s="331"/>
      <c r="B1" s="948"/>
      <c r="C1" s="330"/>
      <c r="D1" s="330"/>
      <c r="E1" s="963"/>
      <c r="F1" s="331"/>
      <c r="G1" s="331"/>
      <c r="H1" s="331"/>
      <c r="I1" s="352"/>
      <c r="J1" s="352"/>
      <c r="K1" s="666"/>
      <c r="L1" s="352"/>
      <c r="M1" s="352"/>
      <c r="N1" s="352"/>
      <c r="O1" s="353"/>
    </row>
    <row r="2" spans="1:15" ht="18" x14ac:dyDescent="0.35">
      <c r="A2" s="1268" t="s">
        <v>1117</v>
      </c>
      <c r="B2" s="1268"/>
      <c r="C2" s="330"/>
      <c r="D2" s="330"/>
      <c r="E2" s="963"/>
      <c r="F2" s="331"/>
      <c r="G2" s="331"/>
      <c r="H2" s="331"/>
      <c r="I2" s="352"/>
      <c r="J2" s="352"/>
      <c r="K2" s="666"/>
      <c r="L2" s="352" t="s">
        <v>1118</v>
      </c>
      <c r="M2" s="1330" t="s">
        <v>151</v>
      </c>
      <c r="N2" s="1330"/>
      <c r="O2" s="1330"/>
    </row>
    <row r="3" spans="1:15" ht="18" x14ac:dyDescent="0.35">
      <c r="A3" s="1268" t="s">
        <v>1119</v>
      </c>
      <c r="B3" s="1268"/>
      <c r="C3" s="330"/>
      <c r="D3" s="330"/>
      <c r="E3" s="963"/>
      <c r="F3" s="331"/>
      <c r="G3" s="331"/>
      <c r="H3" s="331"/>
      <c r="I3" s="352"/>
      <c r="J3" s="352"/>
      <c r="K3" s="666"/>
      <c r="L3" s="352" t="s">
        <v>1120</v>
      </c>
      <c r="M3" s="1330" t="s">
        <v>1202</v>
      </c>
      <c r="N3" s="1330"/>
      <c r="O3" s="1330"/>
    </row>
    <row r="4" spans="1:15" ht="18" x14ac:dyDescent="0.35">
      <c r="A4" s="1353" t="s">
        <v>1121</v>
      </c>
      <c r="B4" s="1353"/>
      <c r="C4" s="330"/>
      <c r="D4" s="330"/>
      <c r="E4" s="963"/>
      <c r="F4" s="331"/>
      <c r="G4" s="331"/>
      <c r="H4" s="331"/>
      <c r="I4" s="352"/>
      <c r="J4" s="352"/>
      <c r="K4" s="666"/>
      <c r="L4" s="352"/>
      <c r="M4" s="352"/>
      <c r="N4" s="352"/>
      <c r="O4" s="353"/>
    </row>
    <row r="5" spans="1:15" ht="18" x14ac:dyDescent="0.35">
      <c r="A5" s="1353" t="s">
        <v>1122</v>
      </c>
      <c r="B5" s="1353"/>
      <c r="C5" s="330"/>
      <c r="D5" s="330"/>
      <c r="E5" s="963"/>
      <c r="F5" s="331"/>
      <c r="G5" s="331"/>
      <c r="H5" s="331"/>
      <c r="I5" s="352"/>
      <c r="J5" s="352"/>
      <c r="K5" s="666"/>
      <c r="L5" s="352"/>
      <c r="M5" s="352"/>
      <c r="N5" s="352"/>
      <c r="O5" s="353"/>
    </row>
    <row r="6" spans="1:15" ht="18" x14ac:dyDescent="0.35">
      <c r="A6" s="1268" t="s">
        <v>1123</v>
      </c>
      <c r="B6" s="1268"/>
      <c r="C6" s="330"/>
      <c r="D6" s="330"/>
      <c r="E6" s="963"/>
      <c r="F6" s="331"/>
      <c r="G6" s="331"/>
      <c r="H6" s="331"/>
      <c r="I6" s="352"/>
      <c r="J6" s="352"/>
      <c r="K6" s="666"/>
      <c r="L6" s="352"/>
      <c r="M6" s="352"/>
      <c r="N6" s="352"/>
      <c r="O6" s="353"/>
    </row>
    <row r="7" spans="1:15" ht="18" x14ac:dyDescent="0.35">
      <c r="A7" s="1268" t="s">
        <v>1124</v>
      </c>
      <c r="B7" s="1268"/>
      <c r="C7" s="330"/>
      <c r="D7" s="330"/>
      <c r="E7" s="963"/>
      <c r="F7" s="331"/>
      <c r="G7" s="331"/>
      <c r="H7" s="331"/>
      <c r="I7" s="352"/>
      <c r="J7" s="352"/>
      <c r="K7" s="666"/>
      <c r="L7" s="352"/>
      <c r="M7" s="352"/>
      <c r="N7" s="352"/>
      <c r="O7" s="353"/>
    </row>
    <row r="8" spans="1:15" ht="18" x14ac:dyDescent="0.35">
      <c r="A8" s="1309" t="s">
        <v>1125</v>
      </c>
      <c r="B8" s="1309"/>
      <c r="C8" s="330"/>
      <c r="D8" s="330"/>
      <c r="E8" s="963"/>
      <c r="F8" s="331"/>
      <c r="G8" s="331"/>
      <c r="H8" s="331"/>
      <c r="I8" s="1310"/>
      <c r="J8" s="1310"/>
      <c r="K8" s="1310"/>
      <c r="L8" s="1310"/>
      <c r="M8" s="1310"/>
      <c r="N8" s="1310"/>
      <c r="O8" s="1310"/>
    </row>
    <row r="9" spans="1:15" ht="18" x14ac:dyDescent="0.35">
      <c r="A9" s="1268" t="s">
        <v>1126</v>
      </c>
      <c r="B9" s="1268"/>
      <c r="C9" s="330"/>
      <c r="D9" s="330"/>
      <c r="E9" s="963"/>
      <c r="F9" s="331"/>
      <c r="G9" s="331"/>
      <c r="H9" s="331"/>
      <c r="I9" s="1310"/>
      <c r="J9" s="1310"/>
      <c r="K9" s="1310"/>
      <c r="L9" s="1310"/>
      <c r="M9" s="1310"/>
      <c r="N9" s="1310"/>
      <c r="O9" s="1310"/>
    </row>
    <row r="10" spans="1:15" ht="18" x14ac:dyDescent="0.35">
      <c r="A10" s="1268" t="s">
        <v>1127</v>
      </c>
      <c r="B10" s="1268"/>
      <c r="C10" s="330"/>
      <c r="D10" s="330"/>
      <c r="E10" s="963"/>
      <c r="F10" s="331"/>
      <c r="G10" s="331"/>
      <c r="H10" s="331"/>
      <c r="I10" s="1310"/>
      <c r="J10" s="1310"/>
      <c r="K10" s="1310"/>
      <c r="L10" s="1310"/>
      <c r="M10" s="1310"/>
      <c r="N10" s="1310"/>
      <c r="O10" s="1310"/>
    </row>
    <row r="11" spans="1:15" ht="18" x14ac:dyDescent="0.35">
      <c r="A11" s="1268" t="s">
        <v>1422</v>
      </c>
      <c r="B11" s="1268"/>
      <c r="C11" s="330"/>
      <c r="D11" s="330"/>
      <c r="E11" s="963"/>
      <c r="F11" s="331"/>
      <c r="G11" s="331"/>
      <c r="H11" s="331"/>
      <c r="I11" s="1310"/>
      <c r="J11" s="1310"/>
      <c r="K11" s="1310"/>
      <c r="L11" s="1310"/>
      <c r="M11" s="1310"/>
      <c r="N11" s="1310"/>
      <c r="O11" s="1310"/>
    </row>
    <row r="12" spans="1:15" ht="18" x14ac:dyDescent="0.35">
      <c r="A12" s="1268" t="s">
        <v>1128</v>
      </c>
      <c r="B12" s="1268"/>
      <c r="C12" s="330"/>
      <c r="D12" s="330"/>
      <c r="E12" s="963"/>
      <c r="F12" s="331"/>
      <c r="G12" s="331"/>
      <c r="H12" s="331"/>
      <c r="I12" s="961"/>
      <c r="J12" s="961"/>
      <c r="K12" s="667"/>
      <c r="L12" s="961"/>
      <c r="M12" s="961"/>
      <c r="N12" s="961"/>
      <c r="O12" s="961"/>
    </row>
    <row r="13" spans="1:15" ht="18" x14ac:dyDescent="0.35">
      <c r="A13" s="331"/>
      <c r="B13" s="330"/>
      <c r="C13" s="330"/>
      <c r="D13" s="330"/>
      <c r="E13" s="963"/>
      <c r="F13" s="331"/>
      <c r="G13" s="331"/>
      <c r="H13" s="331"/>
      <c r="I13" s="352"/>
      <c r="J13" s="352"/>
      <c r="K13" s="666"/>
      <c r="L13" s="352"/>
      <c r="M13" s="352"/>
      <c r="N13" s="352"/>
      <c r="O13" s="353"/>
    </row>
    <row r="14" spans="1:15" ht="18" x14ac:dyDescent="0.35">
      <c r="A14" s="1315" t="s">
        <v>1335</v>
      </c>
      <c r="B14" s="1315"/>
      <c r="C14" s="1315"/>
      <c r="D14" s="1315"/>
      <c r="E14" s="1315"/>
      <c r="F14" s="1315"/>
      <c r="G14" s="1315"/>
      <c r="H14" s="1315"/>
      <c r="I14" s="1315"/>
      <c r="J14" s="1315"/>
      <c r="K14" s="1315"/>
      <c r="L14" s="1315"/>
      <c r="M14" s="1315"/>
      <c r="N14" s="1315"/>
      <c r="O14" s="1315"/>
    </row>
    <row r="15" spans="1:15" ht="18" x14ac:dyDescent="0.35">
      <c r="A15" s="331"/>
      <c r="B15" s="330"/>
      <c r="C15" s="330"/>
      <c r="D15" s="330"/>
      <c r="E15" s="963"/>
      <c r="F15" s="331"/>
      <c r="G15" s="331"/>
      <c r="H15" s="331"/>
      <c r="I15" s="352"/>
      <c r="J15" s="352"/>
      <c r="K15" s="666"/>
      <c r="L15" s="352"/>
      <c r="M15" s="352"/>
      <c r="N15" s="352"/>
      <c r="O15" s="972" t="s">
        <v>478</v>
      </c>
    </row>
    <row r="17" spans="1:16" ht="18.75" customHeight="1" x14ac:dyDescent="0.35">
      <c r="A17" s="1313" t="s">
        <v>407</v>
      </c>
      <c r="B17" s="1269" t="s">
        <v>479</v>
      </c>
      <c r="C17" s="1274" t="s">
        <v>281</v>
      </c>
      <c r="D17" s="333"/>
      <c r="E17" s="962"/>
      <c r="F17" s="334"/>
      <c r="G17" s="335"/>
      <c r="H17" s="335"/>
      <c r="I17" s="1277" t="s">
        <v>1085</v>
      </c>
      <c r="J17" s="1277" t="s">
        <v>510</v>
      </c>
      <c r="K17" s="1401" t="s">
        <v>1350</v>
      </c>
      <c r="L17" s="1271" t="s">
        <v>1079</v>
      </c>
      <c r="M17" s="1270" t="s">
        <v>1417</v>
      </c>
      <c r="N17" s="1270" t="s">
        <v>1080</v>
      </c>
      <c r="O17" s="1311" t="s">
        <v>480</v>
      </c>
      <c r="P17" s="1311"/>
    </row>
    <row r="18" spans="1:16" ht="18" x14ac:dyDescent="0.35">
      <c r="A18" s="1313"/>
      <c r="B18" s="1269"/>
      <c r="C18" s="1399"/>
      <c r="D18" s="333"/>
      <c r="E18" s="962"/>
      <c r="F18" s="334"/>
      <c r="G18" s="335"/>
      <c r="H18" s="335"/>
      <c r="I18" s="1400"/>
      <c r="J18" s="1400"/>
      <c r="K18" s="1401"/>
      <c r="L18" s="1426"/>
      <c r="M18" s="1270"/>
      <c r="N18" s="1270"/>
      <c r="O18" s="1270" t="s">
        <v>481</v>
      </c>
      <c r="P18" s="1312"/>
    </row>
    <row r="19" spans="1:16" ht="18" x14ac:dyDescent="0.35">
      <c r="A19" s="1313"/>
      <c r="B19" s="1269"/>
      <c r="C19" s="1399"/>
      <c r="D19" s="333"/>
      <c r="E19" s="962"/>
      <c r="F19" s="335"/>
      <c r="G19" s="335"/>
      <c r="H19" s="335"/>
      <c r="I19" s="1400"/>
      <c r="J19" s="1400"/>
      <c r="K19" s="1401"/>
      <c r="L19" s="1273"/>
      <c r="M19" s="1270"/>
      <c r="N19" s="1270"/>
      <c r="O19" s="1270"/>
      <c r="P19" s="1312"/>
    </row>
    <row r="20" spans="1:16" ht="18" x14ac:dyDescent="0.35">
      <c r="A20" s="1314"/>
      <c r="B20" s="1398"/>
      <c r="C20" s="1399"/>
      <c r="D20" s="332"/>
      <c r="E20" s="950"/>
      <c r="F20" s="344"/>
      <c r="G20" s="344"/>
      <c r="H20" s="344"/>
      <c r="I20" s="1400"/>
      <c r="J20" s="1400"/>
      <c r="K20" s="1402"/>
      <c r="L20" s="949"/>
      <c r="M20" s="1271"/>
      <c r="N20" s="949"/>
      <c r="O20" s="1271"/>
      <c r="P20" s="1312"/>
    </row>
    <row r="21" spans="1:16" s="336" customFormat="1" ht="42" customHeight="1" x14ac:dyDescent="0.35">
      <c r="A21" s="347">
        <v>1</v>
      </c>
      <c r="B21" s="343" t="s">
        <v>1081</v>
      </c>
      <c r="C21" s="346"/>
      <c r="D21" s="664"/>
      <c r="E21" s="338"/>
      <c r="F21" s="339"/>
      <c r="G21" s="339"/>
      <c r="H21" s="339"/>
      <c r="I21" s="345" t="s">
        <v>1337</v>
      </c>
      <c r="J21" s="498"/>
      <c r="K21" s="668">
        <f>K22+K24+K25+K26+K27+K28+K30+K31+K32+K29+K33+K23</f>
        <v>8494126.870000001</v>
      </c>
      <c r="L21" s="340"/>
      <c r="M21" s="665">
        <f>M22+M24+M25+M26+M27+M28+M30+M31+M32+M29+M33+M23</f>
        <v>7387176.8700000001</v>
      </c>
      <c r="N21" s="341"/>
      <c r="O21" s="342" t="s">
        <v>151</v>
      </c>
      <c r="P21" s="663"/>
    </row>
    <row r="22" spans="1:16" s="366" customFormat="1" ht="31.5" customHeight="1" x14ac:dyDescent="0.3">
      <c r="A22" s="966"/>
      <c r="B22" s="1396" t="s">
        <v>627</v>
      </c>
      <c r="C22" s="1397" t="s">
        <v>1086</v>
      </c>
      <c r="D22" s="524"/>
      <c r="E22" s="524"/>
      <c r="F22" s="524"/>
      <c r="G22" s="524"/>
      <c r="H22" s="524"/>
      <c r="I22" s="1374" t="s">
        <v>1239</v>
      </c>
      <c r="J22" s="662" t="s">
        <v>586</v>
      </c>
      <c r="K22" s="982">
        <f>73140-73140</f>
        <v>0</v>
      </c>
      <c r="L22" s="474"/>
      <c r="M22" s="739"/>
      <c r="N22" s="489"/>
      <c r="O22" s="1335" t="s">
        <v>151</v>
      </c>
      <c r="P22" s="662"/>
    </row>
    <row r="23" spans="1:16" s="366" customFormat="1" ht="15.6" hidden="1" x14ac:dyDescent="0.3">
      <c r="A23" s="966"/>
      <c r="B23" s="1294"/>
      <c r="C23" s="1333"/>
      <c r="D23" s="524"/>
      <c r="E23" s="524"/>
      <c r="F23" s="524"/>
      <c r="G23" s="524"/>
      <c r="H23" s="524"/>
      <c r="I23" s="1285"/>
      <c r="J23" s="363" t="s">
        <v>528</v>
      </c>
      <c r="K23" s="553"/>
      <c r="L23" s="474"/>
      <c r="M23" s="739"/>
      <c r="N23" s="489"/>
      <c r="O23" s="1335"/>
      <c r="P23" s="363"/>
    </row>
    <row r="24" spans="1:16" s="366" customFormat="1" ht="36" customHeight="1" x14ac:dyDescent="0.3">
      <c r="A24" s="388"/>
      <c r="B24" s="527" t="s">
        <v>630</v>
      </c>
      <c r="C24" s="451" t="s">
        <v>1086</v>
      </c>
      <c r="I24" s="528" t="s">
        <v>1240</v>
      </c>
      <c r="J24" s="363" t="s">
        <v>586</v>
      </c>
      <c r="K24" s="457">
        <v>106000</v>
      </c>
      <c r="L24" s="474"/>
      <c r="M24" s="445"/>
      <c r="N24" s="365"/>
      <c r="O24" s="1335"/>
      <c r="P24" s="363"/>
    </row>
    <row r="25" spans="1:16" s="366" customFormat="1" ht="46.5" customHeight="1" x14ac:dyDescent="0.3">
      <c r="A25" s="388"/>
      <c r="B25" s="527" t="s">
        <v>633</v>
      </c>
      <c r="C25" s="451" t="s">
        <v>1086</v>
      </c>
      <c r="I25" s="528" t="s">
        <v>1241</v>
      </c>
      <c r="J25" s="363" t="s">
        <v>586</v>
      </c>
      <c r="K25" s="464">
        <f>181000-80000</f>
        <v>101000</v>
      </c>
      <c r="L25" s="474"/>
      <c r="M25" s="445"/>
      <c r="N25" s="365"/>
      <c r="O25" s="1335"/>
      <c r="P25" s="363"/>
    </row>
    <row r="26" spans="1:16" s="366" customFormat="1" ht="33.75" customHeight="1" x14ac:dyDescent="0.3">
      <c r="A26" s="388"/>
      <c r="B26" s="527" t="s">
        <v>636</v>
      </c>
      <c r="C26" s="451" t="s">
        <v>1087</v>
      </c>
      <c r="I26" s="528" t="s">
        <v>1242</v>
      </c>
      <c r="J26" s="363" t="s">
        <v>586</v>
      </c>
      <c r="K26" s="464">
        <f>25000-15000</f>
        <v>10000</v>
      </c>
      <c r="L26" s="474"/>
      <c r="M26" s="445"/>
      <c r="N26" s="365"/>
      <c r="O26" s="1335"/>
      <c r="P26" s="363"/>
    </row>
    <row r="27" spans="1:16" s="366" customFormat="1" ht="35.25" customHeight="1" x14ac:dyDescent="0.3">
      <c r="A27" s="388"/>
      <c r="B27" s="527" t="s">
        <v>639</v>
      </c>
      <c r="C27" s="451" t="s">
        <v>1086</v>
      </c>
      <c r="I27" s="528" t="s">
        <v>1243</v>
      </c>
      <c r="J27" s="363" t="s">
        <v>586</v>
      </c>
      <c r="K27" s="464">
        <f>30000-30000</f>
        <v>0</v>
      </c>
      <c r="L27" s="474"/>
      <c r="M27" s="445"/>
      <c r="N27" s="365"/>
      <c r="O27" s="1335"/>
      <c r="P27" s="363"/>
    </row>
    <row r="28" spans="1:16" s="366" customFormat="1" ht="30.75" customHeight="1" x14ac:dyDescent="0.3">
      <c r="A28" s="388"/>
      <c r="B28" s="527" t="s">
        <v>642</v>
      </c>
      <c r="C28" s="451" t="s">
        <v>1087</v>
      </c>
      <c r="I28" s="528" t="s">
        <v>1244</v>
      </c>
      <c r="J28" s="363" t="s">
        <v>586</v>
      </c>
      <c r="K28" s="464">
        <f>30000-30000</f>
        <v>0</v>
      </c>
      <c r="L28" s="474"/>
      <c r="M28" s="445"/>
      <c r="N28" s="365"/>
      <c r="O28" s="1335"/>
      <c r="P28" s="363"/>
    </row>
    <row r="29" spans="1:16" s="366" customFormat="1" ht="30.75" customHeight="1" x14ac:dyDescent="0.3">
      <c r="A29" s="1425"/>
      <c r="B29" s="1293" t="s">
        <v>607</v>
      </c>
      <c r="C29" s="451" t="s">
        <v>1088</v>
      </c>
      <c r="I29" s="1334" t="s">
        <v>1232</v>
      </c>
      <c r="J29" s="363" t="s">
        <v>586</v>
      </c>
      <c r="K29" s="372">
        <v>800000</v>
      </c>
      <c r="L29" s="474"/>
      <c r="M29" s="445"/>
      <c r="N29" s="365"/>
      <c r="O29" s="1287"/>
      <c r="P29" s="363"/>
    </row>
    <row r="30" spans="1:16" s="366" customFormat="1" ht="50.25" hidden="1" customHeight="1" x14ac:dyDescent="0.3">
      <c r="A30" s="1329"/>
      <c r="B30" s="1294"/>
      <c r="C30" s="451" t="s">
        <v>1159</v>
      </c>
      <c r="I30" s="1285"/>
      <c r="J30" s="363" t="s">
        <v>813</v>
      </c>
      <c r="K30" s="372"/>
      <c r="L30" s="474"/>
      <c r="M30" s="445"/>
      <c r="N30" s="365"/>
      <c r="O30" s="529" t="s">
        <v>1179</v>
      </c>
      <c r="P30" s="363"/>
    </row>
    <row r="31" spans="1:16" s="366" customFormat="1" ht="50.25" customHeight="1" x14ac:dyDescent="0.3">
      <c r="A31" s="976"/>
      <c r="B31" s="527" t="s">
        <v>1264</v>
      </c>
      <c r="C31" s="451" t="s">
        <v>1103</v>
      </c>
      <c r="I31" s="531" t="s">
        <v>1263</v>
      </c>
      <c r="J31" s="389" t="s">
        <v>586</v>
      </c>
      <c r="K31" s="669">
        <f>500000+3500000+1429771+788425+1000000+1000000-340368.47-400700.66</f>
        <v>7477126.8700000001</v>
      </c>
      <c r="L31" s="474"/>
      <c r="M31" s="942">
        <f>3591524.87+3785602+10050</f>
        <v>7387176.8700000001</v>
      </c>
      <c r="N31" s="365"/>
      <c r="O31" s="1427" t="s">
        <v>151</v>
      </c>
      <c r="P31" s="389"/>
    </row>
    <row r="32" spans="1:16" s="366" customFormat="1" ht="30.75" hidden="1" customHeight="1" x14ac:dyDescent="0.3">
      <c r="A32" s="976"/>
      <c r="B32" s="534" t="s">
        <v>1168</v>
      </c>
      <c r="C32" s="451" t="s">
        <v>1130</v>
      </c>
      <c r="I32" s="531" t="s">
        <v>1169</v>
      </c>
      <c r="J32" s="389" t="s">
        <v>586</v>
      </c>
      <c r="K32" s="740"/>
      <c r="L32" s="474"/>
      <c r="M32" s="661"/>
      <c r="N32" s="365"/>
      <c r="O32" s="1287"/>
      <c r="P32" s="389"/>
    </row>
    <row r="33" spans="1:16" s="366" customFormat="1" ht="49.5" hidden="1" customHeight="1" x14ac:dyDescent="0.3">
      <c r="A33" s="976"/>
      <c r="B33" s="521" t="s">
        <v>1201</v>
      </c>
      <c r="C33" s="451"/>
      <c r="I33" s="531"/>
      <c r="J33" s="389"/>
      <c r="K33" s="612">
        <v>0</v>
      </c>
      <c r="L33" s="474"/>
      <c r="M33" s="661"/>
      <c r="N33" s="365"/>
      <c r="O33" s="954"/>
      <c r="P33" s="389"/>
    </row>
    <row r="34" spans="1:16" s="366" customFormat="1" ht="44.25" customHeight="1" x14ac:dyDescent="0.35">
      <c r="A34" s="977">
        <v>2</v>
      </c>
      <c r="B34" s="538" t="s">
        <v>1082</v>
      </c>
      <c r="C34" s="539"/>
      <c r="D34" s="540"/>
      <c r="E34" s="540"/>
      <c r="F34" s="540"/>
      <c r="G34" s="540"/>
      <c r="H34" s="540"/>
      <c r="I34" s="541" t="s">
        <v>1336</v>
      </c>
      <c r="J34" s="542"/>
      <c r="K34" s="543">
        <f>K35</f>
        <v>53000</v>
      </c>
      <c r="L34" s="741"/>
      <c r="M34" s="543">
        <f>M35</f>
        <v>6732</v>
      </c>
      <c r="N34" s="448"/>
      <c r="O34" s="432" t="s">
        <v>151</v>
      </c>
      <c r="P34" s="544"/>
    </row>
    <row r="35" spans="1:16" s="366" customFormat="1" ht="42.75" customHeight="1" x14ac:dyDescent="0.3">
      <c r="A35" s="388"/>
      <c r="B35" s="459" t="s">
        <v>765</v>
      </c>
      <c r="C35" s="545" t="s">
        <v>1089</v>
      </c>
      <c r="I35" s="452" t="s">
        <v>1288</v>
      </c>
      <c r="J35" s="363" t="s">
        <v>586</v>
      </c>
      <c r="K35" s="457">
        <v>53000</v>
      </c>
      <c r="L35" s="474"/>
      <c r="M35" s="445">
        <v>6732</v>
      </c>
      <c r="N35" s="365"/>
      <c r="O35" s="450"/>
      <c r="P35" s="546"/>
    </row>
    <row r="36" spans="1:16" s="366" customFormat="1" ht="52.8" x14ac:dyDescent="0.35">
      <c r="A36" s="977">
        <v>3</v>
      </c>
      <c r="B36" s="447" t="s">
        <v>1092</v>
      </c>
      <c r="C36" s="448"/>
      <c r="D36" s="448"/>
      <c r="E36" s="448"/>
      <c r="F36" s="448"/>
      <c r="G36" s="448"/>
      <c r="H36" s="547"/>
      <c r="I36" s="429" t="s">
        <v>1338</v>
      </c>
      <c r="J36" s="430"/>
      <c r="K36" s="449">
        <f>K37+K38+K39+K40+K43+K44+K45+K41+K46+K42</f>
        <v>13067686.620000001</v>
      </c>
      <c r="L36" s="470"/>
      <c r="M36" s="449">
        <f>M37+M38+M39+M40+M43+M44+M45+M41+M46+M42</f>
        <v>8271029.3000000007</v>
      </c>
      <c r="N36" s="448"/>
      <c r="O36" s="432" t="s">
        <v>1096</v>
      </c>
      <c r="P36" s="365"/>
    </row>
    <row r="37" spans="1:16" s="474" customFormat="1" ht="31.2" x14ac:dyDescent="0.35">
      <c r="A37" s="467"/>
      <c r="B37" s="549" t="s">
        <v>1231</v>
      </c>
      <c r="C37" s="550" t="s">
        <v>1093</v>
      </c>
      <c r="D37" s="476"/>
      <c r="E37" s="476"/>
      <c r="F37" s="476"/>
      <c r="G37" s="476"/>
      <c r="H37" s="551"/>
      <c r="I37" s="552" t="s">
        <v>1225</v>
      </c>
      <c r="J37" s="371" t="s">
        <v>586</v>
      </c>
      <c r="K37" s="982">
        <f>106000-250</f>
        <v>105750</v>
      </c>
      <c r="L37" s="470"/>
      <c r="M37" s="554">
        <v>105750</v>
      </c>
      <c r="N37" s="470"/>
      <c r="O37" s="1280" t="s">
        <v>151</v>
      </c>
      <c r="P37" s="476"/>
    </row>
    <row r="38" spans="1:16" s="366" customFormat="1" ht="31.2" x14ac:dyDescent="0.35">
      <c r="A38" s="977"/>
      <c r="B38" s="459" t="s">
        <v>1281</v>
      </c>
      <c r="C38" s="451" t="s">
        <v>1094</v>
      </c>
      <c r="D38" s="365"/>
      <c r="E38" s="365"/>
      <c r="F38" s="365"/>
      <c r="G38" s="365"/>
      <c r="H38" s="365"/>
      <c r="I38" s="452" t="s">
        <v>1280</v>
      </c>
      <c r="J38" s="363" t="s">
        <v>586</v>
      </c>
      <c r="K38" s="464">
        <f>53000-53000</f>
        <v>0</v>
      </c>
      <c r="L38" s="470"/>
      <c r="M38" s="554"/>
      <c r="N38" s="448"/>
      <c r="O38" s="1281"/>
      <c r="P38" s="365"/>
    </row>
    <row r="39" spans="1:16" s="366" customFormat="1" ht="31.2" x14ac:dyDescent="0.35">
      <c r="A39" s="977"/>
      <c r="B39" s="459" t="s">
        <v>1283</v>
      </c>
      <c r="C39" s="451" t="s">
        <v>1094</v>
      </c>
      <c r="D39" s="365"/>
      <c r="E39" s="365"/>
      <c r="F39" s="365"/>
      <c r="G39" s="365"/>
      <c r="H39" s="365"/>
      <c r="I39" s="452" t="s">
        <v>1282</v>
      </c>
      <c r="J39" s="363" t="s">
        <v>586</v>
      </c>
      <c r="K39" s="464">
        <f>106000-106000</f>
        <v>0</v>
      </c>
      <c r="L39" s="470"/>
      <c r="M39" s="554"/>
      <c r="N39" s="448"/>
      <c r="O39" s="1281"/>
      <c r="P39" s="365"/>
    </row>
    <row r="40" spans="1:16" s="366" customFormat="1" ht="18" x14ac:dyDescent="0.35">
      <c r="A40" s="977"/>
      <c r="B40" s="459" t="s">
        <v>751</v>
      </c>
      <c r="C40" s="451" t="s">
        <v>1094</v>
      </c>
      <c r="D40" s="365"/>
      <c r="E40" s="365"/>
      <c r="F40" s="365"/>
      <c r="G40" s="365"/>
      <c r="H40" s="365"/>
      <c r="I40" s="452" t="s">
        <v>1286</v>
      </c>
      <c r="J40" s="363" t="s">
        <v>586</v>
      </c>
      <c r="K40" s="464">
        <f>212000-212000</f>
        <v>0</v>
      </c>
      <c r="L40" s="470"/>
      <c r="M40" s="554"/>
      <c r="N40" s="448"/>
      <c r="O40" s="1283"/>
      <c r="P40" s="365"/>
    </row>
    <row r="41" spans="1:16" s="366" customFormat="1" ht="62.4" hidden="1" x14ac:dyDescent="0.35">
      <c r="A41" s="977"/>
      <c r="B41" s="478" t="s">
        <v>1181</v>
      </c>
      <c r="C41" s="451" t="s">
        <v>1180</v>
      </c>
      <c r="D41" s="365"/>
      <c r="E41" s="365"/>
      <c r="F41" s="365"/>
      <c r="G41" s="365"/>
      <c r="H41" s="555"/>
      <c r="I41" s="452" t="s">
        <v>752</v>
      </c>
      <c r="J41" s="363" t="s">
        <v>813</v>
      </c>
      <c r="K41" s="457"/>
      <c r="L41" s="470"/>
      <c r="M41" s="554"/>
      <c r="N41" s="448"/>
      <c r="O41" s="529" t="s">
        <v>1179</v>
      </c>
      <c r="P41" s="365"/>
    </row>
    <row r="42" spans="1:16" s="366" customFormat="1" ht="31.2" x14ac:dyDescent="0.35">
      <c r="A42" s="977"/>
      <c r="B42" s="478" t="s">
        <v>748</v>
      </c>
      <c r="C42" s="451" t="s">
        <v>1284</v>
      </c>
      <c r="D42" s="365"/>
      <c r="E42" s="365"/>
      <c r="F42" s="365"/>
      <c r="G42" s="365"/>
      <c r="H42" s="555"/>
      <c r="I42" s="452" t="s">
        <v>1285</v>
      </c>
      <c r="J42" s="363" t="s">
        <v>586</v>
      </c>
      <c r="K42" s="457">
        <v>100000</v>
      </c>
      <c r="L42" s="470"/>
      <c r="M42" s="554"/>
      <c r="N42" s="448"/>
      <c r="O42" s="556" t="s">
        <v>151</v>
      </c>
      <c r="P42" s="365"/>
    </row>
    <row r="43" spans="1:16" s="366" customFormat="1" ht="31.2" x14ac:dyDescent="0.35">
      <c r="A43" s="977"/>
      <c r="B43" s="459" t="s">
        <v>918</v>
      </c>
      <c r="C43" s="451" t="s">
        <v>1095</v>
      </c>
      <c r="D43" s="448"/>
      <c r="E43" s="448"/>
      <c r="F43" s="448"/>
      <c r="G43" s="448"/>
      <c r="H43" s="547"/>
      <c r="I43" s="452" t="s">
        <v>1332</v>
      </c>
      <c r="J43" s="363" t="s">
        <v>613</v>
      </c>
      <c r="K43" s="457">
        <v>4819591.7</v>
      </c>
      <c r="L43" s="470"/>
      <c r="M43" s="941">
        <f>315426.44+431192.12+330694.17+459187.93+413932.84+335326+451818.86+499231+312060.68</f>
        <v>3548870.04</v>
      </c>
      <c r="N43" s="448"/>
      <c r="O43" s="1288" t="s">
        <v>1097</v>
      </c>
      <c r="P43" s="365"/>
    </row>
    <row r="44" spans="1:16" s="366" customFormat="1" ht="18" x14ac:dyDescent="0.35">
      <c r="A44" s="977"/>
      <c r="B44" s="459" t="s">
        <v>921</v>
      </c>
      <c r="C44" s="451" t="s">
        <v>1095</v>
      </c>
      <c r="D44" s="448"/>
      <c r="E44" s="448"/>
      <c r="F44" s="448"/>
      <c r="G44" s="448"/>
      <c r="H44" s="547"/>
      <c r="I44" s="452" t="s">
        <v>1333</v>
      </c>
      <c r="J44" s="363" t="s">
        <v>613</v>
      </c>
      <c r="K44" s="457">
        <f>2775762.7+47577.97</f>
        <v>2823340.6700000004</v>
      </c>
      <c r="L44" s="470"/>
      <c r="M44" s="941">
        <f>141775.76+314481.03+172468.79+169088.79+163666.25+150093.37+198856.11+212818.77+106517.88</f>
        <v>1629766.75</v>
      </c>
      <c r="N44" s="448"/>
      <c r="O44" s="1317"/>
      <c r="P44" s="365"/>
    </row>
    <row r="45" spans="1:16" s="366" customFormat="1" ht="18" x14ac:dyDescent="0.35">
      <c r="A45" s="977"/>
      <c r="B45" s="459" t="s">
        <v>924</v>
      </c>
      <c r="C45" s="451" t="s">
        <v>1095</v>
      </c>
      <c r="D45" s="365"/>
      <c r="E45" s="365"/>
      <c r="F45" s="365"/>
      <c r="G45" s="365"/>
      <c r="H45" s="365"/>
      <c r="I45" s="452" t="s">
        <v>1334</v>
      </c>
      <c r="J45" s="363" t="s">
        <v>613</v>
      </c>
      <c r="K45" s="372">
        <f>4419004.25+800000</f>
        <v>5219004.25</v>
      </c>
      <c r="L45" s="470"/>
      <c r="M45" s="941">
        <f>240001.74+477497.23+367908.22+120949+287606.76+427107.66+193114.77+308152.38+365265.28+199039.47</f>
        <v>2986642.5100000002</v>
      </c>
      <c r="N45" s="448"/>
      <c r="O45" s="1317"/>
      <c r="P45" s="365"/>
    </row>
    <row r="46" spans="1:16" s="366" customFormat="1" ht="53.25" hidden="1" customHeight="1" x14ac:dyDescent="0.35">
      <c r="A46" s="977"/>
      <c r="B46" s="521" t="s">
        <v>926</v>
      </c>
      <c r="C46" s="451" t="s">
        <v>1095</v>
      </c>
      <c r="D46" s="365"/>
      <c r="E46" s="365"/>
      <c r="F46" s="365"/>
      <c r="G46" s="365"/>
      <c r="H46" s="365"/>
      <c r="I46" s="484" t="s">
        <v>1194</v>
      </c>
      <c r="J46" s="389" t="s">
        <v>613</v>
      </c>
      <c r="K46" s="559"/>
      <c r="L46" s="470"/>
      <c r="M46" s="554"/>
      <c r="N46" s="448"/>
      <c r="O46" s="1290"/>
      <c r="P46" s="365"/>
    </row>
    <row r="47" spans="1:16" s="366" customFormat="1" ht="52.8" x14ac:dyDescent="0.35">
      <c r="A47" s="977">
        <v>4</v>
      </c>
      <c r="B47" s="447" t="s">
        <v>1098</v>
      </c>
      <c r="C47" s="557"/>
      <c r="D47" s="448"/>
      <c r="E47" s="448"/>
      <c r="F47" s="448"/>
      <c r="G47" s="448"/>
      <c r="H47" s="448"/>
      <c r="I47" s="429" t="s">
        <v>1339</v>
      </c>
      <c r="J47" s="430"/>
      <c r="K47" s="449">
        <f>K49+K50+K51+K56+K53+K57+K55+K58+K48+K52+K54</f>
        <v>1990449.21</v>
      </c>
      <c r="L47" s="470"/>
      <c r="M47" s="449">
        <f>M49+M50+M51+M56+M53+M57+M55+M58+M48+M52+M54</f>
        <v>900648</v>
      </c>
      <c r="N47" s="448"/>
      <c r="O47" s="432" t="s">
        <v>1160</v>
      </c>
      <c r="P47" s="365"/>
    </row>
    <row r="48" spans="1:16" s="366" customFormat="1" ht="31.8" x14ac:dyDescent="0.35">
      <c r="A48" s="977"/>
      <c r="B48" s="558" t="s">
        <v>1249</v>
      </c>
      <c r="C48" s="451" t="s">
        <v>1099</v>
      </c>
      <c r="D48" s="365"/>
      <c r="E48" s="365"/>
      <c r="F48" s="365"/>
      <c r="G48" s="365"/>
      <c r="H48" s="365"/>
      <c r="I48" s="452" t="s">
        <v>1250</v>
      </c>
      <c r="J48" s="389" t="s">
        <v>586</v>
      </c>
      <c r="K48" s="670">
        <f>100000-78000-22000</f>
        <v>0</v>
      </c>
      <c r="L48" s="476"/>
      <c r="M48" s="445"/>
      <c r="N48" s="448"/>
      <c r="O48" s="520"/>
      <c r="P48" s="365"/>
    </row>
    <row r="49" spans="1:16" s="366" customFormat="1" ht="15.6" x14ac:dyDescent="0.3">
      <c r="A49" s="388"/>
      <c r="B49" s="459" t="s">
        <v>651</v>
      </c>
      <c r="C49" s="451" t="s">
        <v>1099</v>
      </c>
      <c r="D49" s="365"/>
      <c r="E49" s="365"/>
      <c r="F49" s="365"/>
      <c r="G49" s="365"/>
      <c r="H49" s="365"/>
      <c r="I49" s="452" t="s">
        <v>1248</v>
      </c>
      <c r="J49" s="389" t="s">
        <v>586</v>
      </c>
      <c r="K49" s="670">
        <f>564980-34980</f>
        <v>530000</v>
      </c>
      <c r="L49" s="476"/>
      <c r="M49" s="445">
        <v>530000</v>
      </c>
      <c r="N49" s="365"/>
      <c r="O49" s="1318"/>
      <c r="P49" s="365"/>
    </row>
    <row r="50" spans="1:16" s="366" customFormat="1" ht="31.2" hidden="1" x14ac:dyDescent="0.3">
      <c r="A50" s="388"/>
      <c r="B50" s="423" t="s">
        <v>1027</v>
      </c>
      <c r="C50" s="451" t="s">
        <v>1101</v>
      </c>
      <c r="D50" s="365"/>
      <c r="E50" s="365"/>
      <c r="F50" s="365"/>
      <c r="G50" s="365"/>
      <c r="H50" s="365"/>
      <c r="I50" s="452" t="s">
        <v>1100</v>
      </c>
      <c r="J50" s="363" t="s">
        <v>586</v>
      </c>
      <c r="K50" s="457">
        <f>100000-50000-50000</f>
        <v>0</v>
      </c>
      <c r="L50" s="476"/>
      <c r="M50" s="445"/>
      <c r="N50" s="365"/>
      <c r="O50" s="1320"/>
      <c r="P50" s="365"/>
    </row>
    <row r="51" spans="1:16" s="366" customFormat="1" ht="42.75" customHeight="1" x14ac:dyDescent="0.3">
      <c r="A51" s="388"/>
      <c r="B51" s="1293" t="s">
        <v>1376</v>
      </c>
      <c r="C51" s="451" t="s">
        <v>1101</v>
      </c>
      <c r="D51" s="365"/>
      <c r="E51" s="365"/>
      <c r="F51" s="365"/>
      <c r="G51" s="365"/>
      <c r="H51" s="365"/>
      <c r="I51" s="1295" t="s">
        <v>1266</v>
      </c>
      <c r="J51" s="363" t="s">
        <v>586</v>
      </c>
      <c r="K51" s="457">
        <f>800000-800000+279990</f>
        <v>279990</v>
      </c>
      <c r="L51" s="476"/>
      <c r="M51" s="445">
        <v>69880</v>
      </c>
      <c r="N51" s="365"/>
      <c r="O51" s="1320"/>
      <c r="P51" s="365"/>
    </row>
    <row r="52" spans="1:16" s="366" customFormat="1" ht="42.75" customHeight="1" x14ac:dyDescent="0.3">
      <c r="A52" s="388"/>
      <c r="B52" s="1294"/>
      <c r="C52" s="451" t="s">
        <v>1377</v>
      </c>
      <c r="D52" s="365"/>
      <c r="E52" s="365"/>
      <c r="F52" s="365"/>
      <c r="G52" s="365"/>
      <c r="H52" s="365"/>
      <c r="I52" s="1296"/>
      <c r="J52" s="363" t="s">
        <v>813</v>
      </c>
      <c r="K52" s="457">
        <f>800000-279990</f>
        <v>520010</v>
      </c>
      <c r="L52" s="476"/>
      <c r="M52" s="445">
        <f>32500+90312+97956</f>
        <v>220768</v>
      </c>
      <c r="N52" s="365"/>
      <c r="O52" s="1320"/>
      <c r="P52" s="367"/>
    </row>
    <row r="53" spans="1:16" s="366" customFormat="1" ht="15.6" x14ac:dyDescent="0.3">
      <c r="A53" s="1443"/>
      <c r="B53" s="1297" t="s">
        <v>706</v>
      </c>
      <c r="C53" s="451" t="s">
        <v>1101</v>
      </c>
      <c r="D53" s="365"/>
      <c r="E53" s="365"/>
      <c r="F53" s="365"/>
      <c r="G53" s="365"/>
      <c r="H53" s="365"/>
      <c r="I53" s="1295" t="s">
        <v>1267</v>
      </c>
      <c r="J53" s="363" t="s">
        <v>586</v>
      </c>
      <c r="K53" s="464">
        <f>380449.21-380449.21</f>
        <v>0</v>
      </c>
      <c r="L53" s="476"/>
      <c r="M53" s="445"/>
      <c r="N53" s="365"/>
      <c r="O53" s="1320"/>
      <c r="P53" s="367"/>
    </row>
    <row r="54" spans="1:16" s="366" customFormat="1" ht="15.6" x14ac:dyDescent="0.3">
      <c r="A54" s="1308"/>
      <c r="B54" s="1299"/>
      <c r="C54" s="451" t="s">
        <v>1377</v>
      </c>
      <c r="D54" s="365"/>
      <c r="E54" s="365"/>
      <c r="F54" s="365"/>
      <c r="G54" s="365"/>
      <c r="H54" s="365"/>
      <c r="I54" s="1296"/>
      <c r="J54" s="363" t="s">
        <v>813</v>
      </c>
      <c r="K54" s="464">
        <v>580449.21</v>
      </c>
      <c r="L54" s="476"/>
      <c r="M54" s="445"/>
      <c r="N54" s="365"/>
      <c r="O54" s="1467"/>
      <c r="P54" s="367"/>
    </row>
    <row r="55" spans="1:16" s="366" customFormat="1" ht="15.6" x14ac:dyDescent="0.3">
      <c r="A55" s="388"/>
      <c r="B55" s="423" t="s">
        <v>1362</v>
      </c>
      <c r="C55" s="451" t="s">
        <v>1101</v>
      </c>
      <c r="D55" s="365"/>
      <c r="E55" s="365"/>
      <c r="F55" s="365"/>
      <c r="G55" s="365"/>
      <c r="H55" s="365"/>
      <c r="I55" s="452" t="s">
        <v>1363</v>
      </c>
      <c r="J55" s="363" t="s">
        <v>586</v>
      </c>
      <c r="K55" s="457">
        <v>78000</v>
      </c>
      <c r="L55" s="476"/>
      <c r="M55" s="445">
        <v>78000</v>
      </c>
      <c r="N55" s="365"/>
      <c r="O55" s="1320"/>
      <c r="P55" s="367"/>
    </row>
    <row r="56" spans="1:16" s="366" customFormat="1" ht="31.2" hidden="1" x14ac:dyDescent="0.3">
      <c r="A56" s="388"/>
      <c r="B56" s="459" t="s">
        <v>1158</v>
      </c>
      <c r="C56" s="451" t="s">
        <v>1159</v>
      </c>
      <c r="D56" s="365"/>
      <c r="E56" s="365"/>
      <c r="F56" s="365"/>
      <c r="G56" s="365"/>
      <c r="H56" s="365"/>
      <c r="I56" s="480" t="s">
        <v>707</v>
      </c>
      <c r="J56" s="363" t="s">
        <v>813</v>
      </c>
      <c r="K56" s="372"/>
      <c r="L56" s="476"/>
      <c r="M56" s="445"/>
      <c r="N56" s="365"/>
      <c r="O56" s="1321"/>
    </row>
    <row r="57" spans="1:16" s="366" customFormat="1" ht="31.2" x14ac:dyDescent="0.3">
      <c r="A57" s="388"/>
      <c r="B57" s="459" t="s">
        <v>1237</v>
      </c>
      <c r="C57" s="451" t="s">
        <v>1170</v>
      </c>
      <c r="D57" s="365"/>
      <c r="E57" s="365"/>
      <c r="F57" s="365"/>
      <c r="G57" s="365"/>
      <c r="H57" s="365"/>
      <c r="I57" s="389" t="s">
        <v>1238</v>
      </c>
      <c r="J57" s="389" t="s">
        <v>586</v>
      </c>
      <c r="K57" s="669">
        <f>214402.11-212402.11</f>
        <v>2000</v>
      </c>
      <c r="L57" s="476"/>
      <c r="M57" s="445">
        <v>2000</v>
      </c>
      <c r="N57" s="365"/>
      <c r="O57" s="964"/>
    </row>
    <row r="58" spans="1:16" s="366" customFormat="1" ht="46.8" hidden="1" x14ac:dyDescent="0.3">
      <c r="A58" s="388"/>
      <c r="B58" s="521" t="s">
        <v>1195</v>
      </c>
      <c r="C58" s="451" t="s">
        <v>1101</v>
      </c>
      <c r="D58" s="365"/>
      <c r="E58" s="365"/>
      <c r="F58" s="365"/>
      <c r="G58" s="365"/>
      <c r="H58" s="365"/>
      <c r="I58" s="484" t="s">
        <v>1196</v>
      </c>
      <c r="J58" s="389" t="s">
        <v>586</v>
      </c>
      <c r="K58" s="559"/>
      <c r="L58" s="476"/>
      <c r="M58" s="661"/>
      <c r="N58" s="365"/>
      <c r="O58" s="964"/>
    </row>
    <row r="59" spans="1:16" s="366" customFormat="1" ht="54" x14ac:dyDescent="0.35">
      <c r="A59" s="977">
        <v>5</v>
      </c>
      <c r="B59" s="447" t="s">
        <v>1102</v>
      </c>
      <c r="C59" s="448"/>
      <c r="D59" s="448"/>
      <c r="E59" s="448"/>
      <c r="F59" s="448"/>
      <c r="G59" s="448"/>
      <c r="H59" s="448"/>
      <c r="I59" s="429" t="s">
        <v>1340</v>
      </c>
      <c r="J59" s="430"/>
      <c r="K59" s="449">
        <f>K63+K64+K66+K61+K60+K62+K65</f>
        <v>10296985.889999999</v>
      </c>
      <c r="L59" s="470"/>
      <c r="M59" s="449">
        <f>M63+M64+M66+M61+M60+M62+M65</f>
        <v>4003480.85</v>
      </c>
      <c r="N59" s="448"/>
      <c r="O59" s="432" t="s">
        <v>1183</v>
      </c>
    </row>
    <row r="60" spans="1:16" s="366" customFormat="1" ht="26.25" customHeight="1" x14ac:dyDescent="0.35">
      <c r="A60" s="977"/>
      <c r="B60" s="660" t="s">
        <v>1197</v>
      </c>
      <c r="C60" s="451" t="s">
        <v>1103</v>
      </c>
      <c r="D60" s="448"/>
      <c r="E60" s="448"/>
      <c r="F60" s="448"/>
      <c r="G60" s="448"/>
      <c r="H60" s="448"/>
      <c r="I60" s="1334" t="s">
        <v>1364</v>
      </c>
      <c r="J60" s="389" t="s">
        <v>586</v>
      </c>
      <c r="K60" s="464">
        <f>5385000-924000+1504587.33-1780000-240000-135921.51+869552.77</f>
        <v>4679218.59</v>
      </c>
      <c r="L60" s="742"/>
      <c r="M60" s="496">
        <f>85000+150096.77+460670.11</f>
        <v>695766.88</v>
      </c>
      <c r="N60" s="448"/>
      <c r="O60" s="454" t="s">
        <v>151</v>
      </c>
    </row>
    <row r="61" spans="1:16" s="366" customFormat="1" ht="62.4" x14ac:dyDescent="0.35">
      <c r="A61" s="977"/>
      <c r="B61" s="455" t="s">
        <v>1184</v>
      </c>
      <c r="C61" s="451" t="s">
        <v>1400</v>
      </c>
      <c r="D61" s="448"/>
      <c r="E61" s="448"/>
      <c r="F61" s="448"/>
      <c r="G61" s="448"/>
      <c r="H61" s="448"/>
      <c r="I61" s="1296"/>
      <c r="J61" s="430">
        <v>500</v>
      </c>
      <c r="K61" s="464">
        <f>924000+780000+383767.3+190000</f>
        <v>2277767.2999999998</v>
      </c>
      <c r="L61" s="470"/>
      <c r="M61" s="457">
        <f>924000+780000+143767.3+240000</f>
        <v>2087767.3</v>
      </c>
      <c r="N61" s="448"/>
      <c r="O61" s="456" t="s">
        <v>1179</v>
      </c>
    </row>
    <row r="62" spans="1:16" s="366" customFormat="1" ht="47.4" x14ac:dyDescent="0.35">
      <c r="A62" s="977"/>
      <c r="B62" s="831" t="s">
        <v>1402</v>
      </c>
      <c r="C62" s="451" t="s">
        <v>1400</v>
      </c>
      <c r="D62" s="448"/>
      <c r="E62" s="448"/>
      <c r="F62" s="448"/>
      <c r="G62" s="448"/>
      <c r="H62" s="448"/>
      <c r="I62" s="452" t="s">
        <v>1401</v>
      </c>
      <c r="J62" s="430">
        <v>500</v>
      </c>
      <c r="K62" s="464">
        <f>340000+400000</f>
        <v>740000</v>
      </c>
      <c r="L62" s="470"/>
      <c r="M62" s="582">
        <v>340000</v>
      </c>
      <c r="N62" s="448"/>
      <c r="O62" s="951"/>
    </row>
    <row r="63" spans="1:16" s="366" customFormat="1" ht="31.2" hidden="1" x14ac:dyDescent="0.3">
      <c r="A63" s="388"/>
      <c r="B63" s="459" t="s">
        <v>822</v>
      </c>
      <c r="C63" s="451" t="s">
        <v>1105</v>
      </c>
      <c r="D63" s="365"/>
      <c r="E63" s="365"/>
      <c r="F63" s="365"/>
      <c r="G63" s="365"/>
      <c r="H63" s="365"/>
      <c r="I63" s="452" t="s">
        <v>823</v>
      </c>
      <c r="J63" s="363" t="s">
        <v>613</v>
      </c>
      <c r="K63" s="457"/>
      <c r="L63" s="476"/>
      <c r="M63" s="445"/>
      <c r="N63" s="365"/>
      <c r="O63" s="1322" t="s">
        <v>968</v>
      </c>
    </row>
    <row r="64" spans="1:16" s="366" customFormat="1" ht="15.6" hidden="1" x14ac:dyDescent="0.3">
      <c r="A64" s="460"/>
      <c r="B64" s="459" t="s">
        <v>825</v>
      </c>
      <c r="C64" s="451" t="s">
        <v>1105</v>
      </c>
      <c r="D64" s="461"/>
      <c r="E64" s="461"/>
      <c r="F64" s="461"/>
      <c r="G64" s="461"/>
      <c r="H64" s="461"/>
      <c r="I64" s="452" t="s">
        <v>826</v>
      </c>
      <c r="J64" s="363" t="s">
        <v>613</v>
      </c>
      <c r="K64" s="457"/>
      <c r="L64" s="476"/>
      <c r="M64" s="445"/>
      <c r="N64" s="461"/>
      <c r="O64" s="1323"/>
      <c r="P64" s="462"/>
    </row>
    <row r="65" spans="1:16" s="366" customFormat="1" ht="15.6" x14ac:dyDescent="0.3">
      <c r="A65" s="460"/>
      <c r="B65" s="1293" t="s">
        <v>828</v>
      </c>
      <c r="C65" s="451" t="s">
        <v>1142</v>
      </c>
      <c r="D65" s="365"/>
      <c r="E65" s="365"/>
      <c r="F65" s="365"/>
      <c r="G65" s="365"/>
      <c r="H65" s="365"/>
      <c r="I65" s="452" t="s">
        <v>1306</v>
      </c>
      <c r="J65" s="363" t="s">
        <v>613</v>
      </c>
      <c r="K65" s="457">
        <v>681008.52</v>
      </c>
      <c r="L65" s="476"/>
      <c r="M65" s="445">
        <f>248004.2+433004.32</f>
        <v>681008.52</v>
      </c>
      <c r="N65" s="461"/>
      <c r="O65" s="1323"/>
      <c r="P65" s="462"/>
    </row>
    <row r="66" spans="1:16" s="366" customFormat="1" ht="15.6" x14ac:dyDescent="0.3">
      <c r="A66" s="388"/>
      <c r="B66" s="1415"/>
      <c r="C66" s="451" t="s">
        <v>1105</v>
      </c>
      <c r="D66" s="365"/>
      <c r="E66" s="365"/>
      <c r="F66" s="365"/>
      <c r="G66" s="365"/>
      <c r="H66" s="365"/>
      <c r="I66" s="452" t="s">
        <v>1306</v>
      </c>
      <c r="J66" s="363" t="s">
        <v>613</v>
      </c>
      <c r="K66" s="464">
        <f>3500000-681008.52-900000</f>
        <v>1918991.48</v>
      </c>
      <c r="L66" s="476"/>
      <c r="M66" s="445">
        <v>198938.15</v>
      </c>
      <c r="N66" s="365"/>
      <c r="O66" s="1324"/>
    </row>
    <row r="67" spans="1:16" s="366" customFormat="1" ht="54" x14ac:dyDescent="0.35">
      <c r="A67" s="977">
        <v>6</v>
      </c>
      <c r="B67" s="447" t="s">
        <v>1106</v>
      </c>
      <c r="C67" s="557"/>
      <c r="D67" s="448"/>
      <c r="E67" s="448"/>
      <c r="F67" s="448"/>
      <c r="G67" s="448"/>
      <c r="H67" s="448"/>
      <c r="I67" s="429" t="s">
        <v>1341</v>
      </c>
      <c r="J67" s="430"/>
      <c r="K67" s="449">
        <f>K68</f>
        <v>50000</v>
      </c>
      <c r="L67" s="470"/>
      <c r="M67" s="449">
        <f>M68</f>
        <v>49999.990000000005</v>
      </c>
      <c r="N67" s="448"/>
      <c r="O67" s="432" t="s">
        <v>151</v>
      </c>
    </row>
    <row r="68" spans="1:16" s="366" customFormat="1" ht="31.2" x14ac:dyDescent="0.3">
      <c r="A68" s="561"/>
      <c r="B68" s="459" t="s">
        <v>728</v>
      </c>
      <c r="C68" s="387" t="s">
        <v>1107</v>
      </c>
      <c r="D68" s="562"/>
      <c r="E68" s="562"/>
      <c r="F68" s="562"/>
      <c r="G68" s="562"/>
      <c r="H68" s="562"/>
      <c r="I68" s="452" t="s">
        <v>1273</v>
      </c>
      <c r="J68" s="363" t="s">
        <v>586</v>
      </c>
      <c r="K68" s="457">
        <v>50000</v>
      </c>
      <c r="L68" s="476"/>
      <c r="M68" s="424">
        <f>23000+26999.99</f>
        <v>49999.990000000005</v>
      </c>
      <c r="N68" s="365"/>
      <c r="O68" s="563"/>
    </row>
    <row r="69" spans="1:16" s="474" customFormat="1" ht="36" x14ac:dyDescent="0.35">
      <c r="A69" s="467">
        <v>7</v>
      </c>
      <c r="B69" s="468" t="s">
        <v>1108</v>
      </c>
      <c r="C69" s="469"/>
      <c r="D69" s="470"/>
      <c r="E69" s="470"/>
      <c r="F69" s="470"/>
      <c r="G69" s="470"/>
      <c r="H69" s="470"/>
      <c r="I69" s="471" t="s">
        <v>1342</v>
      </c>
      <c r="J69" s="472"/>
      <c r="K69" s="473">
        <f>K70+K71+K72</f>
        <v>26551599.059999999</v>
      </c>
      <c r="L69" s="470"/>
      <c r="M69" s="473">
        <f>M70+M71+M72</f>
        <v>2065343.3</v>
      </c>
      <c r="N69" s="470"/>
      <c r="O69" s="432" t="s">
        <v>151</v>
      </c>
    </row>
    <row r="70" spans="1:16" s="474" customFormat="1" ht="46.8" x14ac:dyDescent="0.3">
      <c r="A70" s="475"/>
      <c r="B70" s="423" t="s">
        <v>697</v>
      </c>
      <c r="C70" s="395" t="s">
        <v>1109</v>
      </c>
      <c r="D70" s="476"/>
      <c r="E70" s="476"/>
      <c r="F70" s="476"/>
      <c r="G70" s="476"/>
      <c r="H70" s="476"/>
      <c r="I70" s="477" t="s">
        <v>1262</v>
      </c>
      <c r="J70" s="371" t="s">
        <v>700</v>
      </c>
      <c r="K70" s="457">
        <v>2500000</v>
      </c>
      <c r="L70" s="476"/>
      <c r="M70" s="445">
        <f>1065343.3-1065343.3</f>
        <v>0</v>
      </c>
      <c r="N70" s="476"/>
      <c r="O70" s="1325"/>
    </row>
    <row r="71" spans="1:16" s="366" customFormat="1" ht="31.2" x14ac:dyDescent="0.3">
      <c r="A71" s="388"/>
      <c r="B71" s="459" t="s">
        <v>768</v>
      </c>
      <c r="C71" s="387" t="s">
        <v>1111</v>
      </c>
      <c r="D71" s="365"/>
      <c r="E71" s="365"/>
      <c r="F71" s="365"/>
      <c r="G71" s="365"/>
      <c r="H71" s="365"/>
      <c r="I71" s="452" t="s">
        <v>1289</v>
      </c>
      <c r="J71" s="363" t="s">
        <v>764</v>
      </c>
      <c r="K71" s="457">
        <v>1000000</v>
      </c>
      <c r="L71" s="476"/>
      <c r="M71" s="445">
        <v>1000000</v>
      </c>
      <c r="N71" s="365"/>
      <c r="O71" s="1326"/>
    </row>
    <row r="72" spans="1:16" s="366" customFormat="1" ht="46.8" x14ac:dyDescent="0.3">
      <c r="A72" s="388"/>
      <c r="B72" s="423" t="s">
        <v>1360</v>
      </c>
      <c r="C72" s="387" t="s">
        <v>1109</v>
      </c>
      <c r="D72" s="365"/>
      <c r="E72" s="365"/>
      <c r="F72" s="365"/>
      <c r="G72" s="365"/>
      <c r="H72" s="365"/>
      <c r="I72" s="452" t="s">
        <v>1359</v>
      </c>
      <c r="J72" s="363" t="s">
        <v>700</v>
      </c>
      <c r="K72" s="457">
        <f>18304436.83+5535587.23-788425</f>
        <v>23051599.059999999</v>
      </c>
      <c r="L72" s="476"/>
      <c r="M72" s="743">
        <v>1065343.3</v>
      </c>
      <c r="N72" s="365"/>
      <c r="O72" s="965"/>
    </row>
    <row r="73" spans="1:16" s="366" customFormat="1" ht="35.4" x14ac:dyDescent="0.35">
      <c r="A73" s="425">
        <v>8</v>
      </c>
      <c r="B73" s="437" t="s">
        <v>561</v>
      </c>
      <c r="C73" s="427"/>
      <c r="D73" s="428"/>
      <c r="E73" s="428"/>
      <c r="F73" s="428"/>
      <c r="G73" s="428"/>
      <c r="H73" s="428"/>
      <c r="I73" s="429" t="s">
        <v>1343</v>
      </c>
      <c r="J73" s="430"/>
      <c r="K73" s="744">
        <f>K74+K75+K76+K77+K78</f>
        <v>214800</v>
      </c>
      <c r="L73" s="568"/>
      <c r="M73" s="744">
        <f>M74+M75+M76+M77+M78</f>
        <v>6534</v>
      </c>
      <c r="N73" s="428"/>
      <c r="O73" s="432" t="s">
        <v>151</v>
      </c>
    </row>
    <row r="74" spans="1:16" s="366" customFormat="1" ht="31.2" x14ac:dyDescent="0.3">
      <c r="A74" s="388"/>
      <c r="B74" s="459" t="s">
        <v>684</v>
      </c>
      <c r="C74" s="387" t="s">
        <v>1114</v>
      </c>
      <c r="D74" s="365"/>
      <c r="E74" s="365"/>
      <c r="F74" s="365"/>
      <c r="G74" s="365"/>
      <c r="H74" s="365"/>
      <c r="I74" s="452" t="s">
        <v>1259</v>
      </c>
      <c r="J74" s="363" t="s">
        <v>528</v>
      </c>
      <c r="K74" s="457">
        <v>106000</v>
      </c>
      <c r="L74" s="476"/>
      <c r="M74" s="445"/>
      <c r="N74" s="365"/>
      <c r="O74" s="1325"/>
    </row>
    <row r="75" spans="1:16" s="366" customFormat="1" ht="62.4" x14ac:dyDescent="0.3">
      <c r="A75" s="388"/>
      <c r="B75" s="459" t="s">
        <v>687</v>
      </c>
      <c r="C75" s="387" t="s">
        <v>1114</v>
      </c>
      <c r="D75" s="365"/>
      <c r="E75" s="365"/>
      <c r="F75" s="365"/>
      <c r="G75" s="365"/>
      <c r="H75" s="365"/>
      <c r="I75" s="452" t="s">
        <v>1260</v>
      </c>
      <c r="J75" s="363" t="s">
        <v>528</v>
      </c>
      <c r="K75" s="457">
        <v>53000</v>
      </c>
      <c r="L75" s="476"/>
      <c r="M75" s="445"/>
      <c r="N75" s="365"/>
      <c r="O75" s="1432"/>
    </row>
    <row r="76" spans="1:16" s="366" customFormat="1" ht="31.2" x14ac:dyDescent="0.3">
      <c r="A76" s="388"/>
      <c r="B76" s="459" t="s">
        <v>690</v>
      </c>
      <c r="C76" s="958" t="s">
        <v>1114</v>
      </c>
      <c r="D76" s="482"/>
      <c r="E76" s="482"/>
      <c r="F76" s="482"/>
      <c r="G76" s="482"/>
      <c r="H76" s="482"/>
      <c r="I76" s="480" t="s">
        <v>1261</v>
      </c>
      <c r="J76" s="564" t="s">
        <v>586</v>
      </c>
      <c r="K76" s="372">
        <v>24000</v>
      </c>
      <c r="L76" s="476"/>
      <c r="M76" s="445">
        <v>6534</v>
      </c>
      <c r="N76" s="365"/>
      <c r="O76" s="1326"/>
    </row>
    <row r="77" spans="1:16" s="366" customFormat="1" ht="31.2" x14ac:dyDescent="0.3">
      <c r="A77" s="388"/>
      <c r="B77" s="565" t="s">
        <v>1171</v>
      </c>
      <c r="C77" s="387" t="s">
        <v>1172</v>
      </c>
      <c r="D77" s="365"/>
      <c r="E77" s="365"/>
      <c r="F77" s="365"/>
      <c r="G77" s="365"/>
      <c r="H77" s="365"/>
      <c r="I77" s="389" t="s">
        <v>1246</v>
      </c>
      <c r="J77" s="389" t="s">
        <v>528</v>
      </c>
      <c r="K77" s="559">
        <v>31800</v>
      </c>
      <c r="L77" s="476"/>
      <c r="M77" s="445"/>
      <c r="N77" s="365"/>
      <c r="O77" s="965"/>
    </row>
    <row r="78" spans="1:16" s="366" customFormat="1" ht="62.4" x14ac:dyDescent="0.3">
      <c r="A78" s="388"/>
      <c r="B78" s="565" t="s">
        <v>1173</v>
      </c>
      <c r="C78" s="387" t="s">
        <v>1172</v>
      </c>
      <c r="D78" s="365"/>
      <c r="E78" s="365"/>
      <c r="F78" s="365"/>
      <c r="G78" s="365"/>
      <c r="H78" s="365"/>
      <c r="I78" s="389" t="s">
        <v>1247</v>
      </c>
      <c r="J78" s="389" t="s">
        <v>528</v>
      </c>
      <c r="K78" s="669">
        <f>19080-19080</f>
        <v>0</v>
      </c>
      <c r="L78" s="476"/>
      <c r="M78" s="445"/>
      <c r="N78" s="365"/>
      <c r="O78" s="965"/>
    </row>
    <row r="79" spans="1:16" s="366" customFormat="1" ht="36" x14ac:dyDescent="0.35">
      <c r="A79" s="977">
        <v>9</v>
      </c>
      <c r="B79" s="566" t="s">
        <v>560</v>
      </c>
      <c r="C79" s="365"/>
      <c r="D79" s="365"/>
      <c r="E79" s="365"/>
      <c r="F79" s="365"/>
      <c r="G79" s="365"/>
      <c r="H79" s="365"/>
      <c r="I79" s="429" t="s">
        <v>1344</v>
      </c>
      <c r="J79" s="430"/>
      <c r="K79" s="473">
        <f>K80+K81+K82+K83+K84</f>
        <v>6348058.5099999998</v>
      </c>
      <c r="L79" s="476"/>
      <c r="M79" s="473">
        <f>M80+M81+M82+M83+M84</f>
        <v>1436850.6600000001</v>
      </c>
      <c r="N79" s="365"/>
      <c r="O79" s="432" t="s">
        <v>151</v>
      </c>
    </row>
    <row r="80" spans="1:16" s="366" customFormat="1" ht="18" x14ac:dyDescent="0.35">
      <c r="A80" s="977"/>
      <c r="B80" s="459" t="s">
        <v>787</v>
      </c>
      <c r="C80" s="387" t="s">
        <v>1116</v>
      </c>
      <c r="D80" s="365"/>
      <c r="E80" s="365"/>
      <c r="F80" s="365"/>
      <c r="G80" s="365"/>
      <c r="H80" s="365"/>
      <c r="I80" s="452" t="s">
        <v>1295</v>
      </c>
      <c r="J80" s="363" t="s">
        <v>586</v>
      </c>
      <c r="K80" s="457">
        <v>476999</v>
      </c>
      <c r="L80" s="476"/>
      <c r="M80" s="424">
        <f>10146.64+26907+37893.28+15554.98+10789.64+16346.64+39510+630.21</f>
        <v>157778.38999999998</v>
      </c>
      <c r="N80" s="365"/>
      <c r="O80" s="1325"/>
    </row>
    <row r="81" spans="1:15" s="366" customFormat="1" ht="15.6" x14ac:dyDescent="0.3">
      <c r="A81" s="388"/>
      <c r="B81" s="534" t="s">
        <v>781</v>
      </c>
      <c r="C81" s="387" t="s">
        <v>1115</v>
      </c>
      <c r="D81" s="365"/>
      <c r="E81" s="365"/>
      <c r="F81" s="365"/>
      <c r="G81" s="365"/>
      <c r="H81" s="365"/>
      <c r="I81" s="452" t="s">
        <v>1293</v>
      </c>
      <c r="J81" s="363" t="s">
        <v>586</v>
      </c>
      <c r="K81" s="457">
        <f>450000+928700</f>
        <v>1378700</v>
      </c>
      <c r="L81" s="476"/>
      <c r="M81" s="445">
        <v>635000.01</v>
      </c>
      <c r="N81" s="365"/>
      <c r="O81" s="1432"/>
    </row>
    <row r="82" spans="1:15" s="366" customFormat="1" ht="15.6" x14ac:dyDescent="0.3">
      <c r="A82" s="388"/>
      <c r="B82" s="459" t="s">
        <v>790</v>
      </c>
      <c r="C82" s="387" t="s">
        <v>1116</v>
      </c>
      <c r="D82" s="365"/>
      <c r="E82" s="365"/>
      <c r="F82" s="365"/>
      <c r="G82" s="365"/>
      <c r="H82" s="365"/>
      <c r="I82" s="452" t="s">
        <v>1296</v>
      </c>
      <c r="J82" s="363" t="s">
        <v>586</v>
      </c>
      <c r="K82" s="457">
        <v>529999</v>
      </c>
      <c r="L82" s="476"/>
      <c r="M82" s="424">
        <f>189150-107882+28785.7+126022.27+15811.89+41200+60097.4</f>
        <v>353185.26</v>
      </c>
      <c r="N82" s="365"/>
      <c r="O82" s="1432"/>
    </row>
    <row r="83" spans="1:15" s="366" customFormat="1" ht="31.2" x14ac:dyDescent="0.3">
      <c r="A83" s="388"/>
      <c r="B83" s="459" t="s">
        <v>784</v>
      </c>
      <c r="C83" s="387" t="s">
        <v>1115</v>
      </c>
      <c r="D83" s="365"/>
      <c r="E83" s="365"/>
      <c r="F83" s="365"/>
      <c r="G83" s="365"/>
      <c r="H83" s="365"/>
      <c r="I83" s="452" t="s">
        <v>1294</v>
      </c>
      <c r="J83" s="363" t="s">
        <v>586</v>
      </c>
      <c r="K83" s="457">
        <f>100000-50000</f>
        <v>50000</v>
      </c>
      <c r="L83" s="476"/>
      <c r="M83" s="445"/>
      <c r="N83" s="365"/>
      <c r="O83" s="1326"/>
    </row>
    <row r="84" spans="1:15" s="366" customFormat="1" ht="31.2" x14ac:dyDescent="0.3">
      <c r="A84" s="388"/>
      <c r="B84" s="521" t="s">
        <v>1297</v>
      </c>
      <c r="C84" s="387" t="s">
        <v>1116</v>
      </c>
      <c r="D84" s="365"/>
      <c r="E84" s="365"/>
      <c r="F84" s="365"/>
      <c r="G84" s="365"/>
      <c r="H84" s="365"/>
      <c r="I84" s="452" t="s">
        <v>1298</v>
      </c>
      <c r="J84" s="363" t="s">
        <v>700</v>
      </c>
      <c r="K84" s="464">
        <f>6000000-152000-1210622-633767.3-91250.19</f>
        <v>3912360.5100000002</v>
      </c>
      <c r="L84" s="476"/>
      <c r="M84" s="445">
        <v>290887</v>
      </c>
      <c r="N84" s="365"/>
      <c r="O84" s="965"/>
    </row>
    <row r="85" spans="1:15" s="366" customFormat="1" ht="70.2" x14ac:dyDescent="0.35">
      <c r="A85" s="977">
        <v>10</v>
      </c>
      <c r="B85" s="447" t="s">
        <v>562</v>
      </c>
      <c r="C85" s="365"/>
      <c r="D85" s="365"/>
      <c r="E85" s="365"/>
      <c r="F85" s="365"/>
      <c r="G85" s="365"/>
      <c r="H85" s="365"/>
      <c r="I85" s="429" t="s">
        <v>1345</v>
      </c>
      <c r="J85" s="430"/>
      <c r="K85" s="473">
        <f>K86+K90+K93+K94+K96+K102+K105+K112+K114+K116+K115+K113+K117+K95+K111+K110+K92+K101+K91</f>
        <v>83479268.120000005</v>
      </c>
      <c r="L85" s="476"/>
      <c r="M85" s="473">
        <f>M86+M90+M93+M94+M96+M102+M105+M112+M114+M116+M115+M113+M117+M95+M111+M110+M92+M101+M91</f>
        <v>58612919.140000008</v>
      </c>
      <c r="N85" s="365"/>
      <c r="O85" s="432" t="s">
        <v>1135</v>
      </c>
    </row>
    <row r="86" spans="1:15" s="366" customFormat="1" ht="15.6" x14ac:dyDescent="0.3">
      <c r="A86" s="1428"/>
      <c r="B86" s="1346" t="s">
        <v>796</v>
      </c>
      <c r="C86" s="387" t="s">
        <v>1131</v>
      </c>
      <c r="D86" s="388"/>
      <c r="E86" s="388"/>
      <c r="F86" s="388"/>
      <c r="G86" s="388"/>
      <c r="H86" s="388"/>
      <c r="I86" s="389" t="s">
        <v>1299</v>
      </c>
      <c r="J86" s="363"/>
      <c r="K86" s="457">
        <f>K87+K88+K89</f>
        <v>10462254.289999999</v>
      </c>
      <c r="L86" s="476"/>
      <c r="M86" s="457">
        <f>M87+M88+M89</f>
        <v>7221334.4699999997</v>
      </c>
      <c r="N86" s="365"/>
      <c r="O86" s="1350" t="s">
        <v>1136</v>
      </c>
    </row>
    <row r="87" spans="1:15" s="366" customFormat="1" ht="15.6" x14ac:dyDescent="0.3">
      <c r="A87" s="1429"/>
      <c r="B87" s="1430"/>
      <c r="C87" s="887"/>
      <c r="D87" s="386"/>
      <c r="E87" s="386"/>
      <c r="F87" s="386"/>
      <c r="G87" s="386"/>
      <c r="H87" s="386"/>
      <c r="I87" s="888"/>
      <c r="J87" s="363" t="s">
        <v>162</v>
      </c>
      <c r="K87" s="457">
        <v>9687260.6099999994</v>
      </c>
      <c r="L87" s="476"/>
      <c r="M87" s="424">
        <f>524429.57+75+158298.21+536955.67+75+192902.57+568054.78+75+162342.28+648114.12+75+198805.22+573128.6+2476.7+169380.03+1012284.12+1094285.75+362322.37+3991+106547.75+533877.68+75+153615</f>
        <v>7002186.4199999999</v>
      </c>
      <c r="N87" s="365"/>
      <c r="O87" s="1431"/>
    </row>
    <row r="88" spans="1:15" s="366" customFormat="1" ht="15.6" x14ac:dyDescent="0.3">
      <c r="A88" s="1429"/>
      <c r="B88" s="1430"/>
      <c r="C88" s="887"/>
      <c r="D88" s="362"/>
      <c r="E88" s="362"/>
      <c r="F88" s="362"/>
      <c r="G88" s="362"/>
      <c r="H88" s="362"/>
      <c r="I88" s="888"/>
      <c r="J88" s="363" t="s">
        <v>586</v>
      </c>
      <c r="K88" s="464">
        <f>847600-84606.32</f>
        <v>762993.67999999993</v>
      </c>
      <c r="L88" s="476"/>
      <c r="M88" s="424">
        <f>815.14+20591.29+30465.97+12189.2+28272.17+30034.85+19269.7+57149.1+19560.63</f>
        <v>218348.05000000002</v>
      </c>
      <c r="N88" s="365"/>
      <c r="O88" s="1431"/>
    </row>
    <row r="89" spans="1:15" s="366" customFormat="1" ht="15.6" x14ac:dyDescent="0.3">
      <c r="A89" s="1345"/>
      <c r="B89" s="1299"/>
      <c r="C89" s="384"/>
      <c r="D89" s="362"/>
      <c r="E89" s="362"/>
      <c r="F89" s="362"/>
      <c r="G89" s="362"/>
      <c r="H89" s="362"/>
      <c r="I89" s="385"/>
      <c r="J89" s="363" t="s">
        <v>528</v>
      </c>
      <c r="K89" s="457">
        <v>12000</v>
      </c>
      <c r="L89" s="476"/>
      <c r="M89" s="445">
        <f>800</f>
        <v>800</v>
      </c>
      <c r="N89" s="365"/>
      <c r="O89" s="1431"/>
    </row>
    <row r="90" spans="1:15" s="366" customFormat="1" ht="78" x14ac:dyDescent="0.35">
      <c r="A90" s="977"/>
      <c r="B90" s="478" t="s">
        <v>810</v>
      </c>
      <c r="C90" s="387" t="s">
        <v>1133</v>
      </c>
      <c r="D90" s="365"/>
      <c r="E90" s="365"/>
      <c r="F90" s="365"/>
      <c r="G90" s="365"/>
      <c r="H90" s="365"/>
      <c r="I90" s="452" t="s">
        <v>1302</v>
      </c>
      <c r="J90" s="363" t="s">
        <v>813</v>
      </c>
      <c r="K90" s="457">
        <v>18000000</v>
      </c>
      <c r="L90" s="476"/>
      <c r="M90" s="424">
        <f>2126908+1469292+2403796+1499999+1499999+1499999+1499999+1499999</f>
        <v>13499991</v>
      </c>
      <c r="N90" s="365"/>
      <c r="O90" s="1431"/>
    </row>
    <row r="91" spans="1:15" s="366" customFormat="1" ht="27" customHeight="1" x14ac:dyDescent="0.3">
      <c r="A91" s="1461"/>
      <c r="B91" s="1463" t="s">
        <v>1405</v>
      </c>
      <c r="C91" s="387" t="s">
        <v>1418</v>
      </c>
      <c r="D91" s="365"/>
      <c r="E91" s="365"/>
      <c r="F91" s="365"/>
      <c r="G91" s="365"/>
      <c r="H91" s="365"/>
      <c r="I91" s="1295" t="s">
        <v>1404</v>
      </c>
      <c r="J91" s="363" t="s">
        <v>813</v>
      </c>
      <c r="K91" s="464">
        <v>100000</v>
      </c>
      <c r="L91" s="476"/>
      <c r="M91" s="424">
        <v>100000</v>
      </c>
      <c r="N91" s="365"/>
      <c r="O91" s="1466"/>
    </row>
    <row r="92" spans="1:15" s="366" customFormat="1" ht="34.5" customHeight="1" x14ac:dyDescent="0.3">
      <c r="A92" s="1462"/>
      <c r="B92" s="1464"/>
      <c r="C92" s="387" t="s">
        <v>1403</v>
      </c>
      <c r="D92" s="365"/>
      <c r="E92" s="365"/>
      <c r="F92" s="365"/>
      <c r="G92" s="365"/>
      <c r="H92" s="365"/>
      <c r="I92" s="1296"/>
      <c r="J92" s="363" t="s">
        <v>813</v>
      </c>
      <c r="K92" s="464">
        <f>150000+210466.03</f>
        <v>360466.03</v>
      </c>
      <c r="L92" s="476"/>
      <c r="M92" s="424">
        <f>150000+210466.03</f>
        <v>360466.03</v>
      </c>
      <c r="N92" s="365"/>
      <c r="O92" s="1431"/>
    </row>
    <row r="93" spans="1:15" s="366" customFormat="1" ht="31.2" x14ac:dyDescent="0.35">
      <c r="A93" s="977"/>
      <c r="B93" s="459" t="s">
        <v>805</v>
      </c>
      <c r="C93" s="387" t="s">
        <v>1132</v>
      </c>
      <c r="D93" s="365"/>
      <c r="E93" s="365"/>
      <c r="F93" s="365"/>
      <c r="G93" s="365"/>
      <c r="H93" s="365"/>
      <c r="I93" s="452" t="s">
        <v>1301</v>
      </c>
      <c r="J93" s="363" t="s">
        <v>808</v>
      </c>
      <c r="K93" s="457">
        <f>51963.84-51963.84</f>
        <v>0</v>
      </c>
      <c r="L93" s="476"/>
      <c r="M93" s="445"/>
      <c r="N93" s="365"/>
      <c r="O93" s="1431"/>
    </row>
    <row r="94" spans="1:15" s="366" customFormat="1" ht="18" x14ac:dyDescent="0.35">
      <c r="A94" s="889"/>
      <c r="B94" s="1297" t="s">
        <v>801</v>
      </c>
      <c r="C94" s="1372" t="s">
        <v>1131</v>
      </c>
      <c r="D94" s="890"/>
      <c r="E94" s="890"/>
      <c r="F94" s="890"/>
      <c r="G94" s="890"/>
      <c r="H94" s="890"/>
      <c r="I94" s="1295" t="s">
        <v>1300</v>
      </c>
      <c r="J94" s="363" t="s">
        <v>162</v>
      </c>
      <c r="K94" s="457">
        <f>600000+10000</f>
        <v>610000</v>
      </c>
      <c r="L94" s="476"/>
      <c r="M94" s="424">
        <f>30041.46+9072.51+32340.46+8828.94+38624.73+10544.55+33976.9+10661.72+35118.46+8201.31+38242.77+59610.06+68927.73+20816.17+7544.56+7211.4</f>
        <v>419763.73</v>
      </c>
      <c r="N94" s="365"/>
      <c r="O94" s="1352"/>
    </row>
    <row r="95" spans="1:15" s="366" customFormat="1" ht="18" x14ac:dyDescent="0.35">
      <c r="A95" s="494"/>
      <c r="B95" s="1299"/>
      <c r="C95" s="1348"/>
      <c r="D95" s="890"/>
      <c r="E95" s="890"/>
      <c r="F95" s="890"/>
      <c r="G95" s="890"/>
      <c r="H95" s="890"/>
      <c r="I95" s="1285"/>
      <c r="J95" s="363" t="s">
        <v>586</v>
      </c>
      <c r="K95" s="457"/>
      <c r="L95" s="476"/>
      <c r="M95" s="745"/>
      <c r="N95" s="365"/>
      <c r="O95" s="973"/>
    </row>
    <row r="96" spans="1:15" s="366" customFormat="1" ht="15.6" x14ac:dyDescent="0.3">
      <c r="A96" s="1428"/>
      <c r="B96" s="1297" t="s">
        <v>904</v>
      </c>
      <c r="C96" s="387" t="s">
        <v>1134</v>
      </c>
      <c r="D96" s="388"/>
      <c r="E96" s="388"/>
      <c r="F96" s="388"/>
      <c r="G96" s="388"/>
      <c r="H96" s="388"/>
      <c r="I96" s="389" t="s">
        <v>1328</v>
      </c>
      <c r="J96" s="363"/>
      <c r="K96" s="457">
        <f>K97+K98+K99</f>
        <v>5332603.96</v>
      </c>
      <c r="L96" s="476"/>
      <c r="M96" s="457">
        <f>M97+M98+M99</f>
        <v>3743813.6799999997</v>
      </c>
      <c r="N96" s="365"/>
      <c r="O96" s="1288" t="s">
        <v>1097</v>
      </c>
    </row>
    <row r="97" spans="1:15" s="366" customFormat="1" ht="15.6" x14ac:dyDescent="0.3">
      <c r="A97" s="1429"/>
      <c r="B97" s="1430"/>
      <c r="C97" s="887"/>
      <c r="D97" s="386"/>
      <c r="E97" s="386"/>
      <c r="F97" s="386"/>
      <c r="G97" s="386"/>
      <c r="H97" s="386"/>
      <c r="I97" s="888"/>
      <c r="J97" s="363" t="s">
        <v>162</v>
      </c>
      <c r="K97" s="457">
        <v>5094348.96</v>
      </c>
      <c r="L97" s="476"/>
      <c r="M97" s="424">
        <f>267156.78+80681.33+323666.55+97747.31+286809.24+85408.41+372193.19+370.8+103763+293452.7+87623.72+368354.62+545951.71+242026.78+6525.8+73092.09+312056.18+12392.9+93032.97</f>
        <v>3652306.0799999996</v>
      </c>
      <c r="N97" s="365"/>
      <c r="O97" s="1441"/>
    </row>
    <row r="98" spans="1:15" s="366" customFormat="1" ht="15.6" x14ac:dyDescent="0.3">
      <c r="A98" s="1429"/>
      <c r="B98" s="1430"/>
      <c r="C98" s="887"/>
      <c r="D98" s="362"/>
      <c r="E98" s="362"/>
      <c r="F98" s="362"/>
      <c r="G98" s="362"/>
      <c r="H98" s="362"/>
      <c r="I98" s="888"/>
      <c r="J98" s="363" t="s">
        <v>586</v>
      </c>
      <c r="K98" s="457">
        <f>237874-2000-1000</f>
        <v>234874</v>
      </c>
      <c r="L98" s="476"/>
      <c r="M98" s="424">
        <f>2490+14256+5500+20000+10000+32261.6+4000</f>
        <v>88507.6</v>
      </c>
      <c r="N98" s="365"/>
      <c r="O98" s="1441"/>
    </row>
    <row r="99" spans="1:15" s="366" customFormat="1" ht="15.6" x14ac:dyDescent="0.3">
      <c r="A99" s="1345"/>
      <c r="B99" s="1299"/>
      <c r="C99" s="384"/>
      <c r="D99" s="362"/>
      <c r="E99" s="362"/>
      <c r="F99" s="362"/>
      <c r="G99" s="362"/>
      <c r="H99" s="362"/>
      <c r="I99" s="852"/>
      <c r="J99" s="363" t="s">
        <v>528</v>
      </c>
      <c r="K99" s="457">
        <f>381+2000+1000</f>
        <v>3381</v>
      </c>
      <c r="L99" s="476"/>
      <c r="M99" s="445">
        <f>2000+1000</f>
        <v>3000</v>
      </c>
      <c r="N99" s="365"/>
      <c r="O99" s="1290"/>
    </row>
    <row r="100" spans="1:15" s="366" customFormat="1" ht="18" x14ac:dyDescent="0.35">
      <c r="A100" s="891"/>
      <c r="B100" s="957"/>
      <c r="C100" s="850"/>
      <c r="D100" s="851"/>
      <c r="E100" s="851"/>
      <c r="F100" s="851"/>
      <c r="G100" s="851"/>
      <c r="H100" s="851"/>
      <c r="I100" s="852"/>
      <c r="J100" s="564"/>
      <c r="K100" s="372"/>
      <c r="L100" s="932"/>
      <c r="M100" s="745"/>
      <c r="N100" s="365"/>
      <c r="O100" s="856"/>
    </row>
    <row r="101" spans="1:15" s="366" customFormat="1" ht="31.2" x14ac:dyDescent="0.3">
      <c r="A101" s="1442"/>
      <c r="B101" s="1408" t="s">
        <v>909</v>
      </c>
      <c r="C101" s="855" t="s">
        <v>1411</v>
      </c>
      <c r="D101" s="362"/>
      <c r="E101" s="362"/>
      <c r="F101" s="362"/>
      <c r="G101" s="362"/>
      <c r="H101" s="362"/>
      <c r="I101" s="389" t="s">
        <v>1329</v>
      </c>
      <c r="J101" s="363" t="s">
        <v>586</v>
      </c>
      <c r="K101" s="843">
        <f>200000+257000</f>
        <v>457000</v>
      </c>
      <c r="L101" s="476"/>
      <c r="M101" s="445"/>
      <c r="N101" s="365"/>
      <c r="O101" s="856" t="s">
        <v>151</v>
      </c>
    </row>
    <row r="102" spans="1:15" s="366" customFormat="1" ht="15.6" x14ac:dyDescent="0.3">
      <c r="A102" s="1442"/>
      <c r="B102" s="1408"/>
      <c r="C102" s="853" t="s">
        <v>1134</v>
      </c>
      <c r="D102" s="854"/>
      <c r="E102" s="854"/>
      <c r="F102" s="854"/>
      <c r="G102" s="854"/>
      <c r="H102" s="854"/>
      <c r="I102" s="960" t="s">
        <v>1329</v>
      </c>
      <c r="J102" s="662"/>
      <c r="K102" s="553">
        <f>K103+K104</f>
        <v>3591989.5300000003</v>
      </c>
      <c r="L102" s="933"/>
      <c r="M102" s="553">
        <f>M103+M104</f>
        <v>1547965.59</v>
      </c>
      <c r="N102" s="365"/>
      <c r="O102" s="1288" t="s">
        <v>1097</v>
      </c>
    </row>
    <row r="103" spans="1:15" s="366" customFormat="1" ht="15.6" x14ac:dyDescent="0.3">
      <c r="A103" s="1442"/>
      <c r="B103" s="1408"/>
      <c r="C103" s="1303"/>
      <c r="D103" s="482"/>
      <c r="E103" s="482"/>
      <c r="F103" s="482"/>
      <c r="G103" s="482"/>
      <c r="H103" s="482"/>
      <c r="I103" s="1305"/>
      <c r="J103" s="363" t="s">
        <v>586</v>
      </c>
      <c r="K103" s="650">
        <f>810750.26+771343.92+219062+1472707.35+300000-30000</f>
        <v>3543863.5300000003</v>
      </c>
      <c r="L103" s="476"/>
      <c r="M103" s="424">
        <f>26103.04+260144.02+193989.2+163893.5+435030.02+144610.14+58497.8+68416.08+196431.79</f>
        <v>1547115.59</v>
      </c>
      <c r="N103" s="365"/>
      <c r="O103" s="1317"/>
    </row>
    <row r="104" spans="1:15" s="366" customFormat="1" ht="15.6" x14ac:dyDescent="0.3">
      <c r="A104" s="1442"/>
      <c r="B104" s="1408"/>
      <c r="C104" s="1304"/>
      <c r="D104" s="482"/>
      <c r="E104" s="482"/>
      <c r="F104" s="482"/>
      <c r="G104" s="482"/>
      <c r="H104" s="482"/>
      <c r="I104" s="1306"/>
      <c r="J104" s="363" t="s">
        <v>528</v>
      </c>
      <c r="K104" s="650">
        <f>18126+30000</f>
        <v>48126</v>
      </c>
      <c r="L104" s="476"/>
      <c r="M104" s="445">
        <v>850</v>
      </c>
      <c r="N104" s="365"/>
      <c r="O104" s="1290"/>
    </row>
    <row r="105" spans="1:15" s="474" customFormat="1" ht="15.6" x14ac:dyDescent="0.3">
      <c r="A105" s="1433"/>
      <c r="B105" s="1434" t="s">
        <v>1230</v>
      </c>
      <c r="C105" s="395" t="s">
        <v>1093</v>
      </c>
      <c r="D105" s="475"/>
      <c r="E105" s="475"/>
      <c r="F105" s="475"/>
      <c r="G105" s="475"/>
      <c r="H105" s="475"/>
      <c r="I105" s="397" t="s">
        <v>1226</v>
      </c>
      <c r="J105" s="371"/>
      <c r="K105" s="372">
        <f>K106+K107+K108</f>
        <v>28501970.560000002</v>
      </c>
      <c r="L105" s="476"/>
      <c r="M105" s="372">
        <f>M106+M107+M108</f>
        <v>20671747.540000003</v>
      </c>
      <c r="N105" s="476"/>
      <c r="O105" s="1280" t="s">
        <v>151</v>
      </c>
    </row>
    <row r="106" spans="1:15" s="474" customFormat="1" ht="15.6" x14ac:dyDescent="0.3">
      <c r="A106" s="1433"/>
      <c r="B106" s="1434"/>
      <c r="C106" s="892"/>
      <c r="D106" s="517"/>
      <c r="E106" s="517"/>
      <c r="F106" s="517"/>
      <c r="G106" s="517"/>
      <c r="H106" s="517"/>
      <c r="I106" s="893"/>
      <c r="J106" s="371" t="s">
        <v>162</v>
      </c>
      <c r="K106" s="372">
        <f>24557419.37-365566-80593.54</f>
        <v>24111259.830000002</v>
      </c>
      <c r="L106" s="476"/>
      <c r="M106" s="424">
        <f>1217872.51+88843.54+627345.62+1042801.37+36724.5+434017.63+1452587.28+18150+467538.72+1868313.96+17423.5+199936.57+1685104.01-72964.54+667346.52+2026170.98+2707229+1213020.31+5719.4+384756.79+608037.09+48655.2+1526188.87</f>
        <v>18270818.830000002</v>
      </c>
      <c r="N106" s="476"/>
      <c r="O106" s="1435"/>
    </row>
    <row r="107" spans="1:15" s="474" customFormat="1" ht="15.6" x14ac:dyDescent="0.3">
      <c r="A107" s="1433"/>
      <c r="B107" s="1434"/>
      <c r="C107" s="892"/>
      <c r="D107" s="518"/>
      <c r="E107" s="518"/>
      <c r="F107" s="518"/>
      <c r="G107" s="518"/>
      <c r="H107" s="518"/>
      <c r="I107" s="893"/>
      <c r="J107" s="371" t="s">
        <v>586</v>
      </c>
      <c r="K107" s="372">
        <f>3678500+365566+80593.54</f>
        <v>4124659.54</v>
      </c>
      <c r="L107" s="476"/>
      <c r="M107" s="424">
        <f>101785.52+235044.2+480428.05+313585.37+311743.82+225066.21+183478.32+428902.15+91332.07</f>
        <v>2371365.71</v>
      </c>
      <c r="N107" s="476"/>
      <c r="O107" s="1435"/>
    </row>
    <row r="108" spans="1:15" s="474" customFormat="1" ht="15.6" x14ac:dyDescent="0.3">
      <c r="A108" s="1359"/>
      <c r="B108" s="1362"/>
      <c r="C108" s="392"/>
      <c r="D108" s="518"/>
      <c r="E108" s="518"/>
      <c r="F108" s="518"/>
      <c r="G108" s="518"/>
      <c r="H108" s="518"/>
      <c r="I108" s="393"/>
      <c r="J108" s="371" t="s">
        <v>528</v>
      </c>
      <c r="K108" s="372">
        <v>266051.19</v>
      </c>
      <c r="L108" s="476"/>
      <c r="M108" s="445">
        <f>3197+6613+19753</f>
        <v>29563</v>
      </c>
      <c r="N108" s="476"/>
      <c r="O108" s="1435"/>
    </row>
    <row r="109" spans="1:15" s="474" customFormat="1" ht="15.6" x14ac:dyDescent="0.3">
      <c r="A109" s="1436"/>
      <c r="B109" s="1437" t="s">
        <v>1383</v>
      </c>
      <c r="C109" s="958" t="s">
        <v>1134</v>
      </c>
      <c r="D109" s="518"/>
      <c r="E109" s="518"/>
      <c r="F109" s="518"/>
      <c r="G109" s="518"/>
      <c r="H109" s="518"/>
      <c r="I109" s="1439" t="s">
        <v>1384</v>
      </c>
      <c r="J109" s="371" t="s">
        <v>586</v>
      </c>
      <c r="K109" s="372"/>
      <c r="L109" s="476"/>
      <c r="M109" s="445"/>
      <c r="N109" s="476"/>
      <c r="O109" s="1435"/>
    </row>
    <row r="110" spans="1:15" s="474" customFormat="1" ht="15.6" x14ac:dyDescent="0.3">
      <c r="A110" s="1359"/>
      <c r="B110" s="1438"/>
      <c r="C110" s="958" t="s">
        <v>1130</v>
      </c>
      <c r="D110" s="518"/>
      <c r="E110" s="518"/>
      <c r="F110" s="518"/>
      <c r="G110" s="518"/>
      <c r="H110" s="518"/>
      <c r="I110" s="1440"/>
      <c r="J110" s="371" t="s">
        <v>528</v>
      </c>
      <c r="K110" s="372">
        <f>494846.92+10000+100000</f>
        <v>604846.91999999993</v>
      </c>
      <c r="L110" s="476"/>
      <c r="M110" s="445">
        <f>6000+304037.52+120048.92+1458.05</f>
        <v>431544.49</v>
      </c>
      <c r="N110" s="476"/>
      <c r="O110" s="1435"/>
    </row>
    <row r="111" spans="1:15" s="474" customFormat="1" ht="31.2" x14ac:dyDescent="0.3">
      <c r="A111" s="708"/>
      <c r="B111" s="709" t="s">
        <v>1353</v>
      </c>
      <c r="C111" s="395" t="s">
        <v>1130</v>
      </c>
      <c r="D111" s="475"/>
      <c r="E111" s="475"/>
      <c r="F111" s="475"/>
      <c r="G111" s="475"/>
      <c r="H111" s="475"/>
      <c r="I111" s="397" t="s">
        <v>1354</v>
      </c>
      <c r="J111" s="371" t="s">
        <v>528</v>
      </c>
      <c r="K111" s="372">
        <v>400000</v>
      </c>
      <c r="L111" s="476"/>
      <c r="M111" s="445">
        <v>320747.28000000003</v>
      </c>
      <c r="N111" s="476"/>
      <c r="O111" s="1435"/>
    </row>
    <row r="112" spans="1:15" s="366" customFormat="1" ht="46.8" x14ac:dyDescent="0.3">
      <c r="A112" s="388"/>
      <c r="B112" s="459" t="s">
        <v>610</v>
      </c>
      <c r="C112" s="387" t="s">
        <v>1130</v>
      </c>
      <c r="D112" s="365"/>
      <c r="E112" s="365"/>
      <c r="F112" s="365"/>
      <c r="G112" s="365"/>
      <c r="H112" s="365"/>
      <c r="I112" s="452" t="s">
        <v>1233</v>
      </c>
      <c r="J112" s="363" t="s">
        <v>613</v>
      </c>
      <c r="K112" s="464">
        <f>11822578.16+2851340.67</f>
        <v>14673918.83</v>
      </c>
      <c r="L112" s="476"/>
      <c r="M112" s="424">
        <f>582207.78+1087559.96+1228848.09+1469746.84+1031323.13+1145567.72+1672440.16+1232477.82+845373.83</f>
        <v>10295545.33</v>
      </c>
      <c r="N112" s="365"/>
      <c r="O112" s="1435"/>
    </row>
    <row r="113" spans="1:15" s="366" customFormat="1" ht="15.6" hidden="1" x14ac:dyDescent="0.3">
      <c r="A113" s="388"/>
      <c r="B113" s="459" t="s">
        <v>1174</v>
      </c>
      <c r="C113" s="387" t="s">
        <v>1130</v>
      </c>
      <c r="D113" s="365"/>
      <c r="E113" s="365"/>
      <c r="F113" s="365"/>
      <c r="G113" s="365"/>
      <c r="H113" s="365"/>
      <c r="I113" s="452" t="s">
        <v>1175</v>
      </c>
      <c r="J113" s="363" t="s">
        <v>528</v>
      </c>
      <c r="K113" s="457"/>
      <c r="L113" s="476"/>
      <c r="M113" s="445"/>
      <c r="N113" s="365"/>
      <c r="O113" s="1435"/>
    </row>
    <row r="114" spans="1:15" s="474" customFormat="1" ht="15.6" x14ac:dyDescent="0.3">
      <c r="A114" s="475"/>
      <c r="B114" s="423" t="s">
        <v>604</v>
      </c>
      <c r="C114" s="395" t="s">
        <v>1129</v>
      </c>
      <c r="D114" s="476"/>
      <c r="E114" s="476"/>
      <c r="F114" s="476"/>
      <c r="G114" s="476"/>
      <c r="H114" s="476"/>
      <c r="I114" s="477" t="s">
        <v>1229</v>
      </c>
      <c r="J114" s="371" t="s">
        <v>528</v>
      </c>
      <c r="K114" s="457">
        <v>334218</v>
      </c>
      <c r="L114" s="476"/>
      <c r="M114" s="445"/>
      <c r="N114" s="476"/>
      <c r="O114" s="1435"/>
    </row>
    <row r="115" spans="1:15" s="366" customFormat="1" ht="31.2" x14ac:dyDescent="0.3">
      <c r="A115" s="388"/>
      <c r="B115" s="459" t="s">
        <v>771</v>
      </c>
      <c r="C115" s="387" t="s">
        <v>1111</v>
      </c>
      <c r="D115" s="365"/>
      <c r="E115" s="365"/>
      <c r="F115" s="365"/>
      <c r="G115" s="365"/>
      <c r="H115" s="365"/>
      <c r="I115" s="452" t="s">
        <v>1290</v>
      </c>
      <c r="J115" s="363" t="s">
        <v>586</v>
      </c>
      <c r="K115" s="457">
        <v>50000</v>
      </c>
      <c r="L115" s="476"/>
      <c r="M115" s="445"/>
      <c r="N115" s="365"/>
      <c r="O115" s="1435"/>
    </row>
    <row r="116" spans="1:15" s="366" customFormat="1" ht="62.4" hidden="1" x14ac:dyDescent="0.3">
      <c r="A116" s="388"/>
      <c r="B116" s="483" t="s">
        <v>1187</v>
      </c>
      <c r="C116" s="387" t="s">
        <v>1161</v>
      </c>
      <c r="D116" s="365"/>
      <c r="E116" s="365"/>
      <c r="F116" s="365"/>
      <c r="G116" s="365"/>
      <c r="H116" s="365"/>
      <c r="I116" s="452" t="s">
        <v>1162</v>
      </c>
      <c r="J116" s="363" t="s">
        <v>528</v>
      </c>
      <c r="K116" s="372"/>
      <c r="L116" s="476"/>
      <c r="M116" s="445"/>
      <c r="N116" s="365"/>
      <c r="O116" s="1283"/>
    </row>
    <row r="117" spans="1:15" s="366" customFormat="1" ht="62.4" hidden="1" x14ac:dyDescent="0.3">
      <c r="A117" s="388"/>
      <c r="B117" s="423" t="s">
        <v>1188</v>
      </c>
      <c r="C117" s="387" t="s">
        <v>1185</v>
      </c>
      <c r="D117" s="365"/>
      <c r="E117" s="365"/>
      <c r="F117" s="365"/>
      <c r="G117" s="365"/>
      <c r="H117" s="365"/>
      <c r="I117" s="484" t="s">
        <v>1186</v>
      </c>
      <c r="J117" s="389" t="s">
        <v>528</v>
      </c>
      <c r="K117" s="559"/>
      <c r="L117" s="476"/>
      <c r="M117" s="661"/>
      <c r="N117" s="365"/>
      <c r="O117" s="953" t="s">
        <v>968</v>
      </c>
    </row>
    <row r="118" spans="1:15" s="366" customFormat="1" ht="72" x14ac:dyDescent="0.35">
      <c r="A118" s="425">
        <v>11</v>
      </c>
      <c r="B118" s="435" t="s">
        <v>563</v>
      </c>
      <c r="C118" s="428"/>
      <c r="D118" s="428"/>
      <c r="E118" s="428"/>
      <c r="F118" s="428"/>
      <c r="G118" s="428"/>
      <c r="H118" s="428"/>
      <c r="I118" s="429" t="s">
        <v>1346</v>
      </c>
      <c r="J118" s="430"/>
      <c r="K118" s="473">
        <f>K119+K120+K121+K122+K123+K124+K126+K127+K125</f>
        <v>4205249.99</v>
      </c>
      <c r="L118" s="568"/>
      <c r="M118" s="473">
        <f>M119+M120+M121+M122+M123+M124+M126+M127+M125</f>
        <v>1699340.0399999998</v>
      </c>
      <c r="N118" s="428"/>
      <c r="O118" s="432" t="s">
        <v>1147</v>
      </c>
    </row>
    <row r="119" spans="1:15" s="366" customFormat="1" ht="46.8" x14ac:dyDescent="0.35">
      <c r="A119" s="425"/>
      <c r="B119" s="459" t="s">
        <v>618</v>
      </c>
      <c r="C119" s="387" t="s">
        <v>1137</v>
      </c>
      <c r="D119" s="428"/>
      <c r="E119" s="428"/>
      <c r="F119" s="428"/>
      <c r="G119" s="428"/>
      <c r="H119" s="428"/>
      <c r="I119" s="452" t="s">
        <v>1235</v>
      </c>
      <c r="J119" s="363" t="s">
        <v>586</v>
      </c>
      <c r="K119" s="464">
        <f>515000-250000-100000</f>
        <v>165000</v>
      </c>
      <c r="L119" s="568"/>
      <c r="M119" s="941">
        <f>30000-25141+5000-500+19092</f>
        <v>28451</v>
      </c>
      <c r="N119" s="428"/>
      <c r="O119" s="1288" t="s">
        <v>151</v>
      </c>
    </row>
    <row r="120" spans="1:15" s="366" customFormat="1" ht="18" x14ac:dyDescent="0.35">
      <c r="A120" s="425"/>
      <c r="B120" s="459" t="s">
        <v>621</v>
      </c>
      <c r="C120" s="387" t="s">
        <v>1137</v>
      </c>
      <c r="D120" s="428"/>
      <c r="E120" s="428"/>
      <c r="F120" s="428"/>
      <c r="G120" s="428"/>
      <c r="H120" s="428"/>
      <c r="I120" s="452" t="s">
        <v>1236</v>
      </c>
      <c r="J120" s="363" t="s">
        <v>586</v>
      </c>
      <c r="K120" s="457">
        <f>212500+250000</f>
        <v>462500</v>
      </c>
      <c r="L120" s="568"/>
      <c r="M120" s="569">
        <v>20531.04</v>
      </c>
      <c r="N120" s="428"/>
      <c r="O120" s="1454"/>
    </row>
    <row r="121" spans="1:15" s="366" customFormat="1" ht="31.2" x14ac:dyDescent="0.35">
      <c r="A121" s="425"/>
      <c r="B121" s="459" t="s">
        <v>731</v>
      </c>
      <c r="C121" s="387" t="s">
        <v>1107</v>
      </c>
      <c r="D121" s="428"/>
      <c r="E121" s="428"/>
      <c r="F121" s="428"/>
      <c r="G121" s="428"/>
      <c r="H121" s="428"/>
      <c r="I121" s="452" t="s">
        <v>1274</v>
      </c>
      <c r="J121" s="363" t="s">
        <v>586</v>
      </c>
      <c r="K121" s="464">
        <f>50000-50000</f>
        <v>0</v>
      </c>
      <c r="L121" s="568"/>
      <c r="M121" s="569"/>
      <c r="N121" s="428"/>
      <c r="O121" s="1454"/>
    </row>
    <row r="122" spans="1:15" s="515" customFormat="1" ht="31.2" x14ac:dyDescent="0.35">
      <c r="A122" s="567"/>
      <c r="B122" s="423" t="s">
        <v>736</v>
      </c>
      <c r="C122" s="395" t="s">
        <v>1107</v>
      </c>
      <c r="D122" s="568"/>
      <c r="E122" s="568"/>
      <c r="F122" s="568"/>
      <c r="G122" s="568"/>
      <c r="H122" s="568"/>
      <c r="I122" s="477" t="s">
        <v>1275</v>
      </c>
      <c r="J122" s="371" t="s">
        <v>586</v>
      </c>
      <c r="K122" s="464">
        <f>53000-53000</f>
        <v>0</v>
      </c>
      <c r="L122" s="568"/>
      <c r="M122" s="569"/>
      <c r="N122" s="570"/>
      <c r="O122" s="1290"/>
    </row>
    <row r="123" spans="1:15" s="366" customFormat="1" ht="31.2" x14ac:dyDescent="0.35">
      <c r="A123" s="425"/>
      <c r="B123" s="459" t="s">
        <v>834</v>
      </c>
      <c r="C123" s="387" t="s">
        <v>1105</v>
      </c>
      <c r="D123" s="428"/>
      <c r="E123" s="428"/>
      <c r="F123" s="428"/>
      <c r="G123" s="428"/>
      <c r="H123" s="428"/>
      <c r="I123" s="452" t="s">
        <v>1308</v>
      </c>
      <c r="J123" s="363" t="s">
        <v>613</v>
      </c>
      <c r="K123" s="464">
        <f>1650000-600000</f>
        <v>1050000</v>
      </c>
      <c r="L123" s="568"/>
      <c r="M123" s="569">
        <v>102182.2</v>
      </c>
      <c r="N123" s="428"/>
      <c r="O123" s="1291" t="s">
        <v>968</v>
      </c>
    </row>
    <row r="124" spans="1:15" s="366" customFormat="1" ht="18" x14ac:dyDescent="0.35">
      <c r="A124" s="425"/>
      <c r="B124" s="1293" t="s">
        <v>831</v>
      </c>
      <c r="C124" s="387" t="s">
        <v>1105</v>
      </c>
      <c r="D124" s="428"/>
      <c r="E124" s="428"/>
      <c r="F124" s="428"/>
      <c r="G124" s="428"/>
      <c r="H124" s="428"/>
      <c r="I124" s="1295" t="s">
        <v>1307</v>
      </c>
      <c r="J124" s="363" t="s">
        <v>613</v>
      </c>
      <c r="K124" s="464">
        <f>300000-300000</f>
        <v>0</v>
      </c>
      <c r="L124" s="568"/>
      <c r="M124" s="569"/>
      <c r="N124" s="428"/>
      <c r="O124" s="1292"/>
    </row>
    <row r="125" spans="1:15" s="366" customFormat="1" ht="18" x14ac:dyDescent="0.35">
      <c r="A125" s="425"/>
      <c r="B125" s="1294"/>
      <c r="C125" s="387" t="s">
        <v>1142</v>
      </c>
      <c r="D125" s="428"/>
      <c r="E125" s="428"/>
      <c r="F125" s="428"/>
      <c r="G125" s="428"/>
      <c r="H125" s="428"/>
      <c r="I125" s="1296"/>
      <c r="J125" s="363" t="s">
        <v>613</v>
      </c>
      <c r="K125" s="372"/>
      <c r="L125" s="568"/>
      <c r="M125" s="569"/>
      <c r="N125" s="428"/>
      <c r="O125" s="956"/>
    </row>
    <row r="126" spans="1:15" s="366" customFormat="1" ht="31.2" x14ac:dyDescent="0.35">
      <c r="A126" s="425"/>
      <c r="B126" s="459" t="s">
        <v>912</v>
      </c>
      <c r="C126" s="387" t="s">
        <v>1138</v>
      </c>
      <c r="D126" s="428"/>
      <c r="E126" s="428"/>
      <c r="F126" s="428"/>
      <c r="G126" s="428"/>
      <c r="H126" s="428"/>
      <c r="I126" s="452" t="s">
        <v>1421</v>
      </c>
      <c r="J126" s="363" t="s">
        <v>613</v>
      </c>
      <c r="K126" s="372">
        <v>2497749.9900000002</v>
      </c>
      <c r="L126" s="568"/>
      <c r="M126" s="941">
        <f>156868.34+144625.25+188115.22+194249.18+207874.54+133937.95+184909.36+164178.67+150574.29</f>
        <v>1525332.7999999998</v>
      </c>
      <c r="N126" s="428"/>
      <c r="O126" s="495" t="s">
        <v>1097</v>
      </c>
    </row>
    <row r="127" spans="1:15" s="366" customFormat="1" ht="46.8" x14ac:dyDescent="0.35">
      <c r="A127" s="425"/>
      <c r="B127" s="521" t="s">
        <v>1198</v>
      </c>
      <c r="C127" s="387" t="s">
        <v>1107</v>
      </c>
      <c r="D127" s="428"/>
      <c r="E127" s="428"/>
      <c r="F127" s="428"/>
      <c r="G127" s="428"/>
      <c r="H127" s="428"/>
      <c r="I127" s="484" t="s">
        <v>1276</v>
      </c>
      <c r="J127" s="389" t="s">
        <v>586</v>
      </c>
      <c r="K127" s="559">
        <v>30000</v>
      </c>
      <c r="L127" s="568"/>
      <c r="M127" s="554">
        <v>22843</v>
      </c>
      <c r="N127" s="428"/>
      <c r="O127" s="495"/>
    </row>
    <row r="128" spans="1:15" s="366" customFormat="1" ht="52.8" x14ac:dyDescent="0.35">
      <c r="A128" s="425">
        <v>12</v>
      </c>
      <c r="B128" s="435" t="s">
        <v>558</v>
      </c>
      <c r="C128" s="428"/>
      <c r="D128" s="428"/>
      <c r="E128" s="428"/>
      <c r="F128" s="428"/>
      <c r="G128" s="428"/>
      <c r="H128" s="428"/>
      <c r="I128" s="429" t="s">
        <v>1347</v>
      </c>
      <c r="J128" s="430"/>
      <c r="K128" s="473">
        <f>K129+K130+K131+K132+K133+K134+K135+K136+K137+K138+K139+K142+K143+K144+K145+K149+K153+K141+K140</f>
        <v>208242354.47000003</v>
      </c>
      <c r="L128" s="568"/>
      <c r="M128" s="473">
        <f>M129+M130+M131+M132+M133+M134+M135+M136+M137+M138+M139+M142+M143+M144+M145+M149+M153+M141+M140</f>
        <v>124845151.94999997</v>
      </c>
      <c r="N128" s="428"/>
      <c r="O128" s="432" t="s">
        <v>1147</v>
      </c>
    </row>
    <row r="129" spans="1:15" s="366" customFormat="1" ht="18" hidden="1" x14ac:dyDescent="0.35">
      <c r="A129" s="425"/>
      <c r="B129" s="423" t="s">
        <v>1153</v>
      </c>
      <c r="C129" s="387" t="s">
        <v>1139</v>
      </c>
      <c r="D129" s="428"/>
      <c r="E129" s="428"/>
      <c r="F129" s="428"/>
      <c r="G129" s="428"/>
      <c r="H129" s="428"/>
      <c r="I129" s="452" t="s">
        <v>818</v>
      </c>
      <c r="J129" s="363" t="s">
        <v>586</v>
      </c>
      <c r="K129" s="457">
        <v>0</v>
      </c>
      <c r="L129" s="568"/>
      <c r="M129" s="569"/>
      <c r="N129" s="428"/>
      <c r="O129" s="1288" t="s">
        <v>151</v>
      </c>
    </row>
    <row r="130" spans="1:15" s="366" customFormat="1" ht="18" x14ac:dyDescent="0.35">
      <c r="A130" s="425"/>
      <c r="B130" s="459" t="s">
        <v>725</v>
      </c>
      <c r="C130" s="387" t="s">
        <v>1140</v>
      </c>
      <c r="D130" s="428"/>
      <c r="E130" s="428"/>
      <c r="F130" s="428"/>
      <c r="G130" s="428"/>
      <c r="H130" s="428"/>
      <c r="I130" s="452" t="s">
        <v>1272</v>
      </c>
      <c r="J130" s="363" t="s">
        <v>586</v>
      </c>
      <c r="K130" s="457">
        <v>8000000</v>
      </c>
      <c r="L130" s="568"/>
      <c r="M130" s="569"/>
      <c r="N130" s="428"/>
      <c r="O130" s="1454"/>
    </row>
    <row r="131" spans="1:15" s="366" customFormat="1" ht="31.2" x14ac:dyDescent="0.35">
      <c r="A131" s="425"/>
      <c r="B131" s="459" t="s">
        <v>1278</v>
      </c>
      <c r="C131" s="387" t="s">
        <v>1107</v>
      </c>
      <c r="D131" s="428"/>
      <c r="E131" s="428"/>
      <c r="F131" s="428"/>
      <c r="G131" s="428"/>
      <c r="H131" s="428"/>
      <c r="I131" s="452" t="s">
        <v>1277</v>
      </c>
      <c r="J131" s="363" t="s">
        <v>586</v>
      </c>
      <c r="K131" s="457">
        <f>114734.4+167128.87+82871.13</f>
        <v>364734.4</v>
      </c>
      <c r="L131" s="568"/>
      <c r="M131" s="941">
        <f>1100+10234+53656.71+9000+36200+22007.39+11200+77620.52</f>
        <v>221018.62</v>
      </c>
      <c r="N131" s="428"/>
      <c r="O131" s="1290"/>
    </row>
    <row r="132" spans="1:15" s="366" customFormat="1" ht="31.2" x14ac:dyDescent="0.35">
      <c r="A132" s="425"/>
      <c r="B132" s="459" t="s">
        <v>915</v>
      </c>
      <c r="C132" s="387" t="s">
        <v>1146</v>
      </c>
      <c r="D132" s="428"/>
      <c r="E132" s="428"/>
      <c r="F132" s="428"/>
      <c r="G132" s="428"/>
      <c r="H132" s="428"/>
      <c r="I132" s="452" t="s">
        <v>1331</v>
      </c>
      <c r="J132" s="363" t="s">
        <v>613</v>
      </c>
      <c r="K132" s="457">
        <v>7636834.5599999996</v>
      </c>
      <c r="L132" s="568"/>
      <c r="M132" s="941">
        <f>363230.85+492151.88+489303.4+384974.99+579918.09+351555.26+109310.48+95389.44+243833.74</f>
        <v>3109668.13</v>
      </c>
      <c r="N132" s="428"/>
      <c r="O132" s="955" t="s">
        <v>1097</v>
      </c>
    </row>
    <row r="133" spans="1:15" s="366" customFormat="1" ht="18" x14ac:dyDescent="0.35">
      <c r="A133" s="425"/>
      <c r="B133" s="459" t="s">
        <v>817</v>
      </c>
      <c r="C133" s="387" t="s">
        <v>1142</v>
      </c>
      <c r="D133" s="428"/>
      <c r="E133" s="428"/>
      <c r="F133" s="428"/>
      <c r="G133" s="428"/>
      <c r="H133" s="428"/>
      <c r="I133" s="452" t="s">
        <v>1304</v>
      </c>
      <c r="J133" s="363" t="s">
        <v>613</v>
      </c>
      <c r="K133" s="464">
        <f>3282185.35+8200000</f>
        <v>11482185.35</v>
      </c>
      <c r="L133" s="568"/>
      <c r="M133" s="941">
        <f>585817.49+80129.95+50000+99000+28788+34320+428496.66+658353.26+38351.62+111484+141153.77</f>
        <v>2255894.75</v>
      </c>
      <c r="N133" s="428"/>
      <c r="O133" s="1288" t="s">
        <v>968</v>
      </c>
    </row>
    <row r="134" spans="1:15" s="366" customFormat="1" ht="31.2" x14ac:dyDescent="0.35">
      <c r="A134" s="425"/>
      <c r="B134" s="459" t="s">
        <v>814</v>
      </c>
      <c r="C134" s="387" t="s">
        <v>1142</v>
      </c>
      <c r="D134" s="428"/>
      <c r="E134" s="428"/>
      <c r="F134" s="428"/>
      <c r="G134" s="428"/>
      <c r="H134" s="428"/>
      <c r="I134" s="452" t="s">
        <v>1303</v>
      </c>
      <c r="J134" s="363" t="s">
        <v>613</v>
      </c>
      <c r="K134" s="464">
        <f>34085991.49+3149000+14433000+1500000-1500000+68250+28437.5</f>
        <v>51764678.990000002</v>
      </c>
      <c r="L134" s="568"/>
      <c r="M134" s="941">
        <f>2356160.12+452255.67+3660357.99+873532.27+21680+65980+4123273.33+883777.74+3586455.13+32990+710340.32+10840+3262742.11+26482.5+604256.74+10840+3477644.88+3290226.26+2350102.51+28482.5+577377.86+10840+2481480.7+26482.5+408573.45+10840</f>
        <v>33344014.579999991</v>
      </c>
      <c r="N134" s="428"/>
      <c r="O134" s="1454"/>
    </row>
    <row r="135" spans="1:15" s="366" customFormat="1" ht="31.2" x14ac:dyDescent="0.35">
      <c r="A135" s="425"/>
      <c r="B135" s="459" t="s">
        <v>837</v>
      </c>
      <c r="C135" s="387" t="s">
        <v>1105</v>
      </c>
      <c r="D135" s="428"/>
      <c r="E135" s="428"/>
      <c r="F135" s="428"/>
      <c r="G135" s="428"/>
      <c r="H135" s="428"/>
      <c r="I135" s="452" t="s">
        <v>1309</v>
      </c>
      <c r="J135" s="363" t="s">
        <v>613</v>
      </c>
      <c r="K135" s="464">
        <f>95155748.66+5078000-14769460.99-500000+500000-1606687.5</f>
        <v>83857600.170000002</v>
      </c>
      <c r="L135" s="568"/>
      <c r="M135" s="941">
        <f>4290134.18+215001.81+6724002.5+346703.2+245656.77+23755+8882268.11+288534.14+6866405.26+180487+233607.5+11877.5+5549070.62+172487+196307.64+11877.5+4720390.26+4403226.67+3892303.24+168487+137633.55+11877.5+3392806.53+166487+244046.56+11877.5</f>
        <v>51387311.539999999</v>
      </c>
      <c r="N135" s="428"/>
      <c r="O135" s="1454"/>
    </row>
    <row r="136" spans="1:15" s="366" customFormat="1" ht="31.2" x14ac:dyDescent="0.35">
      <c r="A136" s="425"/>
      <c r="B136" s="459" t="s">
        <v>840</v>
      </c>
      <c r="C136" s="387" t="s">
        <v>1105</v>
      </c>
      <c r="D136" s="428"/>
      <c r="E136" s="428"/>
      <c r="F136" s="428"/>
      <c r="G136" s="428"/>
      <c r="H136" s="428"/>
      <c r="I136" s="452" t="s">
        <v>1310</v>
      </c>
      <c r="J136" s="363" t="s">
        <v>613</v>
      </c>
      <c r="K136" s="457">
        <f>6355514.52+25000-1001029.83</f>
        <v>5379484.6899999995</v>
      </c>
      <c r="L136" s="568"/>
      <c r="M136" s="941">
        <f>588256.75+563774.2+525742.9+562037.94+1160756.67+98257.09+266848.78+67029.97+514141.86</f>
        <v>4346846.16</v>
      </c>
      <c r="N136" s="428"/>
      <c r="O136" s="1454"/>
    </row>
    <row r="137" spans="1:15" s="366" customFormat="1" ht="18" x14ac:dyDescent="0.35">
      <c r="A137" s="425"/>
      <c r="B137" s="459" t="s">
        <v>725</v>
      </c>
      <c r="C137" s="387" t="s">
        <v>1105</v>
      </c>
      <c r="D137" s="428"/>
      <c r="E137" s="428"/>
      <c r="F137" s="428"/>
      <c r="G137" s="428"/>
      <c r="H137" s="428"/>
      <c r="I137" s="452" t="s">
        <v>1272</v>
      </c>
      <c r="J137" s="363" t="s">
        <v>613</v>
      </c>
      <c r="K137" s="464">
        <f>17174500+1467814.65-500000-1500000-5499600</f>
        <v>11142714.649999999</v>
      </c>
      <c r="L137" s="568"/>
      <c r="M137" s="941">
        <f>2307366.72+54716.15+53834+411162.21+250477+1245413.01+1771690.14+1798610.19+2057112.68</f>
        <v>9950382.0999999996</v>
      </c>
      <c r="N137" s="428"/>
      <c r="O137" s="1454"/>
    </row>
    <row r="138" spans="1:15" s="366" customFormat="1" ht="15.6" x14ac:dyDescent="0.3">
      <c r="A138" s="388"/>
      <c r="B138" s="459" t="s">
        <v>844</v>
      </c>
      <c r="C138" s="387" t="s">
        <v>1105</v>
      </c>
      <c r="D138" s="365"/>
      <c r="E138" s="365"/>
      <c r="F138" s="365"/>
      <c r="G138" s="365"/>
      <c r="H138" s="365"/>
      <c r="I138" s="452" t="s">
        <v>1311</v>
      </c>
      <c r="J138" s="363" t="s">
        <v>613</v>
      </c>
      <c r="K138" s="464">
        <f>483000-15016</f>
        <v>467984</v>
      </c>
      <c r="L138" s="476"/>
      <c r="M138" s="569">
        <f>36608.7+1260.6</f>
        <v>37869.299999999996</v>
      </c>
      <c r="N138" s="365"/>
      <c r="O138" s="1454"/>
    </row>
    <row r="139" spans="1:15" s="366" customFormat="1" ht="46.8" x14ac:dyDescent="0.3">
      <c r="A139" s="388"/>
      <c r="B139" s="459" t="s">
        <v>847</v>
      </c>
      <c r="C139" s="387" t="s">
        <v>1105</v>
      </c>
      <c r="D139" s="365"/>
      <c r="E139" s="365"/>
      <c r="F139" s="365"/>
      <c r="G139" s="365"/>
      <c r="H139" s="365"/>
      <c r="I139" s="452" t="s">
        <v>1312</v>
      </c>
      <c r="J139" s="363" t="s">
        <v>613</v>
      </c>
      <c r="K139" s="457">
        <v>50000</v>
      </c>
      <c r="L139" s="476"/>
      <c r="M139" s="569"/>
      <c r="N139" s="365"/>
      <c r="O139" s="1454"/>
    </row>
    <row r="140" spans="1:15" s="366" customFormat="1" ht="15.6" x14ac:dyDescent="0.3">
      <c r="A140" s="1443"/>
      <c r="B140" s="1297" t="s">
        <v>864</v>
      </c>
      <c r="C140" s="1303" t="s">
        <v>1143</v>
      </c>
      <c r="D140" s="365"/>
      <c r="E140" s="365"/>
      <c r="F140" s="365"/>
      <c r="G140" s="365"/>
      <c r="H140" s="365"/>
      <c r="I140" s="1355" t="s">
        <v>1317</v>
      </c>
      <c r="J140" s="363" t="s">
        <v>586</v>
      </c>
      <c r="K140" s="464">
        <f>100000+5000</f>
        <v>105000</v>
      </c>
      <c r="L140" s="476"/>
      <c r="M140" s="569">
        <f>24500+7000+73500</f>
        <v>105000</v>
      </c>
      <c r="N140" s="365"/>
      <c r="O140" s="1454"/>
    </row>
    <row r="141" spans="1:15" s="366" customFormat="1" ht="15.6" x14ac:dyDescent="0.3">
      <c r="A141" s="1444"/>
      <c r="B141" s="1445"/>
      <c r="C141" s="1446"/>
      <c r="D141" s="365"/>
      <c r="E141" s="365"/>
      <c r="F141" s="365"/>
      <c r="G141" s="365"/>
      <c r="H141" s="365"/>
      <c r="I141" s="1447"/>
      <c r="J141" s="363" t="s">
        <v>764</v>
      </c>
      <c r="K141" s="457"/>
      <c r="L141" s="476"/>
      <c r="M141" s="569"/>
      <c r="N141" s="365"/>
      <c r="O141" s="1317"/>
    </row>
    <row r="142" spans="1:15" s="366" customFormat="1" ht="15.6" x14ac:dyDescent="0.3">
      <c r="A142" s="1308"/>
      <c r="B142" s="1299"/>
      <c r="C142" s="1304"/>
      <c r="D142" s="365"/>
      <c r="E142" s="365"/>
      <c r="F142" s="365"/>
      <c r="G142" s="365"/>
      <c r="H142" s="365"/>
      <c r="I142" s="1356"/>
      <c r="J142" s="363" t="s">
        <v>613</v>
      </c>
      <c r="K142" s="464">
        <f>1900000+500000-5000</f>
        <v>2395000</v>
      </c>
      <c r="L142" s="476"/>
      <c r="M142" s="941">
        <f>405934.4+14760+30982.8+707149.6+842145.33+186638+106832</f>
        <v>2294442.13</v>
      </c>
      <c r="N142" s="365"/>
      <c r="O142" s="1317"/>
    </row>
    <row r="143" spans="1:15" s="366" customFormat="1" ht="31.2" x14ac:dyDescent="0.3">
      <c r="A143" s="388"/>
      <c r="B143" s="459" t="s">
        <v>867</v>
      </c>
      <c r="C143" s="387" t="s">
        <v>1143</v>
      </c>
      <c r="D143" s="365"/>
      <c r="E143" s="365"/>
      <c r="F143" s="365"/>
      <c r="G143" s="365"/>
      <c r="H143" s="365"/>
      <c r="I143" s="452" t="s">
        <v>1318</v>
      </c>
      <c r="J143" s="363" t="s">
        <v>613</v>
      </c>
      <c r="K143" s="457">
        <f>100000-100000</f>
        <v>0</v>
      </c>
      <c r="L143" s="476"/>
      <c r="M143" s="569"/>
      <c r="N143" s="365"/>
      <c r="O143" s="1317"/>
    </row>
    <row r="144" spans="1:15" s="366" customFormat="1" ht="15.6" hidden="1" x14ac:dyDescent="0.3">
      <c r="A144" s="388"/>
      <c r="B144" s="459" t="s">
        <v>870</v>
      </c>
      <c r="C144" s="958" t="s">
        <v>1143</v>
      </c>
      <c r="D144" s="482"/>
      <c r="E144" s="482"/>
      <c r="F144" s="482"/>
      <c r="G144" s="482"/>
      <c r="H144" s="482"/>
      <c r="I144" s="480" t="s">
        <v>871</v>
      </c>
      <c r="J144" s="363" t="s">
        <v>613</v>
      </c>
      <c r="K144" s="457">
        <v>0</v>
      </c>
      <c r="L144" s="476"/>
      <c r="M144" s="569"/>
      <c r="N144" s="365"/>
      <c r="O144" s="1317"/>
    </row>
    <row r="145" spans="1:15" s="366" customFormat="1" ht="15.6" x14ac:dyDescent="0.3">
      <c r="A145" s="1443"/>
      <c r="B145" s="1297" t="s">
        <v>877</v>
      </c>
      <c r="C145" s="387" t="s">
        <v>1144</v>
      </c>
      <c r="D145" s="388"/>
      <c r="E145" s="388"/>
      <c r="F145" s="388"/>
      <c r="G145" s="388"/>
      <c r="H145" s="388"/>
      <c r="I145" s="389" t="s">
        <v>1320</v>
      </c>
      <c r="J145" s="363"/>
      <c r="K145" s="457">
        <f>K146+K147+K148</f>
        <v>5523184.1100000003</v>
      </c>
      <c r="L145" s="476"/>
      <c r="M145" s="457">
        <f>M146+M147+M148</f>
        <v>4060268.1599999997</v>
      </c>
      <c r="N145" s="365"/>
      <c r="O145" s="1317"/>
    </row>
    <row r="146" spans="1:15" s="366" customFormat="1" ht="15.6" x14ac:dyDescent="0.3">
      <c r="A146" s="1444"/>
      <c r="B146" s="1445"/>
      <c r="C146" s="1448"/>
      <c r="D146" s="386"/>
      <c r="E146" s="386"/>
      <c r="F146" s="386"/>
      <c r="G146" s="386"/>
      <c r="H146" s="386"/>
      <c r="I146" s="1451"/>
      <c r="J146" s="363" t="s">
        <v>162</v>
      </c>
      <c r="K146" s="457">
        <v>5429984.1100000003</v>
      </c>
      <c r="L146" s="476"/>
      <c r="M146" s="941">
        <f>267903.28+3600+367432.83+1840+187591.01+312722.84+1715+86278.38+380556.18+112813.98+282694.46+9938.7+47519.41+707646.03+634171.59+228372.57+2300+67107.36+225315.45+400+85950.76</f>
        <v>4013869.8299999996</v>
      </c>
      <c r="N146" s="365"/>
      <c r="O146" s="1317"/>
    </row>
    <row r="147" spans="1:15" s="366" customFormat="1" ht="15.6" x14ac:dyDescent="0.3">
      <c r="A147" s="1444"/>
      <c r="B147" s="1445"/>
      <c r="C147" s="1449"/>
      <c r="D147" s="362"/>
      <c r="E147" s="362"/>
      <c r="F147" s="362"/>
      <c r="G147" s="362"/>
      <c r="H147" s="362"/>
      <c r="I147" s="1452"/>
      <c r="J147" s="363" t="s">
        <v>586</v>
      </c>
      <c r="K147" s="457">
        <v>93200</v>
      </c>
      <c r="L147" s="476"/>
      <c r="M147" s="941">
        <f>6475.39+5003.42+5126.63+4386.41+5102.65+3520.62+7114.51+9668.7</f>
        <v>46398.33</v>
      </c>
      <c r="N147" s="365"/>
      <c r="O147" s="1454"/>
    </row>
    <row r="148" spans="1:15" s="366" customFormat="1" ht="15.6" x14ac:dyDescent="0.3">
      <c r="A148" s="1308"/>
      <c r="B148" s="1299"/>
      <c r="C148" s="1450"/>
      <c r="D148" s="851"/>
      <c r="E148" s="851"/>
      <c r="F148" s="851"/>
      <c r="G148" s="851"/>
      <c r="H148" s="851"/>
      <c r="I148" s="1453"/>
      <c r="J148" s="363" t="s">
        <v>528</v>
      </c>
      <c r="K148" s="457">
        <f>6000-6000</f>
        <v>0</v>
      </c>
      <c r="L148" s="476"/>
      <c r="M148" s="569"/>
      <c r="N148" s="365"/>
      <c r="O148" s="1317"/>
    </row>
    <row r="149" spans="1:15" s="366" customFormat="1" ht="15.6" x14ac:dyDescent="0.3">
      <c r="A149" s="1443"/>
      <c r="B149" s="1297" t="s">
        <v>882</v>
      </c>
      <c r="C149" s="387" t="s">
        <v>1144</v>
      </c>
      <c r="D149" s="388"/>
      <c r="E149" s="388"/>
      <c r="F149" s="388"/>
      <c r="G149" s="388"/>
      <c r="H149" s="388"/>
      <c r="I149" s="389" t="s">
        <v>1321</v>
      </c>
      <c r="J149" s="363"/>
      <c r="K149" s="457">
        <f>K150+K151+K152</f>
        <v>17687799.880000003</v>
      </c>
      <c r="L149" s="476"/>
      <c r="M149" s="457">
        <f>M150+M151+M152</f>
        <v>11944996.949999999</v>
      </c>
      <c r="N149" s="365"/>
      <c r="O149" s="1317"/>
    </row>
    <row r="150" spans="1:15" s="366" customFormat="1" ht="15.6" x14ac:dyDescent="0.3">
      <c r="A150" s="1444"/>
      <c r="B150" s="1445"/>
      <c r="C150" s="1448"/>
      <c r="D150" s="386"/>
      <c r="E150" s="386"/>
      <c r="F150" s="386"/>
      <c r="G150" s="386"/>
      <c r="H150" s="386"/>
      <c r="I150" s="1451"/>
      <c r="J150" s="363" t="s">
        <v>162</v>
      </c>
      <c r="K150" s="457">
        <f>12358242.65+1001029.83</f>
        <v>13359272.48</v>
      </c>
      <c r="L150" s="476"/>
      <c r="M150" s="941">
        <f>641319.57+6605.75+854663.7+4600+442773.64+706630.5+212830.71+2982353.46+4600+889773.06-2202613.77-4600-662210.1+724964.69+17598.8+225547.34+2721952.83+1111184.22+704464.36+5200+204907.84-281467.91+675096.08+3200+216358.36</f>
        <v>10205733.129999999</v>
      </c>
      <c r="N150" s="365"/>
      <c r="O150" s="1454"/>
    </row>
    <row r="151" spans="1:15" s="366" customFormat="1" ht="15.6" x14ac:dyDescent="0.3">
      <c r="A151" s="1444"/>
      <c r="B151" s="1445"/>
      <c r="C151" s="1449"/>
      <c r="D151" s="362"/>
      <c r="E151" s="362"/>
      <c r="F151" s="362"/>
      <c r="G151" s="362"/>
      <c r="H151" s="362"/>
      <c r="I151" s="1452"/>
      <c r="J151" s="363" t="s">
        <v>586</v>
      </c>
      <c r="K151" s="457">
        <f>4275140.4-10000+45000</f>
        <v>4310140.4000000004</v>
      </c>
      <c r="L151" s="476"/>
      <c r="M151" s="941">
        <f>37923.85+226540.51+208735.04+279803.86+241274.93+318025.26+61612.79+198576.02+154696.56</f>
        <v>1727188.82</v>
      </c>
      <c r="N151" s="365"/>
      <c r="O151" s="1454"/>
    </row>
    <row r="152" spans="1:15" s="366" customFormat="1" ht="15.6" x14ac:dyDescent="0.3">
      <c r="A152" s="1308"/>
      <c r="B152" s="1299"/>
      <c r="C152" s="1339"/>
      <c r="D152" s="362"/>
      <c r="E152" s="362"/>
      <c r="F152" s="362"/>
      <c r="G152" s="362"/>
      <c r="H152" s="362"/>
      <c r="I152" s="1342"/>
      <c r="J152" s="363" t="s">
        <v>528</v>
      </c>
      <c r="K152" s="457">
        <f>8387+10000</f>
        <v>18387</v>
      </c>
      <c r="L152" s="476"/>
      <c r="M152" s="569">
        <f>2652+45+38+1852+4800+2688</f>
        <v>12075</v>
      </c>
      <c r="N152" s="365"/>
      <c r="O152" s="1317"/>
    </row>
    <row r="153" spans="1:15" s="366" customFormat="1" ht="31.2" x14ac:dyDescent="0.3">
      <c r="A153" s="388"/>
      <c r="B153" s="459" t="s">
        <v>887</v>
      </c>
      <c r="C153" s="959" t="s">
        <v>1144</v>
      </c>
      <c r="D153" s="489"/>
      <c r="E153" s="489"/>
      <c r="F153" s="489"/>
      <c r="G153" s="489"/>
      <c r="H153" s="489"/>
      <c r="I153" s="490" t="s">
        <v>1322</v>
      </c>
      <c r="J153" s="363" t="s">
        <v>613</v>
      </c>
      <c r="K153" s="457">
        <f>2678797.79-293644.12</f>
        <v>2385153.67</v>
      </c>
      <c r="L153" s="476"/>
      <c r="M153" s="941">
        <f>170122.74+204050.19+272354.51+235420.64+293941.25+143350.46+203116.69+145172.06+119910.99</f>
        <v>1787439.53</v>
      </c>
      <c r="N153" s="365"/>
      <c r="O153" s="1290"/>
    </row>
    <row r="154" spans="1:15" s="366" customFormat="1" ht="52.8" x14ac:dyDescent="0.35">
      <c r="A154" s="977">
        <v>13</v>
      </c>
      <c r="B154" s="447" t="s">
        <v>564</v>
      </c>
      <c r="C154" s="448"/>
      <c r="D154" s="448"/>
      <c r="E154" s="448"/>
      <c r="F154" s="448"/>
      <c r="G154" s="448"/>
      <c r="H154" s="448"/>
      <c r="I154" s="429" t="s">
        <v>1348</v>
      </c>
      <c r="J154" s="430"/>
      <c r="K154" s="449">
        <f>K155+K157+K159+K160+K161+K162+K163+K164+K165+K166+K170+K171+K172+K156+K158+K167+K168+K169</f>
        <v>13991800.57</v>
      </c>
      <c r="L154" s="470"/>
      <c r="M154" s="449">
        <f>M155+M157+M159+M160+M161+M162+M163+M164+M165+M166+M170+M171+M172+M156+M158+M167+M168+M169</f>
        <v>8840689.5099999998</v>
      </c>
      <c r="N154" s="448"/>
      <c r="O154" s="432" t="s">
        <v>1083</v>
      </c>
    </row>
    <row r="155" spans="1:15" s="366" customFormat="1" ht="15.6" x14ac:dyDescent="0.3">
      <c r="A155" s="388"/>
      <c r="B155" s="459" t="s">
        <v>654</v>
      </c>
      <c r="C155" s="387" t="s">
        <v>1148</v>
      </c>
      <c r="D155" s="365"/>
      <c r="E155" s="365"/>
      <c r="F155" s="365"/>
      <c r="G155" s="365"/>
      <c r="H155" s="365"/>
      <c r="I155" s="452" t="s">
        <v>1251</v>
      </c>
      <c r="J155" s="363" t="s">
        <v>586</v>
      </c>
      <c r="K155" s="457">
        <f>300000+1938000</f>
        <v>2238000</v>
      </c>
      <c r="L155" s="476"/>
      <c r="M155" s="445"/>
      <c r="N155" s="365"/>
      <c r="O155" s="1280" t="s">
        <v>151</v>
      </c>
    </row>
    <row r="156" spans="1:15" s="366" customFormat="1" ht="15.6" x14ac:dyDescent="0.3">
      <c r="A156" s="388"/>
      <c r="B156" s="459" t="s">
        <v>1357</v>
      </c>
      <c r="C156" s="387" t="s">
        <v>1148</v>
      </c>
      <c r="D156" s="365"/>
      <c r="E156" s="365"/>
      <c r="F156" s="365"/>
      <c r="G156" s="365"/>
      <c r="H156" s="365"/>
      <c r="I156" s="452" t="s">
        <v>1356</v>
      </c>
      <c r="J156" s="363" t="s">
        <v>586</v>
      </c>
      <c r="K156" s="464">
        <f>5400000-800000-2766734.35</f>
        <v>1833265.65</v>
      </c>
      <c r="L156" s="476"/>
      <c r="M156" s="445">
        <v>1762666.67</v>
      </c>
      <c r="N156" s="365"/>
      <c r="O156" s="1281"/>
    </row>
    <row r="157" spans="1:15" s="366" customFormat="1" ht="31.2" x14ac:dyDescent="0.3">
      <c r="A157" s="388"/>
      <c r="B157" s="459" t="s">
        <v>657</v>
      </c>
      <c r="C157" s="387" t="s">
        <v>1148</v>
      </c>
      <c r="D157" s="365"/>
      <c r="E157" s="365"/>
      <c r="F157" s="365"/>
      <c r="G157" s="365"/>
      <c r="H157" s="365"/>
      <c r="I157" s="452" t="s">
        <v>1252</v>
      </c>
      <c r="J157" s="363" t="s">
        <v>586</v>
      </c>
      <c r="K157" s="457">
        <f>59000+351000</f>
        <v>410000</v>
      </c>
      <c r="L157" s="476"/>
      <c r="M157" s="445"/>
      <c r="N157" s="365"/>
      <c r="O157" s="1281"/>
    </row>
    <row r="158" spans="1:15" s="366" customFormat="1" ht="31.2" x14ac:dyDescent="0.3">
      <c r="A158" s="388"/>
      <c r="B158" s="181" t="s">
        <v>660</v>
      </c>
      <c r="C158" s="387" t="s">
        <v>1148</v>
      </c>
      <c r="D158" s="365"/>
      <c r="E158" s="365"/>
      <c r="F158" s="365"/>
      <c r="G158" s="365"/>
      <c r="H158" s="365"/>
      <c r="I158" s="452" t="s">
        <v>1358</v>
      </c>
      <c r="J158" s="363" t="s">
        <v>586</v>
      </c>
      <c r="K158" s="457">
        <f>50000+51000</f>
        <v>101000</v>
      </c>
      <c r="L158" s="476"/>
      <c r="M158" s="445">
        <f>47090+17400</f>
        <v>64490</v>
      </c>
      <c r="N158" s="365"/>
      <c r="O158" s="1281"/>
    </row>
    <row r="159" spans="1:15" s="366" customFormat="1" ht="31.2" hidden="1" x14ac:dyDescent="0.3">
      <c r="A159" s="388"/>
      <c r="B159" s="459" t="s">
        <v>660</v>
      </c>
      <c r="C159" s="387" t="s">
        <v>1148</v>
      </c>
      <c r="D159" s="365"/>
      <c r="E159" s="365"/>
      <c r="F159" s="365"/>
      <c r="G159" s="365"/>
      <c r="H159" s="365"/>
      <c r="I159" s="452" t="s">
        <v>661</v>
      </c>
      <c r="J159" s="363" t="s">
        <v>586</v>
      </c>
      <c r="K159" s="457"/>
      <c r="L159" s="476"/>
      <c r="M159" s="445"/>
      <c r="N159" s="365"/>
      <c r="O159" s="1281"/>
    </row>
    <row r="160" spans="1:15" s="366" customFormat="1" ht="15.6" x14ac:dyDescent="0.3">
      <c r="A160" s="388"/>
      <c r="B160" s="459" t="s">
        <v>663</v>
      </c>
      <c r="C160" s="387" t="s">
        <v>1148</v>
      </c>
      <c r="D160" s="365"/>
      <c r="E160" s="365"/>
      <c r="F160" s="365"/>
      <c r="G160" s="365"/>
      <c r="H160" s="365"/>
      <c r="I160" s="452" t="s">
        <v>1253</v>
      </c>
      <c r="J160" s="363" t="s">
        <v>586</v>
      </c>
      <c r="K160" s="464">
        <f>360000+206000-5000</f>
        <v>561000</v>
      </c>
      <c r="L160" s="476"/>
      <c r="M160" s="445">
        <f>171000+390000</f>
        <v>561000</v>
      </c>
      <c r="N160" s="365"/>
      <c r="O160" s="1281"/>
    </row>
    <row r="161" spans="1:15" s="366" customFormat="1" ht="31.2" x14ac:dyDescent="0.3">
      <c r="A161" s="388"/>
      <c r="B161" s="459" t="s">
        <v>666</v>
      </c>
      <c r="C161" s="387" t="s">
        <v>1148</v>
      </c>
      <c r="D161" s="365"/>
      <c r="E161" s="365"/>
      <c r="F161" s="365"/>
      <c r="G161" s="365"/>
      <c r="H161" s="365"/>
      <c r="I161" s="452" t="s">
        <v>1254</v>
      </c>
      <c r="J161" s="363" t="s">
        <v>528</v>
      </c>
      <c r="K161" s="464">
        <f>500000-50000-10000-440000</f>
        <v>0</v>
      </c>
      <c r="L161" s="476"/>
      <c r="M161" s="445"/>
      <c r="N161" s="365"/>
      <c r="O161" s="1281"/>
    </row>
    <row r="162" spans="1:15" s="366" customFormat="1" ht="15.6" x14ac:dyDescent="0.3">
      <c r="A162" s="388"/>
      <c r="B162" s="459" t="s">
        <v>669</v>
      </c>
      <c r="C162" s="387" t="s">
        <v>1148</v>
      </c>
      <c r="D162" s="365"/>
      <c r="E162" s="365"/>
      <c r="F162" s="365"/>
      <c r="G162" s="365"/>
      <c r="H162" s="365"/>
      <c r="I162" s="452" t="s">
        <v>1255</v>
      </c>
      <c r="J162" s="363" t="s">
        <v>586</v>
      </c>
      <c r="K162" s="457">
        <v>150000</v>
      </c>
      <c r="L162" s="476"/>
      <c r="M162" s="445"/>
      <c r="N162" s="365"/>
      <c r="O162" s="1281"/>
    </row>
    <row r="163" spans="1:15" s="366" customFormat="1" ht="46.8" x14ac:dyDescent="0.3">
      <c r="A163" s="388"/>
      <c r="B163" s="459" t="s">
        <v>672</v>
      </c>
      <c r="C163" s="387" t="s">
        <v>1148</v>
      </c>
      <c r="D163" s="365"/>
      <c r="E163" s="365"/>
      <c r="F163" s="365"/>
      <c r="G163" s="365"/>
      <c r="H163" s="365"/>
      <c r="I163" s="452" t="s">
        <v>1256</v>
      </c>
      <c r="J163" s="363" t="s">
        <v>586</v>
      </c>
      <c r="K163" s="457">
        <v>106000</v>
      </c>
      <c r="L163" s="476"/>
      <c r="M163" s="445"/>
      <c r="N163" s="365"/>
      <c r="O163" s="1281"/>
    </row>
    <row r="164" spans="1:15" s="366" customFormat="1" ht="31.2" x14ac:dyDescent="0.3">
      <c r="A164" s="388"/>
      <c r="B164" s="519" t="s">
        <v>675</v>
      </c>
      <c r="C164" s="958" t="s">
        <v>1148</v>
      </c>
      <c r="D164" s="482"/>
      <c r="E164" s="482"/>
      <c r="F164" s="482"/>
      <c r="G164" s="482"/>
      <c r="H164" s="482"/>
      <c r="I164" s="480" t="s">
        <v>1257</v>
      </c>
      <c r="J164" s="363" t="s">
        <v>586</v>
      </c>
      <c r="K164" s="372"/>
      <c r="L164" s="476"/>
      <c r="M164" s="445">
        <f>183800-183800</f>
        <v>0</v>
      </c>
      <c r="N164" s="365"/>
      <c r="O164" s="1281"/>
    </row>
    <row r="165" spans="1:15" s="532" customFormat="1" ht="31.2" x14ac:dyDescent="0.3">
      <c r="A165" s="572"/>
      <c r="B165" s="849" t="s">
        <v>675</v>
      </c>
      <c r="C165" s="387" t="s">
        <v>1163</v>
      </c>
      <c r="D165" s="574"/>
      <c r="E165" s="574"/>
      <c r="F165" s="574"/>
      <c r="G165" s="574"/>
      <c r="H165" s="574"/>
      <c r="I165" s="576" t="s">
        <v>1257</v>
      </c>
      <c r="J165" s="576" t="s">
        <v>586</v>
      </c>
      <c r="K165" s="372">
        <f>4966877.4-1076104.48-400000</f>
        <v>3490772.9200000004</v>
      </c>
      <c r="L165" s="476"/>
      <c r="M165" s="424">
        <f>182571.51+362696.52+121714+220783.81+691000+72005</f>
        <v>1650770.84</v>
      </c>
      <c r="N165" s="368"/>
      <c r="O165" s="1281"/>
    </row>
    <row r="166" spans="1:15" s="366" customFormat="1" ht="46.8" hidden="1" x14ac:dyDescent="0.3">
      <c r="A166" s="976"/>
      <c r="B166" s="455" t="s">
        <v>681</v>
      </c>
      <c r="C166" s="387" t="s">
        <v>1148</v>
      </c>
      <c r="D166" s="482"/>
      <c r="E166" s="482"/>
      <c r="F166" s="482"/>
      <c r="G166" s="482"/>
      <c r="H166" s="482"/>
      <c r="I166" s="363" t="s">
        <v>682</v>
      </c>
      <c r="J166" s="564" t="s">
        <v>586</v>
      </c>
      <c r="K166" s="372">
        <v>0</v>
      </c>
      <c r="L166" s="932"/>
      <c r="M166" s="934"/>
      <c r="N166" s="365"/>
      <c r="O166" s="1281"/>
    </row>
    <row r="167" spans="1:15" s="366" customFormat="1" ht="15.6" x14ac:dyDescent="0.3">
      <c r="A167" s="388"/>
      <c r="B167" s="1408" t="s">
        <v>681</v>
      </c>
      <c r="C167" s="1407" t="s">
        <v>1163</v>
      </c>
      <c r="D167" s="365"/>
      <c r="E167" s="365"/>
      <c r="F167" s="365"/>
      <c r="G167" s="365"/>
      <c r="H167" s="365"/>
      <c r="I167" s="1409" t="s">
        <v>1258</v>
      </c>
      <c r="J167" s="363"/>
      <c r="K167" s="848"/>
      <c r="L167" s="476"/>
      <c r="M167" s="445"/>
      <c r="N167" s="365"/>
      <c r="O167" s="1281"/>
    </row>
    <row r="168" spans="1:15" s="366" customFormat="1" ht="15.6" x14ac:dyDescent="0.3">
      <c r="A168" s="388"/>
      <c r="B168" s="1408"/>
      <c r="C168" s="1407"/>
      <c r="D168" s="658"/>
      <c r="E168" s="658"/>
      <c r="F168" s="658"/>
      <c r="G168" s="658"/>
      <c r="H168" s="658"/>
      <c r="I168" s="1409"/>
      <c r="J168" s="363" t="s">
        <v>586</v>
      </c>
      <c r="K168" s="848">
        <f>3176057.52-2000000-1176057.52</f>
        <v>0</v>
      </c>
      <c r="L168" s="476"/>
      <c r="M168" s="445">
        <v>0</v>
      </c>
      <c r="N168" s="365"/>
      <c r="O168" s="1283"/>
    </row>
    <row r="169" spans="1:15" s="366" customFormat="1" ht="15.6" x14ac:dyDescent="0.3">
      <c r="A169" s="388"/>
      <c r="B169" s="1408"/>
      <c r="C169" s="975" t="s">
        <v>1386</v>
      </c>
      <c r="D169" s="658"/>
      <c r="E169" s="658"/>
      <c r="F169" s="658"/>
      <c r="G169" s="658"/>
      <c r="H169" s="658"/>
      <c r="I169" s="1409"/>
      <c r="J169" s="363" t="s">
        <v>813</v>
      </c>
      <c r="K169" s="843">
        <f>2000000+2252162+400000+300000</f>
        <v>4952162</v>
      </c>
      <c r="L169" s="476"/>
      <c r="M169" s="445">
        <f>1000000+3652162</f>
        <v>4652162</v>
      </c>
      <c r="N169" s="365"/>
      <c r="O169" s="952" t="s">
        <v>1407</v>
      </c>
    </row>
    <row r="170" spans="1:15" s="366" customFormat="1" ht="15.6" x14ac:dyDescent="0.3">
      <c r="A170" s="966"/>
      <c r="B170" s="534" t="s">
        <v>852</v>
      </c>
      <c r="C170" s="959" t="s">
        <v>1105</v>
      </c>
      <c r="D170" s="489"/>
      <c r="E170" s="489"/>
      <c r="F170" s="489"/>
      <c r="G170" s="489"/>
      <c r="H170" s="489"/>
      <c r="I170" s="490" t="s">
        <v>1314</v>
      </c>
      <c r="J170" s="662" t="s">
        <v>613</v>
      </c>
      <c r="K170" s="982">
        <f>80000-253.42</f>
        <v>79746.58</v>
      </c>
      <c r="L170" s="933"/>
      <c r="M170" s="739">
        <v>79746.58</v>
      </c>
      <c r="N170" s="365"/>
      <c r="O170" s="1280" t="s">
        <v>968</v>
      </c>
    </row>
    <row r="171" spans="1:15" s="366" customFormat="1" ht="15.6" x14ac:dyDescent="0.3">
      <c r="A171" s="388"/>
      <c r="B171" s="459" t="s">
        <v>855</v>
      </c>
      <c r="C171" s="387" t="s">
        <v>1105</v>
      </c>
      <c r="D171" s="365"/>
      <c r="E171" s="365"/>
      <c r="F171" s="365"/>
      <c r="G171" s="365"/>
      <c r="H171" s="365"/>
      <c r="I171" s="452" t="s">
        <v>1315</v>
      </c>
      <c r="J171" s="363" t="s">
        <v>613</v>
      </c>
      <c r="K171" s="464">
        <f>50000-146.58</f>
        <v>49853.42</v>
      </c>
      <c r="L171" s="476"/>
      <c r="M171" s="445">
        <v>49853.42</v>
      </c>
      <c r="N171" s="365"/>
      <c r="O171" s="1281"/>
    </row>
    <row r="172" spans="1:15" s="366" customFormat="1" ht="15.6" x14ac:dyDescent="0.3">
      <c r="A172" s="388"/>
      <c r="B172" s="459" t="s">
        <v>858</v>
      </c>
      <c r="C172" s="387" t="s">
        <v>1105</v>
      </c>
      <c r="D172" s="365"/>
      <c r="E172" s="365"/>
      <c r="F172" s="365"/>
      <c r="G172" s="365"/>
      <c r="H172" s="365"/>
      <c r="I172" s="452" t="s">
        <v>1316</v>
      </c>
      <c r="J172" s="363" t="s">
        <v>613</v>
      </c>
      <c r="K172" s="457">
        <v>20000</v>
      </c>
      <c r="L172" s="476"/>
      <c r="M172" s="445">
        <v>20000</v>
      </c>
      <c r="N172" s="365"/>
      <c r="O172" s="1283"/>
    </row>
    <row r="173" spans="1:15" s="433" customFormat="1" ht="18" x14ac:dyDescent="0.35">
      <c r="A173" s="425">
        <v>14</v>
      </c>
      <c r="B173" s="426" t="s">
        <v>559</v>
      </c>
      <c r="C173" s="427"/>
      <c r="D173" s="428"/>
      <c r="E173" s="428"/>
      <c r="F173" s="428"/>
      <c r="G173" s="428"/>
      <c r="H173" s="428"/>
      <c r="I173" s="429" t="s">
        <v>1349</v>
      </c>
      <c r="J173" s="430"/>
      <c r="K173" s="746">
        <f>K176+K177+K179+K178+K174+K175</f>
        <v>2226518.98</v>
      </c>
      <c r="L173" s="568"/>
      <c r="M173" s="746">
        <f>M176+M177+M179+M178+M174+M175</f>
        <v>1826518.98</v>
      </c>
      <c r="N173" s="428"/>
      <c r="O173" s="432"/>
    </row>
    <row r="174" spans="1:15" s="433" customFormat="1" ht="18" x14ac:dyDescent="0.35">
      <c r="A174" s="425"/>
      <c r="B174" s="521" t="s">
        <v>709</v>
      </c>
      <c r="C174" s="958" t="s">
        <v>1101</v>
      </c>
      <c r="D174" s="365"/>
      <c r="E174" s="365"/>
      <c r="F174" s="365"/>
      <c r="G174" s="365"/>
      <c r="H174" s="365"/>
      <c r="I174" s="452" t="s">
        <v>1268</v>
      </c>
      <c r="J174" s="363" t="s">
        <v>586</v>
      </c>
      <c r="K174" s="464">
        <f>100000-50000</f>
        <v>50000</v>
      </c>
      <c r="L174" s="568"/>
      <c r="M174" s="746"/>
      <c r="N174" s="428"/>
      <c r="O174" s="520"/>
    </row>
    <row r="175" spans="1:15" s="433" customFormat="1" ht="18" x14ac:dyDescent="0.35">
      <c r="A175" s="425"/>
      <c r="B175" s="466" t="s">
        <v>712</v>
      </c>
      <c r="C175" s="958" t="s">
        <v>1101</v>
      </c>
      <c r="D175" s="365"/>
      <c r="E175" s="365"/>
      <c r="F175" s="365"/>
      <c r="G175" s="365"/>
      <c r="H175" s="365"/>
      <c r="I175" s="452" t="s">
        <v>1361</v>
      </c>
      <c r="J175" s="363" t="s">
        <v>586</v>
      </c>
      <c r="K175" s="457">
        <f>3500000-1429771-243710.02</f>
        <v>1826518.98</v>
      </c>
      <c r="L175" s="568"/>
      <c r="M175" s="740">
        <v>1826518.98</v>
      </c>
      <c r="N175" s="428"/>
      <c r="O175" s="520"/>
    </row>
    <row r="176" spans="1:15" s="366" customFormat="1" ht="15.6" x14ac:dyDescent="0.3">
      <c r="A176" s="388"/>
      <c r="B176" s="534" t="s">
        <v>715</v>
      </c>
      <c r="C176" s="958" t="s">
        <v>1101</v>
      </c>
      <c r="D176" s="365"/>
      <c r="E176" s="365"/>
      <c r="F176" s="365"/>
      <c r="G176" s="365"/>
      <c r="H176" s="365"/>
      <c r="I176" s="452" t="s">
        <v>1269</v>
      </c>
      <c r="J176" s="363" t="s">
        <v>586</v>
      </c>
      <c r="K176" s="457">
        <v>200000</v>
      </c>
      <c r="L176" s="476"/>
      <c r="M176" s="476"/>
      <c r="N176" s="365"/>
      <c r="O176" s="1380" t="s">
        <v>151</v>
      </c>
    </row>
    <row r="177" spans="1:16" s="366" customFormat="1" ht="15.6" x14ac:dyDescent="0.3">
      <c r="A177" s="388"/>
      <c r="B177" s="459" t="s">
        <v>718</v>
      </c>
      <c r="C177" s="958" t="s">
        <v>1101</v>
      </c>
      <c r="D177" s="365"/>
      <c r="E177" s="365"/>
      <c r="F177" s="365"/>
      <c r="G177" s="365"/>
      <c r="H177" s="365"/>
      <c r="I177" s="452" t="s">
        <v>1270</v>
      </c>
      <c r="J177" s="363" t="s">
        <v>586</v>
      </c>
      <c r="K177" s="650">
        <f>40000-40000</f>
        <v>0</v>
      </c>
      <c r="L177" s="476"/>
      <c r="M177" s="476"/>
      <c r="N177" s="365"/>
      <c r="O177" s="1381"/>
    </row>
    <row r="178" spans="1:16" s="366" customFormat="1" ht="15.6" x14ac:dyDescent="0.3">
      <c r="A178" s="388"/>
      <c r="B178" s="521" t="s">
        <v>1205</v>
      </c>
      <c r="C178" s="958" t="s">
        <v>1101</v>
      </c>
      <c r="D178" s="365"/>
      <c r="E178" s="365"/>
      <c r="F178" s="365"/>
      <c r="G178" s="365"/>
      <c r="H178" s="365"/>
      <c r="I178" s="484" t="s">
        <v>1271</v>
      </c>
      <c r="J178" s="389" t="s">
        <v>586</v>
      </c>
      <c r="K178" s="559">
        <f>100000+50000</f>
        <v>150000</v>
      </c>
      <c r="L178" s="476"/>
      <c r="M178" s="747"/>
      <c r="N178" s="365"/>
      <c r="O178" s="581"/>
    </row>
    <row r="179" spans="1:16" s="366" customFormat="1" ht="15.6" hidden="1" x14ac:dyDescent="0.3">
      <c r="A179" s="388"/>
      <c r="B179" s="521" t="s">
        <v>1205</v>
      </c>
      <c r="C179" s="958" t="s">
        <v>1159</v>
      </c>
      <c r="D179" s="365"/>
      <c r="E179" s="365"/>
      <c r="F179" s="365"/>
      <c r="G179" s="365"/>
      <c r="H179" s="365"/>
      <c r="I179" s="389" t="s">
        <v>1206</v>
      </c>
      <c r="J179" s="389" t="s">
        <v>813</v>
      </c>
      <c r="K179" s="582"/>
      <c r="L179" s="476"/>
      <c r="M179" s="661"/>
      <c r="N179" s="365"/>
      <c r="O179" s="952" t="s">
        <v>1136</v>
      </c>
    </row>
    <row r="180" spans="1:16" ht="21" x14ac:dyDescent="0.4">
      <c r="A180" s="401"/>
      <c r="B180" s="402" t="s">
        <v>1149</v>
      </c>
      <c r="C180" s="403"/>
      <c r="D180" s="401"/>
      <c r="E180" s="401"/>
      <c r="F180" s="401"/>
      <c r="G180" s="401"/>
      <c r="H180" s="401"/>
      <c r="I180" s="404"/>
      <c r="J180" s="405"/>
      <c r="K180" s="671">
        <f>K21+K34+K36+K47+K59+K67+K69+K73+K79+K85+K118+K128+K154+K173</f>
        <v>379211898.29000002</v>
      </c>
      <c r="L180" s="981"/>
      <c r="M180" s="406">
        <f>M21+M34+M36+M47+M59+M67+M69+M73+M79+M85+M118+M128+M154+M173</f>
        <v>219952414.58999997</v>
      </c>
      <c r="N180" s="400"/>
      <c r="O180" s="400"/>
    </row>
    <row r="181" spans="1:16" ht="15.6" x14ac:dyDescent="0.3">
      <c r="A181" s="146"/>
      <c r="B181" s="146"/>
      <c r="C181" s="146"/>
      <c r="D181" s="146"/>
      <c r="E181" s="146"/>
      <c r="F181" s="146"/>
      <c r="G181" s="146"/>
      <c r="H181" s="146"/>
      <c r="I181" s="358"/>
      <c r="J181" s="360"/>
      <c r="K181" s="747"/>
      <c r="L181" s="938"/>
      <c r="M181" s="938"/>
      <c r="N181" s="146"/>
      <c r="O181" s="146"/>
    </row>
    <row r="182" spans="1:16" s="375" customFormat="1" ht="31.2" x14ac:dyDescent="0.3">
      <c r="A182" s="1382">
        <v>1</v>
      </c>
      <c r="B182" s="1456" t="s">
        <v>1355</v>
      </c>
      <c r="C182" s="395" t="s">
        <v>1110</v>
      </c>
      <c r="D182" s="396"/>
      <c r="E182" s="396"/>
      <c r="F182" s="396"/>
      <c r="G182" s="396"/>
      <c r="H182" s="396"/>
      <c r="I182" s="397" t="s">
        <v>1287</v>
      </c>
      <c r="J182" s="371"/>
      <c r="K182" s="421">
        <f>K183+K184</f>
        <v>573397.05000000005</v>
      </c>
      <c r="L182" s="476"/>
      <c r="M182" s="421">
        <f>M183+M184</f>
        <v>374935.4</v>
      </c>
      <c r="N182" s="373"/>
      <c r="O182" s="374" t="s">
        <v>151</v>
      </c>
    </row>
    <row r="183" spans="1:16" s="375" customFormat="1" ht="15.6" x14ac:dyDescent="0.3">
      <c r="A183" s="1455"/>
      <c r="B183" s="1457"/>
      <c r="C183" s="894"/>
      <c r="D183" s="895"/>
      <c r="E183" s="895"/>
      <c r="F183" s="895"/>
      <c r="G183" s="895"/>
      <c r="H183" s="895"/>
      <c r="I183" s="896"/>
      <c r="J183" s="371" t="s">
        <v>162</v>
      </c>
      <c r="K183" s="372">
        <f>541284-2.95</f>
        <v>541281.05000000005</v>
      </c>
      <c r="L183" s="932"/>
      <c r="M183" s="944">
        <f>18151.56+5481.77+24149.77+5376.57+8916.96+27412.56+8278.59+51009.05+14196.73+27783+8390.46+37669.47+52023.78+15703.48+4742.45+26520.12+8009.08</f>
        <v>343815.4</v>
      </c>
      <c r="N183" s="588"/>
      <c r="O183" s="374"/>
    </row>
    <row r="184" spans="1:16" s="375" customFormat="1" ht="76.5" customHeight="1" x14ac:dyDescent="0.3">
      <c r="A184" s="1384"/>
      <c r="B184" s="1368"/>
      <c r="C184" s="392"/>
      <c r="D184" s="897"/>
      <c r="E184" s="897"/>
      <c r="F184" s="897"/>
      <c r="G184" s="897"/>
      <c r="H184" s="897"/>
      <c r="I184" s="393"/>
      <c r="J184" s="371" t="s">
        <v>586</v>
      </c>
      <c r="K184" s="372">
        <v>32116</v>
      </c>
      <c r="L184" s="932"/>
      <c r="M184" s="934">
        <f>9336+21784</f>
        <v>31120</v>
      </c>
      <c r="N184" s="588"/>
      <c r="O184" s="374"/>
    </row>
    <row r="185" spans="1:16" s="375" customFormat="1" ht="55.5" customHeight="1" x14ac:dyDescent="0.3">
      <c r="A185" s="978">
        <v>2</v>
      </c>
      <c r="B185" s="750" t="s">
        <v>1385</v>
      </c>
      <c r="C185" s="974" t="s">
        <v>1386</v>
      </c>
      <c r="D185" s="752"/>
      <c r="E185" s="752"/>
      <c r="F185" s="752"/>
      <c r="G185" s="752"/>
      <c r="H185" s="752"/>
      <c r="I185" s="753" t="s">
        <v>1387</v>
      </c>
      <c r="J185" s="371" t="s">
        <v>813</v>
      </c>
      <c r="K185" s="421">
        <v>11787484</v>
      </c>
      <c r="L185" s="932"/>
      <c r="M185" s="934">
        <v>11787484</v>
      </c>
      <c r="N185" s="588"/>
      <c r="O185" s="374"/>
    </row>
    <row r="186" spans="1:16" s="375" customFormat="1" ht="46.8" x14ac:dyDescent="0.3">
      <c r="A186" s="969">
        <v>3</v>
      </c>
      <c r="B186" s="584" t="s">
        <v>1104</v>
      </c>
      <c r="C186" s="971" t="s">
        <v>1103</v>
      </c>
      <c r="D186" s="586"/>
      <c r="E186" s="586"/>
      <c r="F186" s="586"/>
      <c r="G186" s="586"/>
      <c r="H186" s="586"/>
      <c r="I186" s="587" t="s">
        <v>1265</v>
      </c>
      <c r="J186" s="371" t="s">
        <v>528</v>
      </c>
      <c r="K186" s="659">
        <f>87107200-24.78-4760796.84+1770359.93</f>
        <v>84116738.310000002</v>
      </c>
      <c r="L186" s="932"/>
      <c r="M186" s="945">
        <f>14417772.06+7298261.36+7240617.85+8882707.35+13776880.6+10727877.55+9950237.76</f>
        <v>72294354.530000016</v>
      </c>
      <c r="N186" s="588"/>
      <c r="O186" s="374" t="s">
        <v>151</v>
      </c>
    </row>
    <row r="187" spans="1:16" s="366" customFormat="1" ht="54" customHeight="1" x14ac:dyDescent="0.3">
      <c r="A187" s="969">
        <v>4</v>
      </c>
      <c r="B187" s="590" t="s">
        <v>645</v>
      </c>
      <c r="C187" s="395" t="s">
        <v>1086</v>
      </c>
      <c r="D187" s="591"/>
      <c r="E187" s="592"/>
      <c r="F187" s="592"/>
      <c r="G187" s="592"/>
      <c r="H187" s="593"/>
      <c r="I187" s="594" t="s">
        <v>1245</v>
      </c>
      <c r="J187" s="371" t="s">
        <v>586</v>
      </c>
      <c r="K187" s="659">
        <f>147000+58.82-130391.82-16667</f>
        <v>0</v>
      </c>
      <c r="L187" s="474"/>
      <c r="M187" s="445"/>
      <c r="N187" s="373"/>
      <c r="O187" s="595" t="s">
        <v>151</v>
      </c>
    </row>
    <row r="188" spans="1:16" s="366" customFormat="1" ht="24.75" customHeight="1" x14ac:dyDescent="0.3">
      <c r="A188" s="1458">
        <v>5</v>
      </c>
      <c r="B188" s="967" t="s">
        <v>893</v>
      </c>
      <c r="C188" s="1410" t="s">
        <v>1090</v>
      </c>
      <c r="D188" s="844"/>
      <c r="E188" s="844"/>
      <c r="F188" s="844"/>
      <c r="G188" s="844"/>
      <c r="H188" s="844"/>
      <c r="I188" s="1412" t="s">
        <v>1323</v>
      </c>
      <c r="J188" s="371" t="s">
        <v>586</v>
      </c>
      <c r="K188" s="421">
        <v>10000</v>
      </c>
      <c r="L188" s="474"/>
      <c r="M188" s="424">
        <v>6209.28</v>
      </c>
      <c r="N188" s="373"/>
      <c r="O188" s="595"/>
    </row>
    <row r="189" spans="1:16" s="375" customFormat="1" ht="22.5" customHeight="1" x14ac:dyDescent="0.3">
      <c r="A189" s="1423"/>
      <c r="B189" s="839"/>
      <c r="C189" s="1411"/>
      <c r="D189" s="844"/>
      <c r="E189" s="844"/>
      <c r="F189" s="844"/>
      <c r="G189" s="844"/>
      <c r="H189" s="844"/>
      <c r="I189" s="1413"/>
      <c r="J189" s="371" t="s">
        <v>764</v>
      </c>
      <c r="K189" s="453">
        <f>1241900-44-10000</f>
        <v>1231856</v>
      </c>
      <c r="L189" s="474"/>
      <c r="M189" s="946">
        <f>620928+310464</f>
        <v>931392</v>
      </c>
      <c r="N189" s="373"/>
      <c r="O189" s="595" t="s">
        <v>1084</v>
      </c>
      <c r="P189" s="599"/>
    </row>
    <row r="190" spans="1:16" s="375" customFormat="1" ht="46.8" x14ac:dyDescent="0.3">
      <c r="A190" s="596">
        <v>6</v>
      </c>
      <c r="B190" s="423" t="s">
        <v>896</v>
      </c>
      <c r="C190" s="395" t="s">
        <v>1091</v>
      </c>
      <c r="D190" s="597"/>
      <c r="E190" s="597"/>
      <c r="F190" s="597"/>
      <c r="G190" s="597"/>
      <c r="H190" s="597"/>
      <c r="I190" s="477" t="s">
        <v>1324</v>
      </c>
      <c r="J190" s="371" t="s">
        <v>764</v>
      </c>
      <c r="K190" s="453">
        <f>55100-2.48</f>
        <v>55097.52</v>
      </c>
      <c r="L190" s="474"/>
      <c r="M190" s="939">
        <v>34095</v>
      </c>
      <c r="N190" s="373"/>
      <c r="O190" s="595" t="s">
        <v>1084</v>
      </c>
      <c r="P190" s="599"/>
    </row>
    <row r="191" spans="1:16" s="375" customFormat="1" ht="15.6" x14ac:dyDescent="0.3">
      <c r="A191" s="1375">
        <v>7</v>
      </c>
      <c r="B191" s="1385" t="s">
        <v>873</v>
      </c>
      <c r="C191" s="971" t="s">
        <v>1090</v>
      </c>
      <c r="D191" s="597"/>
      <c r="E191" s="597"/>
      <c r="F191" s="597"/>
      <c r="G191" s="597"/>
      <c r="H191" s="597"/>
      <c r="I191" s="477" t="s">
        <v>1327</v>
      </c>
      <c r="J191" s="371"/>
      <c r="K191" s="453">
        <f>K192+K193</f>
        <v>1750191.15</v>
      </c>
      <c r="L191" s="474"/>
      <c r="M191" s="453">
        <f>M192+M193</f>
        <v>986492.20999999973</v>
      </c>
      <c r="N191" s="588"/>
      <c r="O191" s="595" t="s">
        <v>1084</v>
      </c>
      <c r="P191" s="600"/>
    </row>
    <row r="192" spans="1:16" s="375" customFormat="1" ht="15.6" x14ac:dyDescent="0.3">
      <c r="A192" s="1376"/>
      <c r="B192" s="1459"/>
      <c r="C192" s="1388"/>
      <c r="D192" s="597"/>
      <c r="E192" s="597"/>
      <c r="F192" s="597"/>
      <c r="G192" s="597"/>
      <c r="H192" s="597"/>
      <c r="I192" s="1389"/>
      <c r="J192" s="371" t="s">
        <v>162</v>
      </c>
      <c r="K192" s="457">
        <f>1635414-8.85-350-150000</f>
        <v>1485055.15</v>
      </c>
      <c r="L192" s="474"/>
      <c r="M192" s="944">
        <f>71790.37+2972.2+22971.77+43749.18+352.62+26090+4450+14249.64+13428.56+119347.71+44706.09+88494.97-2638.65+26833.86+150861.83+68101.13+61644.67+5500+18616.69+38615.44+12435.7</f>
        <v>832573.7799999998</v>
      </c>
      <c r="N192" s="588"/>
      <c r="O192" s="595"/>
      <c r="P192" s="600"/>
    </row>
    <row r="193" spans="1:16" s="375" customFormat="1" ht="15.6" x14ac:dyDescent="0.3">
      <c r="A193" s="1365"/>
      <c r="B193" s="1387"/>
      <c r="C193" s="1379"/>
      <c r="D193" s="597"/>
      <c r="E193" s="597"/>
      <c r="F193" s="597"/>
      <c r="G193" s="597"/>
      <c r="H193" s="597"/>
      <c r="I193" s="1390"/>
      <c r="J193" s="371" t="s">
        <v>586</v>
      </c>
      <c r="K193" s="457">
        <f>114786+350+150000</f>
        <v>265136</v>
      </c>
      <c r="L193" s="474"/>
      <c r="M193" s="944">
        <f>26250+4000+28801.64+8344.79+350+30169.51+3801.78+7542.19+10114.61+34543.91</f>
        <v>153918.43</v>
      </c>
      <c r="N193" s="588"/>
      <c r="O193" s="595"/>
      <c r="P193" s="600"/>
    </row>
    <row r="194" spans="1:16" s="375" customFormat="1" ht="24.75" customHeight="1" x14ac:dyDescent="0.3">
      <c r="A194" s="1375">
        <v>8</v>
      </c>
      <c r="B194" s="1385" t="s">
        <v>899</v>
      </c>
      <c r="C194" s="1410" t="s">
        <v>1090</v>
      </c>
      <c r="D194" s="845"/>
      <c r="E194" s="846"/>
      <c r="F194" s="846"/>
      <c r="G194" s="846"/>
      <c r="H194" s="899"/>
      <c r="I194" s="1414" t="s">
        <v>1325</v>
      </c>
      <c r="J194" s="371" t="s">
        <v>586</v>
      </c>
      <c r="K194" s="457">
        <v>100000</v>
      </c>
      <c r="L194" s="474"/>
      <c r="M194" s="934"/>
      <c r="N194" s="588"/>
      <c r="O194" s="595"/>
      <c r="P194" s="600"/>
    </row>
    <row r="195" spans="1:16" s="375" customFormat="1" ht="33.75" customHeight="1" x14ac:dyDescent="0.3">
      <c r="A195" s="1365"/>
      <c r="B195" s="1424"/>
      <c r="C195" s="1411"/>
      <c r="D195" s="845"/>
      <c r="E195" s="846"/>
      <c r="F195" s="846"/>
      <c r="G195" s="846"/>
      <c r="H195" s="899"/>
      <c r="I195" s="1413"/>
      <c r="J195" s="371" t="s">
        <v>764</v>
      </c>
      <c r="K195" s="673">
        <f>15024600+54.55-100000-3663248.83+1404986.76</f>
        <v>12666392.48</v>
      </c>
      <c r="L195" s="474"/>
      <c r="M195" s="980">
        <f>1902501+372964.26+186482.16+1933297+186482.1+927384+213822.55+1172850.86+1170050.79+981296+201957.87</f>
        <v>9249088.589999998</v>
      </c>
      <c r="N195" s="588"/>
      <c r="O195" s="595" t="s">
        <v>1084</v>
      </c>
      <c r="P195" s="599"/>
    </row>
    <row r="196" spans="1:16" s="366" customFormat="1" ht="31.2" hidden="1" x14ac:dyDescent="0.3">
      <c r="A196" s="596">
        <v>8</v>
      </c>
      <c r="B196" s="605" t="s">
        <v>1032</v>
      </c>
      <c r="C196" s="395" t="s">
        <v>1111</v>
      </c>
      <c r="D196" s="592"/>
      <c r="E196" s="592"/>
      <c r="F196" s="592"/>
      <c r="G196" s="592"/>
      <c r="H196" s="592"/>
      <c r="I196" s="477" t="s">
        <v>1112</v>
      </c>
      <c r="J196" s="371" t="s">
        <v>586</v>
      </c>
      <c r="K196" s="453"/>
      <c r="L196" s="474"/>
      <c r="M196" s="939"/>
      <c r="O196" s="595" t="s">
        <v>151</v>
      </c>
    </row>
    <row r="197" spans="1:16" s="366" customFormat="1" ht="31.2" hidden="1" x14ac:dyDescent="0.3">
      <c r="A197" s="596">
        <v>8</v>
      </c>
      <c r="B197" s="423"/>
      <c r="C197" s="395"/>
      <c r="D197" s="592"/>
      <c r="E197" s="592"/>
      <c r="F197" s="592"/>
      <c r="G197" s="592"/>
      <c r="H197" s="592"/>
      <c r="I197" s="477"/>
      <c r="J197" s="371"/>
      <c r="K197" s="453"/>
      <c r="L197" s="474"/>
      <c r="M197" s="939"/>
      <c r="O197" s="595" t="s">
        <v>151</v>
      </c>
    </row>
    <row r="198" spans="1:16" s="366" customFormat="1" ht="31.2" x14ac:dyDescent="0.3">
      <c r="A198" s="969">
        <v>9</v>
      </c>
      <c r="B198" s="606" t="s">
        <v>1365</v>
      </c>
      <c r="C198" s="971" t="s">
        <v>1103</v>
      </c>
      <c r="D198" s="586"/>
      <c r="E198" s="586"/>
      <c r="F198" s="586"/>
      <c r="G198" s="586"/>
      <c r="H198" s="586"/>
      <c r="I198" s="587" t="s">
        <v>1366</v>
      </c>
      <c r="J198" s="371" t="s">
        <v>586</v>
      </c>
      <c r="K198" s="421">
        <f>2300000+1500000</f>
        <v>3800000</v>
      </c>
      <c r="L198" s="474"/>
      <c r="M198" s="939">
        <f>2300000</f>
        <v>2300000</v>
      </c>
      <c r="O198" s="595"/>
    </row>
    <row r="199" spans="1:16" s="366" customFormat="1" ht="62.4" x14ac:dyDescent="0.3">
      <c r="A199" s="969">
        <v>10</v>
      </c>
      <c r="B199" s="754" t="s">
        <v>1388</v>
      </c>
      <c r="C199" s="971" t="s">
        <v>1111</v>
      </c>
      <c r="D199" s="586"/>
      <c r="E199" s="586"/>
      <c r="F199" s="586"/>
      <c r="G199" s="586"/>
      <c r="H199" s="586"/>
      <c r="I199" s="587" t="s">
        <v>1389</v>
      </c>
      <c r="J199" s="371" t="s">
        <v>764</v>
      </c>
      <c r="K199" s="421">
        <v>471100</v>
      </c>
      <c r="L199" s="474"/>
      <c r="M199" s="939">
        <v>471100</v>
      </c>
      <c r="O199" s="595"/>
    </row>
    <row r="200" spans="1:16" s="366" customFormat="1" ht="62.4" x14ac:dyDescent="0.3">
      <c r="A200" s="969">
        <v>11</v>
      </c>
      <c r="B200" s="606" t="s">
        <v>514</v>
      </c>
      <c r="C200" s="971" t="s">
        <v>1113</v>
      </c>
      <c r="D200" s="586"/>
      <c r="E200" s="586"/>
      <c r="F200" s="586"/>
      <c r="G200" s="586"/>
      <c r="H200" s="586"/>
      <c r="I200" s="587" t="s">
        <v>1292</v>
      </c>
      <c r="J200" s="371" t="s">
        <v>700</v>
      </c>
      <c r="K200" s="421">
        <v>2178000</v>
      </c>
      <c r="L200" s="474"/>
      <c r="M200" s="939">
        <f>1518000+660000</f>
        <v>2178000</v>
      </c>
      <c r="O200" s="595" t="s">
        <v>151</v>
      </c>
    </row>
    <row r="201" spans="1:16" s="366" customFormat="1" ht="31.2" x14ac:dyDescent="0.3">
      <c r="A201" s="1375">
        <v>12</v>
      </c>
      <c r="B201" s="1456" t="s">
        <v>1150</v>
      </c>
      <c r="C201" s="395" t="s">
        <v>1130</v>
      </c>
      <c r="D201" s="396"/>
      <c r="E201" s="396"/>
      <c r="F201" s="396"/>
      <c r="G201" s="396"/>
      <c r="H201" s="396"/>
      <c r="I201" s="397" t="s">
        <v>1234</v>
      </c>
      <c r="J201" s="371"/>
      <c r="K201" s="422">
        <f>K202+K203</f>
        <v>584381.05000000005</v>
      </c>
      <c r="L201" s="476"/>
      <c r="M201" s="422">
        <f>M202+M203</f>
        <v>382186.16000000003</v>
      </c>
      <c r="N201" s="365"/>
      <c r="O201" s="374" t="s">
        <v>151</v>
      </c>
    </row>
    <row r="202" spans="1:16" s="366" customFormat="1" ht="15.6" x14ac:dyDescent="0.3">
      <c r="A202" s="1376"/>
      <c r="B202" s="1457"/>
      <c r="C202" s="894"/>
      <c r="D202" s="399"/>
      <c r="E202" s="399"/>
      <c r="F202" s="399"/>
      <c r="G202" s="399"/>
      <c r="H202" s="399"/>
      <c r="I202" s="896"/>
      <c r="J202" s="371" t="s">
        <v>162</v>
      </c>
      <c r="K202" s="381">
        <f>538299.94-18.95</f>
        <v>538280.99</v>
      </c>
      <c r="L202" s="476"/>
      <c r="M202" s="424">
        <f>25979.4+7845.78+10481.82+35807.18+13979.28+20153.79+6086.43+33773.22+10199.53+25979.4+7845.78+33825.17+33825.17+57325.77+16104.39+11808.78+3566.27</f>
        <v>354587.16000000003</v>
      </c>
      <c r="N202" s="365"/>
      <c r="O202" s="374"/>
    </row>
    <row r="203" spans="1:16" s="366" customFormat="1" ht="15.6" x14ac:dyDescent="0.3">
      <c r="A203" s="1365"/>
      <c r="B203" s="1368"/>
      <c r="C203" s="392"/>
      <c r="D203" s="370"/>
      <c r="E203" s="370"/>
      <c r="F203" s="370"/>
      <c r="G203" s="370"/>
      <c r="H203" s="370"/>
      <c r="I203" s="398"/>
      <c r="J203" s="371" t="s">
        <v>586</v>
      </c>
      <c r="K203" s="381">
        <v>46100.06</v>
      </c>
      <c r="L203" s="476"/>
      <c r="M203" s="424">
        <f>8599+10000+1000+8000</f>
        <v>27599</v>
      </c>
      <c r="N203" s="365"/>
      <c r="O203" s="374"/>
    </row>
    <row r="204" spans="1:16" s="366" customFormat="1" ht="34.799999999999997" x14ac:dyDescent="0.3">
      <c r="A204" s="1375">
        <v>13</v>
      </c>
      <c r="B204" s="607" t="s">
        <v>1215</v>
      </c>
      <c r="C204" s="392"/>
      <c r="D204" s="370"/>
      <c r="E204" s="370"/>
      <c r="F204" s="370"/>
      <c r="G204" s="370"/>
      <c r="H204" s="370"/>
      <c r="I204" s="497"/>
      <c r="J204" s="371"/>
      <c r="K204" s="381"/>
      <c r="L204" s="476"/>
      <c r="M204" s="661"/>
      <c r="N204" s="365"/>
      <c r="O204" s="374"/>
    </row>
    <row r="205" spans="1:16" s="366" customFormat="1" ht="31.2" x14ac:dyDescent="0.3">
      <c r="A205" s="1376"/>
      <c r="B205" s="1377" t="s">
        <v>1216</v>
      </c>
      <c r="C205" s="395" t="s">
        <v>1141</v>
      </c>
      <c r="D205" s="592"/>
      <c r="E205" s="592"/>
      <c r="F205" s="592"/>
      <c r="G205" s="592"/>
      <c r="H205" s="592"/>
      <c r="I205" s="594" t="s">
        <v>1279</v>
      </c>
      <c r="J205" s="371"/>
      <c r="K205" s="422">
        <f>K206+K207</f>
        <v>573397.1</v>
      </c>
      <c r="L205" s="476"/>
      <c r="M205" s="422">
        <f>M206+M207</f>
        <v>432578.73999999987</v>
      </c>
      <c r="N205" s="365"/>
      <c r="O205" s="374" t="s">
        <v>151</v>
      </c>
    </row>
    <row r="206" spans="1:16" s="366" customFormat="1" ht="15.6" x14ac:dyDescent="0.3">
      <c r="A206" s="1376"/>
      <c r="B206" s="1377"/>
      <c r="C206" s="1388"/>
      <c r="D206" s="592"/>
      <c r="E206" s="592"/>
      <c r="F206" s="592"/>
      <c r="G206" s="592"/>
      <c r="H206" s="592"/>
      <c r="I206" s="1395"/>
      <c r="J206" s="371" t="s">
        <v>162</v>
      </c>
      <c r="K206" s="381">
        <f>539686.9-2.9</f>
        <v>539684</v>
      </c>
      <c r="L206" s="476"/>
      <c r="M206" s="424">
        <f>29652.04+8954.91+3932.34+57670.74+5700+18604.14+38547.65+11641.39+22413.32+78216.34+113.9+38264.52-113.9-113.9+40221.59+12146.92+29652.04+8954.91</f>
        <v>404458.9499999999</v>
      </c>
      <c r="N206" s="365"/>
      <c r="O206" s="374"/>
    </row>
    <row r="207" spans="1:16" s="366" customFormat="1" ht="15.6" x14ac:dyDescent="0.3">
      <c r="A207" s="1376"/>
      <c r="B207" s="1377"/>
      <c r="C207" s="1379"/>
      <c r="D207" s="592"/>
      <c r="E207" s="592"/>
      <c r="F207" s="592"/>
      <c r="G207" s="592"/>
      <c r="H207" s="592"/>
      <c r="I207" s="1393"/>
      <c r="J207" s="371" t="s">
        <v>586</v>
      </c>
      <c r="K207" s="381">
        <v>33713.1</v>
      </c>
      <c r="L207" s="476"/>
      <c r="M207" s="424">
        <f>1767.46+3423.81+1335.61+1731.41+1770+6770+1770+9551.5</f>
        <v>28119.79</v>
      </c>
      <c r="N207" s="365"/>
      <c r="O207" s="374"/>
    </row>
    <row r="208" spans="1:16" s="366" customFormat="1" ht="62.4" x14ac:dyDescent="0.3">
      <c r="A208" s="1376"/>
      <c r="B208" s="608" t="s">
        <v>1217</v>
      </c>
      <c r="C208" s="395" t="s">
        <v>1142</v>
      </c>
      <c r="D208" s="592"/>
      <c r="E208" s="592"/>
      <c r="F208" s="592"/>
      <c r="G208" s="592"/>
      <c r="H208" s="592"/>
      <c r="I208" s="594" t="s">
        <v>1305</v>
      </c>
      <c r="J208" s="371" t="s">
        <v>613</v>
      </c>
      <c r="K208" s="675">
        <f>43977400-56.79-2398764.17</f>
        <v>41578579.039999999</v>
      </c>
      <c r="L208" s="476"/>
      <c r="M208" s="946">
        <f>2619427.54+595333.96+2415772.19+683972.58+2501762.64+714093.95+2735760.22+679286.64+2690562.84+672144.96+3701564.9+3550587.42+2766357.03+730749.04+2485074.28+812624.29</f>
        <v>30355074.479999997</v>
      </c>
      <c r="N208" s="365"/>
      <c r="O208" s="1350" t="s">
        <v>968</v>
      </c>
    </row>
    <row r="209" spans="1:64" s="366" customFormat="1" ht="15.6" x14ac:dyDescent="0.3">
      <c r="A209" s="1376"/>
      <c r="B209" s="1377" t="s">
        <v>1218</v>
      </c>
      <c r="C209" s="395" t="s">
        <v>1105</v>
      </c>
      <c r="D209" s="592"/>
      <c r="E209" s="592"/>
      <c r="F209" s="592"/>
      <c r="G209" s="592"/>
      <c r="H209" s="592"/>
      <c r="I209" s="594" t="s">
        <v>1313</v>
      </c>
      <c r="J209" s="371"/>
      <c r="K209" s="422">
        <f>K210+K211</f>
        <v>155831249.56999999</v>
      </c>
      <c r="L209" s="476"/>
      <c r="M209" s="422">
        <f>M210+M211</f>
        <v>116513675.41</v>
      </c>
      <c r="N209" s="365"/>
      <c r="O209" s="1394"/>
    </row>
    <row r="210" spans="1:64" s="366" customFormat="1" ht="15.6" x14ac:dyDescent="0.3">
      <c r="A210" s="1376"/>
      <c r="B210" s="1377"/>
      <c r="C210" s="1388"/>
      <c r="D210" s="592"/>
      <c r="E210" s="592"/>
      <c r="F210" s="592"/>
      <c r="G210" s="592"/>
      <c r="H210" s="592"/>
      <c r="I210" s="1395"/>
      <c r="J210" s="371" t="s">
        <v>586</v>
      </c>
      <c r="K210" s="381"/>
      <c r="L210" s="476"/>
      <c r="M210" s="445"/>
      <c r="N210" s="365"/>
      <c r="O210" s="1394"/>
    </row>
    <row r="211" spans="1:64" s="366" customFormat="1" ht="15.6" x14ac:dyDescent="0.3">
      <c r="A211" s="1376"/>
      <c r="B211" s="1377"/>
      <c r="C211" s="1379"/>
      <c r="D211" s="592"/>
      <c r="E211" s="592"/>
      <c r="F211" s="592"/>
      <c r="G211" s="592"/>
      <c r="H211" s="592"/>
      <c r="I211" s="1393"/>
      <c r="J211" s="371" t="s">
        <v>613</v>
      </c>
      <c r="K211" s="381">
        <f>155831300-50.43</f>
        <v>155831249.56999999</v>
      </c>
      <c r="L211" s="476"/>
      <c r="M211" s="424">
        <f>9004508.92+591141.05+12556560.11+488552.18+11893748.58+540298.1+12499910.88+540211.56+690980.37+14512375.96+29462273.57+1904156.99+10441643.46+120603.79+531115.04+10735594.85</f>
        <v>116513675.41</v>
      </c>
      <c r="N211" s="365"/>
      <c r="O211" s="1394"/>
    </row>
    <row r="212" spans="1:64" s="366" customFormat="1" ht="15.6" x14ac:dyDescent="0.3">
      <c r="A212" s="1376"/>
      <c r="B212" s="1377" t="s">
        <v>1368</v>
      </c>
      <c r="C212" s="1388" t="s">
        <v>1145</v>
      </c>
      <c r="D212" s="592"/>
      <c r="E212" s="592"/>
      <c r="F212" s="592"/>
      <c r="G212" s="592"/>
      <c r="H212" s="592"/>
      <c r="I212" s="1395" t="s">
        <v>1326</v>
      </c>
      <c r="J212" s="371"/>
      <c r="K212" s="422">
        <f>K214+K215+K213</f>
        <v>10826938.460000001</v>
      </c>
      <c r="L212" s="476"/>
      <c r="M212" s="422">
        <f>M214+M215+M213</f>
        <v>7637696.6099999985</v>
      </c>
      <c r="N212" s="365"/>
      <c r="O212" s="1394"/>
    </row>
    <row r="213" spans="1:64" s="366" customFormat="1" ht="15.6" x14ac:dyDescent="0.3">
      <c r="A213" s="1376"/>
      <c r="B213" s="1377"/>
      <c r="C213" s="1405"/>
      <c r="D213" s="592"/>
      <c r="E213" s="592"/>
      <c r="F213" s="592"/>
      <c r="G213" s="592"/>
      <c r="H213" s="592"/>
      <c r="I213" s="1406"/>
      <c r="J213" s="371" t="s">
        <v>586</v>
      </c>
      <c r="K213" s="381">
        <v>50400</v>
      </c>
      <c r="L213" s="476"/>
      <c r="M213" s="740">
        <f>5615.36+5627.77</f>
        <v>11243.130000000001</v>
      </c>
      <c r="N213" s="365"/>
      <c r="O213" s="1394"/>
    </row>
    <row r="214" spans="1:64" s="366" customFormat="1" ht="15.6" x14ac:dyDescent="0.3">
      <c r="A214" s="1376"/>
      <c r="B214" s="1377"/>
      <c r="C214" s="1405"/>
      <c r="D214" s="592"/>
      <c r="E214" s="592"/>
      <c r="F214" s="592"/>
      <c r="G214" s="592"/>
      <c r="H214" s="592"/>
      <c r="I214" s="1406"/>
      <c r="J214" s="371" t="s">
        <v>764</v>
      </c>
      <c r="K214" s="674">
        <f>7075400+22.92-4825400-50400+1000000</f>
        <v>3199622.92</v>
      </c>
      <c r="L214" s="476"/>
      <c r="M214" s="424">
        <f>615180.58+275872.01+285664.98+562777.7+215247.82+221672.44+242467.16</f>
        <v>2418882.69</v>
      </c>
      <c r="N214" s="365"/>
      <c r="O214" s="1394"/>
    </row>
    <row r="215" spans="1:64" s="366" customFormat="1" ht="15.6" x14ac:dyDescent="0.3">
      <c r="A215" s="1376"/>
      <c r="B215" s="1377"/>
      <c r="C215" s="1379"/>
      <c r="D215" s="592"/>
      <c r="E215" s="592"/>
      <c r="F215" s="592"/>
      <c r="G215" s="592"/>
      <c r="H215" s="592"/>
      <c r="I215" s="1393"/>
      <c r="J215" s="371" t="s">
        <v>613</v>
      </c>
      <c r="K215" s="674">
        <f>4825400+2751515.54</f>
        <v>7576915.54</v>
      </c>
      <c r="L215" s="476"/>
      <c r="M215" s="424">
        <f>1295117.99+274734.8+136154.6+189158.35+527701.61+166435.54+1007935.24+166769.69+695979.16+270763.3+315679.25+161141.26</f>
        <v>5207570.7899999991</v>
      </c>
      <c r="N215" s="365"/>
      <c r="O215" s="1394"/>
    </row>
    <row r="216" spans="1:64" s="366" customFormat="1" ht="46.8" hidden="1" x14ac:dyDescent="0.3">
      <c r="A216" s="1376"/>
      <c r="B216" s="608" t="s">
        <v>1220</v>
      </c>
      <c r="C216" s="970" t="s">
        <v>1105</v>
      </c>
      <c r="D216" s="592"/>
      <c r="E216" s="592"/>
      <c r="F216" s="592"/>
      <c r="G216" s="592"/>
      <c r="H216" s="592"/>
      <c r="I216" s="610" t="s">
        <v>1189</v>
      </c>
      <c r="J216" s="371" t="s">
        <v>613</v>
      </c>
      <c r="K216" s="422"/>
      <c r="L216" s="476"/>
      <c r="M216" s="939"/>
      <c r="N216" s="365"/>
      <c r="O216" s="1394"/>
    </row>
    <row r="217" spans="1:64" s="366" customFormat="1" ht="46.8" x14ac:dyDescent="0.3">
      <c r="A217" s="1465"/>
      <c r="B217" s="748" t="s">
        <v>1420</v>
      </c>
      <c r="C217" s="970" t="s">
        <v>1142</v>
      </c>
      <c r="D217" s="592"/>
      <c r="E217" s="592"/>
      <c r="F217" s="592"/>
      <c r="G217" s="592"/>
      <c r="H217" s="592"/>
      <c r="I217" s="610" t="s">
        <v>1419</v>
      </c>
      <c r="J217" s="371" t="s">
        <v>700</v>
      </c>
      <c r="K217" s="675">
        <v>2957120.27</v>
      </c>
      <c r="L217" s="476"/>
      <c r="M217" s="983">
        <v>2957120.27</v>
      </c>
      <c r="N217" s="365"/>
      <c r="O217" s="1466"/>
    </row>
    <row r="218" spans="1:64" s="366" customFormat="1" ht="15.6" x14ac:dyDescent="0.3">
      <c r="A218" s="1376"/>
      <c r="B218" s="1377" t="s">
        <v>1221</v>
      </c>
      <c r="C218" s="970" t="s">
        <v>1143</v>
      </c>
      <c r="D218" s="592"/>
      <c r="E218" s="592"/>
      <c r="F218" s="592"/>
      <c r="G218" s="592"/>
      <c r="H218" s="592"/>
      <c r="I218" s="610" t="s">
        <v>1319</v>
      </c>
      <c r="J218" s="371"/>
      <c r="K218" s="422">
        <f>K220+K221+K219</f>
        <v>1566340</v>
      </c>
      <c r="L218" s="476"/>
      <c r="M218" s="422">
        <f>M220+M221+M219</f>
        <v>1566340</v>
      </c>
      <c r="N218" s="365"/>
      <c r="O218" s="1394"/>
    </row>
    <row r="219" spans="1:64" s="366" customFormat="1" ht="15.6" x14ac:dyDescent="0.3">
      <c r="A219" s="1376"/>
      <c r="B219" s="1377"/>
      <c r="C219" s="970"/>
      <c r="D219" s="592"/>
      <c r="E219" s="592"/>
      <c r="F219" s="592"/>
      <c r="G219" s="592"/>
      <c r="H219" s="592"/>
      <c r="I219" s="610"/>
      <c r="J219" s="371" t="s">
        <v>586</v>
      </c>
      <c r="K219" s="381">
        <v>239030.39999999999</v>
      </c>
      <c r="L219" s="476"/>
      <c r="M219" s="740">
        <v>239030.39999999999</v>
      </c>
      <c r="N219" s="365"/>
      <c r="O219" s="1394"/>
    </row>
    <row r="220" spans="1:64" s="366" customFormat="1" ht="15.6" x14ac:dyDescent="0.3">
      <c r="A220" s="1376"/>
      <c r="B220" s="1377"/>
      <c r="C220" s="970"/>
      <c r="D220" s="592"/>
      <c r="E220" s="592"/>
      <c r="F220" s="592"/>
      <c r="G220" s="592"/>
      <c r="H220" s="592"/>
      <c r="I220" s="610"/>
      <c r="J220" s="371" t="s">
        <v>764</v>
      </c>
      <c r="K220" s="381"/>
      <c r="L220" s="476"/>
      <c r="M220" s="445"/>
      <c r="N220" s="365"/>
      <c r="O220" s="1394"/>
    </row>
    <row r="221" spans="1:64" s="366" customFormat="1" ht="15.6" x14ac:dyDescent="0.3">
      <c r="A221" s="1376"/>
      <c r="B221" s="1377"/>
      <c r="C221" s="970"/>
      <c r="D221" s="592"/>
      <c r="E221" s="592"/>
      <c r="F221" s="592"/>
      <c r="G221" s="592"/>
      <c r="H221" s="592"/>
      <c r="I221" s="610"/>
      <c r="J221" s="371" t="s">
        <v>613</v>
      </c>
      <c r="K221" s="381">
        <f>1361000+130+205210-239030.4</f>
        <v>1327309.6000000001</v>
      </c>
      <c r="L221" s="476"/>
      <c r="M221" s="445">
        <v>1327309.6000000001</v>
      </c>
      <c r="N221" s="365"/>
      <c r="O221" s="1394"/>
    </row>
    <row r="222" spans="1:64" s="366" customFormat="1" ht="46.8" x14ac:dyDescent="0.3">
      <c r="A222" s="1376"/>
      <c r="B222" s="748" t="s">
        <v>1396</v>
      </c>
      <c r="C222" s="550" t="s">
        <v>1398</v>
      </c>
      <c r="D222" s="592"/>
      <c r="E222" s="592"/>
      <c r="F222" s="592"/>
      <c r="G222" s="592"/>
      <c r="H222" s="592"/>
      <c r="I222" s="611" t="s">
        <v>1399</v>
      </c>
      <c r="J222" s="397" t="s">
        <v>613</v>
      </c>
      <c r="K222" s="612">
        <v>456000</v>
      </c>
      <c r="L222" s="476"/>
      <c r="M222" s="940"/>
      <c r="N222" s="365"/>
      <c r="O222" s="1394"/>
    </row>
    <row r="223" spans="1:64" s="713" customFormat="1" ht="46.8" x14ac:dyDescent="0.3">
      <c r="A223" s="1376"/>
      <c r="B223" s="608" t="s">
        <v>1223</v>
      </c>
      <c r="C223" s="550" t="s">
        <v>1142</v>
      </c>
      <c r="D223" s="592"/>
      <c r="E223" s="592"/>
      <c r="F223" s="592"/>
      <c r="G223" s="592"/>
      <c r="H223" s="592"/>
      <c r="I223" s="611" t="s">
        <v>1371</v>
      </c>
      <c r="J223" s="397" t="s">
        <v>700</v>
      </c>
      <c r="K223" s="612">
        <f>1929041.48+80226.97</f>
        <v>2009268.45</v>
      </c>
      <c r="L223" s="476"/>
      <c r="M223" s="940">
        <f>1929041.48+80226.97</f>
        <v>2009268.45</v>
      </c>
      <c r="N223" s="712"/>
      <c r="O223" s="1394"/>
      <c r="Q223" s="366"/>
      <c r="R223" s="366"/>
      <c r="S223" s="366"/>
      <c r="T223" s="366"/>
      <c r="U223" s="366"/>
      <c r="V223" s="366"/>
      <c r="W223" s="366"/>
      <c r="X223" s="366"/>
      <c r="Y223" s="366"/>
      <c r="Z223" s="366"/>
      <c r="AA223" s="366"/>
      <c r="AB223" s="366"/>
      <c r="AC223" s="366"/>
      <c r="AD223" s="366"/>
      <c r="AE223" s="366"/>
      <c r="AF223" s="366"/>
      <c r="AG223" s="366"/>
      <c r="AH223" s="366"/>
      <c r="AI223" s="366"/>
      <c r="AJ223" s="366"/>
      <c r="AK223" s="366"/>
      <c r="AL223" s="366"/>
      <c r="AM223" s="366"/>
      <c r="AN223" s="366"/>
      <c r="AO223" s="366"/>
      <c r="AP223" s="366"/>
      <c r="AQ223" s="366"/>
      <c r="AR223" s="366"/>
      <c r="AS223" s="366"/>
      <c r="AT223" s="366"/>
      <c r="AU223" s="366"/>
      <c r="AV223" s="366"/>
      <c r="AW223" s="366"/>
      <c r="AX223" s="366"/>
      <c r="AY223" s="366"/>
      <c r="AZ223" s="366"/>
      <c r="BA223" s="366"/>
      <c r="BB223" s="366"/>
      <c r="BC223" s="366"/>
      <c r="BD223" s="366"/>
      <c r="BE223" s="366"/>
      <c r="BF223" s="366"/>
      <c r="BG223" s="366"/>
      <c r="BH223" s="366"/>
      <c r="BI223" s="366"/>
      <c r="BJ223" s="366"/>
      <c r="BK223" s="366"/>
      <c r="BL223" s="366"/>
    </row>
    <row r="224" spans="1:64" s="366" customFormat="1" ht="46.8" hidden="1" x14ac:dyDescent="0.3">
      <c r="A224" s="1376"/>
      <c r="B224" s="608" t="s">
        <v>1224</v>
      </c>
      <c r="C224" s="550" t="s">
        <v>1105</v>
      </c>
      <c r="D224" s="592"/>
      <c r="E224" s="592"/>
      <c r="F224" s="592"/>
      <c r="G224" s="592"/>
      <c r="H224" s="592"/>
      <c r="I224" s="611" t="s">
        <v>1193</v>
      </c>
      <c r="J224" s="397" t="s">
        <v>613</v>
      </c>
      <c r="K224" s="612"/>
      <c r="L224" s="476"/>
      <c r="M224" s="940"/>
      <c r="N224" s="365"/>
      <c r="O224" s="1352"/>
    </row>
    <row r="225" spans="1:15" s="366" customFormat="1" ht="17.399999999999999" x14ac:dyDescent="0.3">
      <c r="A225" s="1365"/>
      <c r="B225" s="614" t="s">
        <v>483</v>
      </c>
      <c r="C225" s="615"/>
      <c r="D225" s="616"/>
      <c r="E225" s="616"/>
      <c r="F225" s="616"/>
      <c r="G225" s="616"/>
      <c r="H225" s="616"/>
      <c r="I225" s="617"/>
      <c r="J225" s="371"/>
      <c r="K225" s="422">
        <f>K205+K208+K209+K212+K216+K218+K222+K223+K224+K217</f>
        <v>215798892.88999999</v>
      </c>
      <c r="L225" s="625"/>
      <c r="M225" s="422">
        <f>M205+M208+M209+M212+M216+M218+M222+M223+M224+M217</f>
        <v>161471753.95999998</v>
      </c>
      <c r="N225" s="365"/>
      <c r="O225" s="619"/>
    </row>
    <row r="226" spans="1:15" s="366" customFormat="1" ht="36" x14ac:dyDescent="0.35">
      <c r="A226" s="968">
        <v>13</v>
      </c>
      <c r="B226" s="620" t="s">
        <v>1164</v>
      </c>
      <c r="C226" s="395" t="s">
        <v>1109</v>
      </c>
      <c r="D226" s="592"/>
      <c r="E226" s="592"/>
      <c r="F226" s="592"/>
      <c r="G226" s="592"/>
      <c r="H226" s="592"/>
      <c r="I226" s="611"/>
      <c r="J226" s="397"/>
      <c r="K226" s="612">
        <f>K227+K228+K229</f>
        <v>0</v>
      </c>
      <c r="L226" s="625"/>
      <c r="M226" s="612"/>
      <c r="N226" s="365"/>
      <c r="O226" s="432" t="s">
        <v>151</v>
      </c>
    </row>
    <row r="227" spans="1:15" s="366" customFormat="1" ht="46.8" hidden="1" x14ac:dyDescent="0.3">
      <c r="A227" s="968">
        <v>14</v>
      </c>
      <c r="B227" s="621" t="s">
        <v>1165</v>
      </c>
      <c r="C227" s="395" t="s">
        <v>1109</v>
      </c>
      <c r="D227" s="592"/>
      <c r="E227" s="592"/>
      <c r="F227" s="592"/>
      <c r="G227" s="592"/>
      <c r="H227" s="592"/>
      <c r="I227" s="611" t="s">
        <v>1166</v>
      </c>
      <c r="J227" s="397" t="s">
        <v>700</v>
      </c>
      <c r="K227" s="612"/>
      <c r="L227" s="625"/>
      <c r="M227" s="622"/>
      <c r="N227" s="365"/>
      <c r="O227" s="619"/>
    </row>
    <row r="228" spans="1:15" s="366" customFormat="1" ht="31.2" hidden="1" x14ac:dyDescent="0.3">
      <c r="A228" s="968">
        <v>15</v>
      </c>
      <c r="B228" s="466" t="s">
        <v>1176</v>
      </c>
      <c r="C228" s="451" t="s">
        <v>1109</v>
      </c>
      <c r="I228" s="531" t="s">
        <v>1177</v>
      </c>
      <c r="J228" s="397" t="s">
        <v>700</v>
      </c>
      <c r="K228" s="612"/>
      <c r="L228" s="625"/>
      <c r="M228" s="622"/>
      <c r="N228" s="365"/>
      <c r="O228" s="619"/>
    </row>
    <row r="229" spans="1:15" s="366" customFormat="1" ht="15.6" hidden="1" x14ac:dyDescent="0.3">
      <c r="A229" s="968">
        <v>16</v>
      </c>
      <c r="B229" s="521" t="s">
        <v>1207</v>
      </c>
      <c r="C229" s="451" t="s">
        <v>1111</v>
      </c>
      <c r="I229" s="531" t="s">
        <v>1208</v>
      </c>
      <c r="J229" s="397" t="s">
        <v>764</v>
      </c>
      <c r="K229" s="612"/>
      <c r="L229" s="625"/>
      <c r="M229" s="612"/>
      <c r="N229" s="365"/>
      <c r="O229" s="619"/>
    </row>
    <row r="230" spans="1:15" s="366" customFormat="1" ht="18" hidden="1" x14ac:dyDescent="0.35">
      <c r="A230" s="968">
        <v>17</v>
      </c>
      <c r="B230" s="623" t="s">
        <v>322</v>
      </c>
      <c r="C230" s="451" t="s">
        <v>1159</v>
      </c>
      <c r="I230" s="531" t="s">
        <v>1178</v>
      </c>
      <c r="J230" s="397" t="s">
        <v>813</v>
      </c>
      <c r="K230" s="612"/>
      <c r="L230" s="625"/>
      <c r="M230" s="612"/>
      <c r="N230" s="365"/>
      <c r="O230" s="448" t="s">
        <v>1179</v>
      </c>
    </row>
    <row r="231" spans="1:15" s="366" customFormat="1" ht="46.8" hidden="1" x14ac:dyDescent="0.3">
      <c r="A231" s="968">
        <v>18</v>
      </c>
      <c r="B231" s="466" t="s">
        <v>1199</v>
      </c>
      <c r="C231" s="451" t="s">
        <v>1103</v>
      </c>
      <c r="I231" s="531" t="s">
        <v>1200</v>
      </c>
      <c r="J231" s="397" t="s">
        <v>586</v>
      </c>
      <c r="K231" s="612"/>
      <c r="L231" s="625"/>
      <c r="M231" s="612"/>
      <c r="N231" s="365"/>
      <c r="O231" s="432" t="s">
        <v>151</v>
      </c>
    </row>
    <row r="232" spans="1:15" s="474" customFormat="1" ht="62.4" x14ac:dyDescent="0.3">
      <c r="A232" s="624">
        <v>14</v>
      </c>
      <c r="B232" s="423" t="s">
        <v>601</v>
      </c>
      <c r="C232" s="550" t="s">
        <v>1227</v>
      </c>
      <c r="I232" s="611" t="s">
        <v>1228</v>
      </c>
      <c r="J232" s="397" t="s">
        <v>586</v>
      </c>
      <c r="K232" s="612">
        <f>24200-13.73</f>
        <v>24186.27</v>
      </c>
      <c r="L232" s="625"/>
      <c r="M232" s="710">
        <v>10250</v>
      </c>
      <c r="N232" s="476"/>
      <c r="O232" s="432"/>
    </row>
    <row r="233" spans="1:15" s="474" customFormat="1" ht="31.2" x14ac:dyDescent="0.3">
      <c r="A233" s="624">
        <v>15</v>
      </c>
      <c r="B233" s="416" t="s">
        <v>1369</v>
      </c>
      <c r="C233" s="550" t="s">
        <v>1109</v>
      </c>
      <c r="I233" s="611" t="s">
        <v>1370</v>
      </c>
      <c r="J233" s="397" t="s">
        <v>700</v>
      </c>
      <c r="K233" s="612">
        <f>7065202.59+155395336</f>
        <v>162460538.59</v>
      </c>
      <c r="L233" s="625"/>
      <c r="M233" s="612">
        <f>2660770.7</f>
        <v>2660770.7000000002</v>
      </c>
      <c r="N233" s="476"/>
      <c r="O233" s="432"/>
    </row>
    <row r="234" spans="1:15" ht="21" x14ac:dyDescent="0.4">
      <c r="A234" s="410"/>
      <c r="B234" s="402" t="s">
        <v>1151</v>
      </c>
      <c r="C234" s="411"/>
      <c r="D234" s="411"/>
      <c r="E234" s="411"/>
      <c r="F234" s="411"/>
      <c r="G234" s="411"/>
      <c r="H234" s="411"/>
      <c r="I234" s="412"/>
      <c r="J234" s="413"/>
      <c r="K234" s="676">
        <f>K182+K186+K187+K189+K190+K191+K195+K196+K197+K200+K201+K225+K226+K228+K230+K231+K232+K198+K233+K185+K199+K188+K194</f>
        <v>497608255.30999994</v>
      </c>
      <c r="L234" s="408"/>
      <c r="M234" s="676">
        <f>M182+M186+M187+M189+M190+M191+M195+M196+M197+M200+M201+M225+M226+M228+M230+M231+M232+M198+M233+M185+M199+M188+M194</f>
        <v>265138111.82999998</v>
      </c>
      <c r="N234" s="354"/>
      <c r="O234" s="354"/>
    </row>
    <row r="235" spans="1:15" ht="46.8" x14ac:dyDescent="0.3">
      <c r="A235" s="444">
        <v>1</v>
      </c>
      <c r="B235" s="423" t="s">
        <v>513</v>
      </c>
      <c r="C235" s="971" t="s">
        <v>1113</v>
      </c>
      <c r="D235" s="586"/>
      <c r="E235" s="586"/>
      <c r="F235" s="586"/>
      <c r="G235" s="586"/>
      <c r="H235" s="586"/>
      <c r="I235" s="587" t="s">
        <v>1291</v>
      </c>
      <c r="J235" s="834" t="s">
        <v>700</v>
      </c>
      <c r="K235" s="421">
        <f>4356000+1089000</f>
        <v>5445000</v>
      </c>
      <c r="L235" s="366"/>
      <c r="M235" s="946">
        <f>195424+1705632+10432</f>
        <v>1911488</v>
      </c>
      <c r="N235" s="366"/>
      <c r="O235" s="595" t="s">
        <v>151</v>
      </c>
    </row>
    <row r="236" spans="1:15" ht="15.6" x14ac:dyDescent="0.3">
      <c r="A236" s="1460">
        <v>2</v>
      </c>
      <c r="B236" s="1420" t="s">
        <v>1390</v>
      </c>
      <c r="C236" s="395" t="s">
        <v>1111</v>
      </c>
      <c r="D236" s="592"/>
      <c r="E236" s="592"/>
      <c r="F236" s="592"/>
      <c r="G236" s="592"/>
      <c r="H236" s="592"/>
      <c r="I236" s="397" t="s">
        <v>1391</v>
      </c>
      <c r="J236" s="397" t="s">
        <v>764</v>
      </c>
      <c r="K236" s="622">
        <f>400000-400000</f>
        <v>0</v>
      </c>
      <c r="L236" s="366"/>
      <c r="M236" s="939"/>
      <c r="N236" s="366"/>
      <c r="O236" s="595"/>
    </row>
    <row r="237" spans="1:15" ht="15.6" x14ac:dyDescent="0.3">
      <c r="A237" s="1419"/>
      <c r="B237" s="1421"/>
      <c r="C237" s="395" t="s">
        <v>1111</v>
      </c>
      <c r="D237" s="592"/>
      <c r="E237" s="592"/>
      <c r="F237" s="592"/>
      <c r="G237" s="592"/>
      <c r="H237" s="592"/>
      <c r="I237" s="397" t="s">
        <v>1406</v>
      </c>
      <c r="J237" s="397" t="s">
        <v>764</v>
      </c>
      <c r="K237" s="622">
        <v>400000</v>
      </c>
      <c r="L237" s="366"/>
      <c r="M237" s="939">
        <v>400000</v>
      </c>
      <c r="N237" s="366"/>
      <c r="O237" s="595"/>
    </row>
    <row r="238" spans="1:15" ht="36" x14ac:dyDescent="0.4">
      <c r="A238" s="444">
        <v>3</v>
      </c>
      <c r="B238" s="348" t="s">
        <v>1378</v>
      </c>
      <c r="C238" s="835" t="s">
        <v>1130</v>
      </c>
      <c r="I238" s="836" t="s">
        <v>1379</v>
      </c>
      <c r="J238" s="979" t="s">
        <v>586</v>
      </c>
      <c r="K238" s="837">
        <f>638410.08-95763.09+95763.09</f>
        <v>638410.07999999996</v>
      </c>
      <c r="L238" s="408"/>
      <c r="M238" s="947">
        <f>3500+502150+13857.99</f>
        <v>519507.99</v>
      </c>
      <c r="N238" s="354"/>
      <c r="O238" s="342" t="s">
        <v>151</v>
      </c>
    </row>
    <row r="239" spans="1:15" ht="63.6" hidden="1" x14ac:dyDescent="0.4">
      <c r="A239" s="444">
        <v>2</v>
      </c>
      <c r="B239" s="115" t="s">
        <v>1210</v>
      </c>
      <c r="C239" s="351" t="s">
        <v>1105</v>
      </c>
      <c r="I239" s="357" t="s">
        <v>1211</v>
      </c>
      <c r="J239" s="415" t="s">
        <v>613</v>
      </c>
      <c r="K239" s="679"/>
      <c r="L239" s="408"/>
      <c r="M239" s="440"/>
      <c r="N239" s="354"/>
      <c r="O239" s="342" t="s">
        <v>1152</v>
      </c>
    </row>
    <row r="240" spans="1:15" ht="46.8" x14ac:dyDescent="0.4">
      <c r="A240" s="444">
        <v>4</v>
      </c>
      <c r="B240" s="748" t="s">
        <v>1396</v>
      </c>
      <c r="C240" s="351" t="s">
        <v>1105</v>
      </c>
      <c r="I240" s="357" t="s">
        <v>1397</v>
      </c>
      <c r="J240" s="415" t="s">
        <v>613</v>
      </c>
      <c r="K240" s="679">
        <v>1064000</v>
      </c>
      <c r="L240" s="408"/>
      <c r="M240" s="984">
        <v>541011.66</v>
      </c>
      <c r="N240" s="354"/>
      <c r="O240" s="342"/>
    </row>
    <row r="241" spans="1:15" ht="21" x14ac:dyDescent="0.4">
      <c r="A241" s="444"/>
      <c r="B241" s="115"/>
      <c r="C241" s="351"/>
      <c r="I241" s="357"/>
      <c r="J241" s="415"/>
      <c r="K241" s="679"/>
      <c r="L241" s="408"/>
      <c r="M241" s="440"/>
      <c r="N241" s="354"/>
      <c r="O241" s="342"/>
    </row>
    <row r="242" spans="1:15" ht="21" x14ac:dyDescent="0.4">
      <c r="A242" s="444"/>
      <c r="B242" s="115"/>
      <c r="C242" s="351"/>
      <c r="I242" s="357"/>
      <c r="J242" s="415"/>
      <c r="K242" s="679"/>
      <c r="L242" s="408"/>
      <c r="M242" s="440"/>
      <c r="N242" s="354"/>
      <c r="O242" s="342"/>
    </row>
    <row r="243" spans="1:15" ht="21" x14ac:dyDescent="0.4">
      <c r="A243" s="410"/>
      <c r="B243" s="402" t="s">
        <v>1212</v>
      </c>
      <c r="C243" s="411"/>
      <c r="D243" s="411"/>
      <c r="E243" s="411"/>
      <c r="F243" s="411"/>
      <c r="G243" s="411"/>
      <c r="H243" s="411"/>
      <c r="I243" s="413"/>
      <c r="J243" s="413"/>
      <c r="K243" s="680">
        <f>K235+K238+K236+K240+K237</f>
        <v>7547410.0800000001</v>
      </c>
      <c r="L243" s="408"/>
      <c r="M243" s="680">
        <f>M235+M238+M236+M240+M237</f>
        <v>3372007.6500000004</v>
      </c>
      <c r="N243" s="354"/>
      <c r="O243" s="354"/>
    </row>
    <row r="246" spans="1:15" ht="18" x14ac:dyDescent="0.35">
      <c r="A246" s="331" t="s">
        <v>1380</v>
      </c>
      <c r="B246" s="331"/>
      <c r="C246" s="331"/>
      <c r="D246" s="331"/>
      <c r="E246" s="331"/>
      <c r="F246" s="331"/>
      <c r="G246" s="331"/>
      <c r="H246" s="331"/>
      <c r="I246" s="355"/>
      <c r="J246" s="355"/>
      <c r="K246" s="681"/>
      <c r="L246" s="355"/>
      <c r="M246" s="331"/>
      <c r="N246" s="331"/>
      <c r="O246" s="331"/>
    </row>
    <row r="247" spans="1:15" ht="18" x14ac:dyDescent="0.35">
      <c r="A247" s="331" t="s">
        <v>1155</v>
      </c>
      <c r="B247" s="331"/>
      <c r="C247" s="331"/>
      <c r="D247" s="331"/>
      <c r="E247" s="331"/>
      <c r="F247" s="331"/>
      <c r="G247" s="331"/>
      <c r="H247" s="331"/>
      <c r="I247" s="355"/>
      <c r="J247" s="355"/>
      <c r="K247" s="681"/>
      <c r="L247" s="355"/>
      <c r="M247" s="331"/>
      <c r="N247" s="1391" t="s">
        <v>958</v>
      </c>
      <c r="O247" s="1391"/>
    </row>
    <row r="248" spans="1:15" ht="18" x14ac:dyDescent="0.35">
      <c r="A248" s="331"/>
      <c r="B248" s="331"/>
      <c r="C248" s="331"/>
      <c r="D248" s="331"/>
      <c r="E248" s="331"/>
      <c r="F248" s="331"/>
      <c r="G248" s="331"/>
      <c r="H248" s="331"/>
      <c r="I248" s="355"/>
      <c r="J248" s="355"/>
      <c r="K248" s="681"/>
      <c r="L248" s="355"/>
      <c r="M248" s="331"/>
      <c r="N248" s="331"/>
      <c r="O248" s="331"/>
    </row>
    <row r="249" spans="1:15" ht="18" x14ac:dyDescent="0.35">
      <c r="A249" s="331" t="s">
        <v>1156</v>
      </c>
      <c r="B249" s="331" t="s">
        <v>1414</v>
      </c>
      <c r="C249" s="331"/>
      <c r="D249" s="331"/>
      <c r="E249" s="331"/>
      <c r="F249" s="331"/>
      <c r="G249" s="331"/>
      <c r="H249" s="331"/>
      <c r="I249" s="355"/>
      <c r="J249" s="355"/>
      <c r="K249" s="681"/>
      <c r="L249" s="355"/>
      <c r="M249" s="331"/>
      <c r="N249" s="331"/>
      <c r="O249" s="331"/>
    </row>
    <row r="250" spans="1:15" ht="18" x14ac:dyDescent="0.35">
      <c r="A250" s="331"/>
      <c r="B250" s="331" t="s">
        <v>960</v>
      </c>
      <c r="C250" s="331"/>
      <c r="D250" s="331"/>
      <c r="E250" s="331"/>
      <c r="F250" s="331"/>
      <c r="G250" s="331"/>
      <c r="H250" s="331"/>
      <c r="I250" s="355"/>
      <c r="J250" s="355"/>
      <c r="K250" s="681"/>
      <c r="L250" s="355"/>
      <c r="M250" s="331"/>
      <c r="N250" s="331"/>
      <c r="O250" s="331"/>
    </row>
    <row r="252" spans="1:15" ht="15.6" x14ac:dyDescent="0.3">
      <c r="A252" s="420"/>
      <c r="B252" s="414"/>
      <c r="C252" s="417"/>
      <c r="D252" s="336"/>
      <c r="E252" s="336"/>
      <c r="F252" s="336"/>
      <c r="G252" s="336"/>
      <c r="H252" s="336"/>
      <c r="I252" s="418"/>
      <c r="J252" s="418"/>
      <c r="K252" s="367"/>
    </row>
    <row r="255" spans="1:15" ht="15.6" x14ac:dyDescent="0.3">
      <c r="B255" s="414"/>
      <c r="C255" s="417"/>
      <c r="D255" s="336"/>
      <c r="E255" s="336"/>
      <c r="F255" s="336"/>
      <c r="G255" s="336"/>
      <c r="H255" s="336"/>
      <c r="I255" s="418"/>
      <c r="J255" s="418"/>
      <c r="K255" s="582"/>
      <c r="L255" s="336"/>
      <c r="M255" s="336"/>
    </row>
    <row r="256" spans="1:15" x14ac:dyDescent="0.3">
      <c r="B256" s="336"/>
      <c r="C256" s="336"/>
      <c r="D256" s="336"/>
      <c r="E256" s="336"/>
      <c r="F256" s="336"/>
      <c r="G256" s="336"/>
      <c r="H256" s="336"/>
      <c r="I256" s="336"/>
      <c r="J256" s="336"/>
      <c r="K256" s="367"/>
      <c r="L256" s="336"/>
      <c r="M256" s="336"/>
    </row>
  </sheetData>
  <mergeCells count="129">
    <mergeCell ref="A9:B9"/>
    <mergeCell ref="I9:O9"/>
    <mergeCell ref="A10:B10"/>
    <mergeCell ref="I10:O10"/>
    <mergeCell ref="A11:B11"/>
    <mergeCell ref="I11:O11"/>
    <mergeCell ref="A12:B12"/>
    <mergeCell ref="M2:O2"/>
    <mergeCell ref="A3:B3"/>
    <mergeCell ref="M3:O3"/>
    <mergeCell ref="A4:B4"/>
    <mergeCell ref="A6:B6"/>
    <mergeCell ref="A5:B5"/>
    <mergeCell ref="A2:B2"/>
    <mergeCell ref="A7:B7"/>
    <mergeCell ref="A8:B8"/>
    <mergeCell ref="I8:O8"/>
    <mergeCell ref="O43:O46"/>
    <mergeCell ref="A14:O14"/>
    <mergeCell ref="A17:A20"/>
    <mergeCell ref="B17:B20"/>
    <mergeCell ref="C17:C20"/>
    <mergeCell ref="I17:I20"/>
    <mergeCell ref="J17:J20"/>
    <mergeCell ref="L17:L19"/>
    <mergeCell ref="M17:M20"/>
    <mergeCell ref="N17:N19"/>
    <mergeCell ref="O17:P17"/>
    <mergeCell ref="O18:O20"/>
    <mergeCell ref="P18:P20"/>
    <mergeCell ref="K17:K20"/>
    <mergeCell ref="O22:O29"/>
    <mergeCell ref="A29:A30"/>
    <mergeCell ref="B29:B30"/>
    <mergeCell ref="I29:I30"/>
    <mergeCell ref="O31:O32"/>
    <mergeCell ref="O37:O40"/>
    <mergeCell ref="B22:B23"/>
    <mergeCell ref="C22:C23"/>
    <mergeCell ref="I22:I23"/>
    <mergeCell ref="O49:O56"/>
    <mergeCell ref="B51:B52"/>
    <mergeCell ref="I51:I52"/>
    <mergeCell ref="I60:I61"/>
    <mergeCell ref="O63:O66"/>
    <mergeCell ref="B65:B66"/>
    <mergeCell ref="O176:O177"/>
    <mergeCell ref="A182:A184"/>
    <mergeCell ref="B182:B184"/>
    <mergeCell ref="O119:O122"/>
    <mergeCell ref="O123:O124"/>
    <mergeCell ref="B124:B125"/>
    <mergeCell ref="I124:I125"/>
    <mergeCell ref="O129:O131"/>
    <mergeCell ref="O133:O153"/>
    <mergeCell ref="O170:O172"/>
    <mergeCell ref="A96:A99"/>
    <mergeCell ref="O70:O71"/>
    <mergeCell ref="O74:O76"/>
    <mergeCell ref="O80:O83"/>
    <mergeCell ref="A86:A89"/>
    <mergeCell ref="B86:B89"/>
    <mergeCell ref="O86:O94"/>
    <mergeCell ref="B94:B95"/>
    <mergeCell ref="C94:C95"/>
    <mergeCell ref="I94:I95"/>
    <mergeCell ref="A105:A108"/>
    <mergeCell ref="B105:B108"/>
    <mergeCell ref="O105:O116"/>
    <mergeCell ref="A109:A110"/>
    <mergeCell ref="B109:B110"/>
    <mergeCell ref="I109:I110"/>
    <mergeCell ref="B96:B99"/>
    <mergeCell ref="O96:O99"/>
    <mergeCell ref="A101:A104"/>
    <mergeCell ref="B101:B104"/>
    <mergeCell ref="O102:O104"/>
    <mergeCell ref="C103:C104"/>
    <mergeCell ref="I103:I104"/>
    <mergeCell ref="A149:A152"/>
    <mergeCell ref="B149:B152"/>
    <mergeCell ref="C150:C152"/>
    <mergeCell ref="I150:I152"/>
    <mergeCell ref="O155:O168"/>
    <mergeCell ref="B167:B169"/>
    <mergeCell ref="C167:C168"/>
    <mergeCell ref="I167:I169"/>
    <mergeCell ref="A140:A142"/>
    <mergeCell ref="B140:B142"/>
    <mergeCell ref="C140:C142"/>
    <mergeCell ref="I140:I142"/>
    <mergeCell ref="A145:A148"/>
    <mergeCell ref="B145:B148"/>
    <mergeCell ref="C146:C148"/>
    <mergeCell ref="I146:I148"/>
    <mergeCell ref="I194:I195"/>
    <mergeCell ref="A201:A203"/>
    <mergeCell ref="B201:B203"/>
    <mergeCell ref="C188:C189"/>
    <mergeCell ref="I188:I189"/>
    <mergeCell ref="A191:A193"/>
    <mergeCell ref="B191:B193"/>
    <mergeCell ref="C192:C193"/>
    <mergeCell ref="I192:I193"/>
    <mergeCell ref="A188:A189"/>
    <mergeCell ref="A53:A54"/>
    <mergeCell ref="B53:B54"/>
    <mergeCell ref="I53:I54"/>
    <mergeCell ref="A236:A237"/>
    <mergeCell ref="B236:B237"/>
    <mergeCell ref="N247:O247"/>
    <mergeCell ref="A91:A92"/>
    <mergeCell ref="B91:B92"/>
    <mergeCell ref="I91:I92"/>
    <mergeCell ref="A204:A225"/>
    <mergeCell ref="B205:B207"/>
    <mergeCell ref="C206:C207"/>
    <mergeCell ref="I206:I207"/>
    <mergeCell ref="O208:O224"/>
    <mergeCell ref="B209:B211"/>
    <mergeCell ref="C210:C211"/>
    <mergeCell ref="I210:I211"/>
    <mergeCell ref="B212:B215"/>
    <mergeCell ref="C212:C215"/>
    <mergeCell ref="I212:I215"/>
    <mergeCell ref="B218:B221"/>
    <mergeCell ref="A194:A195"/>
    <mergeCell ref="B194:B195"/>
    <mergeCell ref="C194:C195"/>
  </mergeCells>
  <hyperlinks>
    <hyperlink ref="A8" r:id="rId1" display="mailto:rfo-skv@mail.ru"/>
  </hyperlinks>
  <pageMargins left="0.70866141732283472" right="0.70866141732283472" top="0.74803149606299213" bottom="0.74803149606299213" header="0.31496062992125984" footer="0.31496062992125984"/>
  <pageSetup paperSize="9" scale="58" fitToHeight="0" orientation="landscape"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258"/>
  <sheetViews>
    <sheetView view="pageBreakPreview" zoomScale="90" zoomScaleNormal="100" zoomScaleSheetLayoutView="90" workbookViewId="0">
      <selection sqref="A1:XFD1048576"/>
    </sheetView>
  </sheetViews>
  <sheetFormatPr defaultRowHeight="14.4" x14ac:dyDescent="0.3"/>
  <cols>
    <col min="1" max="1" width="8.6640625" customWidth="1"/>
    <col min="2" max="2" width="75.6640625" customWidth="1"/>
    <col min="3" max="3" width="21" customWidth="1"/>
    <col min="4" max="7" width="9.109375" hidden="1" customWidth="1"/>
    <col min="8" max="8" width="5.44140625" hidden="1" customWidth="1"/>
    <col min="9" max="9" width="19.109375" customWidth="1"/>
    <col min="10" max="10" width="12" customWidth="1"/>
    <col min="11" max="11" width="23.5546875" style="366" customWidth="1"/>
    <col min="12" max="12" width="0.33203125" hidden="1" customWidth="1"/>
    <col min="13" max="13" width="26.88671875" customWidth="1"/>
    <col min="14" max="14" width="3" hidden="1" customWidth="1"/>
    <col min="15" max="15" width="37.109375" customWidth="1"/>
    <col min="16" max="16" width="25" hidden="1" customWidth="1"/>
  </cols>
  <sheetData>
    <row r="1" spans="1:15" ht="18" x14ac:dyDescent="0.35">
      <c r="A1" s="331"/>
      <c r="B1" s="985"/>
      <c r="C1" s="330"/>
      <c r="D1" s="330"/>
      <c r="E1" s="1000"/>
      <c r="F1" s="331"/>
      <c r="G1" s="331"/>
      <c r="H1" s="331"/>
      <c r="I1" s="352"/>
      <c r="J1" s="352"/>
      <c r="K1" s="666"/>
      <c r="L1" s="352"/>
      <c r="M1" s="352"/>
      <c r="N1" s="352"/>
      <c r="O1" s="353"/>
    </row>
    <row r="2" spans="1:15" ht="18" x14ac:dyDescent="0.35">
      <c r="A2" s="1268" t="s">
        <v>1117</v>
      </c>
      <c r="B2" s="1268"/>
      <c r="C2" s="330"/>
      <c r="D2" s="330"/>
      <c r="E2" s="1000"/>
      <c r="F2" s="331"/>
      <c r="G2" s="331"/>
      <c r="H2" s="331"/>
      <c r="I2" s="352"/>
      <c r="J2" s="352"/>
      <c r="K2" s="666"/>
      <c r="L2" s="352" t="s">
        <v>1118</v>
      </c>
      <c r="M2" s="1330" t="s">
        <v>151</v>
      </c>
      <c r="N2" s="1330"/>
      <c r="O2" s="1330"/>
    </row>
    <row r="3" spans="1:15" ht="18" x14ac:dyDescent="0.35">
      <c r="A3" s="1268" t="s">
        <v>1119</v>
      </c>
      <c r="B3" s="1268"/>
      <c r="C3" s="330"/>
      <c r="D3" s="330"/>
      <c r="E3" s="1000"/>
      <c r="F3" s="331"/>
      <c r="G3" s="331"/>
      <c r="H3" s="331"/>
      <c r="I3" s="352"/>
      <c r="J3" s="352"/>
      <c r="K3" s="666"/>
      <c r="L3" s="352" t="s">
        <v>1120</v>
      </c>
      <c r="M3" s="1330" t="s">
        <v>1202</v>
      </c>
      <c r="N3" s="1330"/>
      <c r="O3" s="1330"/>
    </row>
    <row r="4" spans="1:15" ht="18" x14ac:dyDescent="0.35">
      <c r="A4" s="1353" t="s">
        <v>1121</v>
      </c>
      <c r="B4" s="1353"/>
      <c r="C4" s="330"/>
      <c r="D4" s="330"/>
      <c r="E4" s="1000"/>
      <c r="F4" s="331"/>
      <c r="G4" s="331"/>
      <c r="H4" s="331"/>
      <c r="I4" s="352"/>
      <c r="J4" s="352"/>
      <c r="K4" s="666"/>
      <c r="L4" s="352"/>
      <c r="M4" s="352"/>
      <c r="N4" s="352"/>
      <c r="O4" s="353"/>
    </row>
    <row r="5" spans="1:15" ht="18" x14ac:dyDescent="0.35">
      <c r="A5" s="1353" t="s">
        <v>1122</v>
      </c>
      <c r="B5" s="1353"/>
      <c r="C5" s="330"/>
      <c r="D5" s="330"/>
      <c r="E5" s="1000"/>
      <c r="F5" s="331"/>
      <c r="G5" s="331"/>
      <c r="H5" s="331"/>
      <c r="I5" s="352"/>
      <c r="J5" s="352"/>
      <c r="K5" s="666"/>
      <c r="L5" s="352"/>
      <c r="M5" s="352"/>
      <c r="N5" s="352"/>
      <c r="O5" s="353"/>
    </row>
    <row r="6" spans="1:15" ht="18" x14ac:dyDescent="0.35">
      <c r="A6" s="1268" t="s">
        <v>1123</v>
      </c>
      <c r="B6" s="1268"/>
      <c r="C6" s="330"/>
      <c r="D6" s="330"/>
      <c r="E6" s="1000"/>
      <c r="F6" s="331"/>
      <c r="G6" s="331"/>
      <c r="H6" s="331"/>
      <c r="I6" s="352"/>
      <c r="J6" s="352"/>
      <c r="K6" s="666"/>
      <c r="L6" s="352"/>
      <c r="M6" s="352"/>
      <c r="N6" s="352"/>
      <c r="O6" s="353"/>
    </row>
    <row r="7" spans="1:15" ht="18" x14ac:dyDescent="0.35">
      <c r="A7" s="1268" t="s">
        <v>1124</v>
      </c>
      <c r="B7" s="1268"/>
      <c r="C7" s="330"/>
      <c r="D7" s="330"/>
      <c r="E7" s="1000"/>
      <c r="F7" s="331"/>
      <c r="G7" s="331"/>
      <c r="H7" s="331"/>
      <c r="I7" s="352"/>
      <c r="J7" s="352"/>
      <c r="K7" s="666"/>
      <c r="L7" s="352"/>
      <c r="M7" s="352"/>
      <c r="N7" s="352"/>
      <c r="O7" s="353"/>
    </row>
    <row r="8" spans="1:15" ht="18" x14ac:dyDescent="0.35">
      <c r="A8" s="1309" t="s">
        <v>1125</v>
      </c>
      <c r="B8" s="1309"/>
      <c r="C8" s="330"/>
      <c r="D8" s="330"/>
      <c r="E8" s="1000"/>
      <c r="F8" s="331"/>
      <c r="G8" s="331"/>
      <c r="H8" s="331"/>
      <c r="I8" s="1310"/>
      <c r="J8" s="1310"/>
      <c r="K8" s="1310"/>
      <c r="L8" s="1310"/>
      <c r="M8" s="1310"/>
      <c r="N8" s="1310"/>
      <c r="O8" s="1310"/>
    </row>
    <row r="9" spans="1:15" ht="18" x14ac:dyDescent="0.35">
      <c r="A9" s="1268" t="s">
        <v>1126</v>
      </c>
      <c r="B9" s="1268"/>
      <c r="C9" s="330"/>
      <c r="D9" s="330"/>
      <c r="E9" s="1000"/>
      <c r="F9" s="331"/>
      <c r="G9" s="331"/>
      <c r="H9" s="331"/>
      <c r="I9" s="1310"/>
      <c r="J9" s="1310"/>
      <c r="K9" s="1310"/>
      <c r="L9" s="1310"/>
      <c r="M9" s="1310"/>
      <c r="N9" s="1310"/>
      <c r="O9" s="1310"/>
    </row>
    <row r="10" spans="1:15" ht="18" x14ac:dyDescent="0.35">
      <c r="A10" s="1268" t="s">
        <v>1127</v>
      </c>
      <c r="B10" s="1268"/>
      <c r="C10" s="330"/>
      <c r="D10" s="330"/>
      <c r="E10" s="1000"/>
      <c r="F10" s="331"/>
      <c r="G10" s="331"/>
      <c r="H10" s="331"/>
      <c r="I10" s="1310"/>
      <c r="J10" s="1310"/>
      <c r="K10" s="1310"/>
      <c r="L10" s="1310"/>
      <c r="M10" s="1310"/>
      <c r="N10" s="1310"/>
      <c r="O10" s="1310"/>
    </row>
    <row r="11" spans="1:15" ht="18" x14ac:dyDescent="0.35">
      <c r="A11" s="1268" t="s">
        <v>1424</v>
      </c>
      <c r="B11" s="1268"/>
      <c r="C11" s="330"/>
      <c r="D11" s="330"/>
      <c r="E11" s="1000"/>
      <c r="F11" s="331"/>
      <c r="G11" s="331"/>
      <c r="H11" s="331"/>
      <c r="I11" s="1310"/>
      <c r="J11" s="1310"/>
      <c r="K11" s="1310"/>
      <c r="L11" s="1310"/>
      <c r="M11" s="1310"/>
      <c r="N11" s="1310"/>
      <c r="O11" s="1310"/>
    </row>
    <row r="12" spans="1:15" ht="18" x14ac:dyDescent="0.35">
      <c r="A12" s="1268" t="s">
        <v>1128</v>
      </c>
      <c r="B12" s="1268"/>
      <c r="C12" s="330"/>
      <c r="D12" s="330"/>
      <c r="E12" s="1000"/>
      <c r="F12" s="331"/>
      <c r="G12" s="331"/>
      <c r="H12" s="331"/>
      <c r="I12" s="998"/>
      <c r="J12" s="998"/>
      <c r="K12" s="667"/>
      <c r="L12" s="998"/>
      <c r="M12" s="998"/>
      <c r="N12" s="998"/>
      <c r="O12" s="998"/>
    </row>
    <row r="13" spans="1:15" ht="18" x14ac:dyDescent="0.35">
      <c r="A13" s="331"/>
      <c r="B13" s="330"/>
      <c r="C13" s="330"/>
      <c r="D13" s="330"/>
      <c r="E13" s="1000"/>
      <c r="F13" s="331"/>
      <c r="G13" s="331"/>
      <c r="H13" s="331"/>
      <c r="I13" s="352"/>
      <c r="J13" s="352"/>
      <c r="K13" s="666"/>
      <c r="L13" s="352"/>
      <c r="M13" s="352"/>
      <c r="N13" s="352"/>
      <c r="O13" s="353"/>
    </row>
    <row r="14" spans="1:15" ht="18" x14ac:dyDescent="0.35">
      <c r="A14" s="1315" t="s">
        <v>1335</v>
      </c>
      <c r="B14" s="1315"/>
      <c r="C14" s="1315"/>
      <c r="D14" s="1315"/>
      <c r="E14" s="1315"/>
      <c r="F14" s="1315"/>
      <c r="G14" s="1315"/>
      <c r="H14" s="1315"/>
      <c r="I14" s="1315"/>
      <c r="J14" s="1315"/>
      <c r="K14" s="1315"/>
      <c r="L14" s="1315"/>
      <c r="M14" s="1315"/>
      <c r="N14" s="1315"/>
      <c r="O14" s="1315"/>
    </row>
    <row r="15" spans="1:15" ht="18" x14ac:dyDescent="0.35">
      <c r="A15" s="331"/>
      <c r="B15" s="330"/>
      <c r="C15" s="330"/>
      <c r="D15" s="330"/>
      <c r="E15" s="1000"/>
      <c r="F15" s="331"/>
      <c r="G15" s="331"/>
      <c r="H15" s="331"/>
      <c r="I15" s="352"/>
      <c r="J15" s="352"/>
      <c r="K15" s="666"/>
      <c r="L15" s="352"/>
      <c r="M15" s="352"/>
      <c r="N15" s="352"/>
      <c r="O15" s="1009" t="s">
        <v>478</v>
      </c>
    </row>
    <row r="17" spans="1:16" ht="18.75" customHeight="1" x14ac:dyDescent="0.35">
      <c r="A17" s="1313" t="s">
        <v>407</v>
      </c>
      <c r="B17" s="1269" t="s">
        <v>479</v>
      </c>
      <c r="C17" s="1274" t="s">
        <v>281</v>
      </c>
      <c r="D17" s="333"/>
      <c r="E17" s="999"/>
      <c r="F17" s="334"/>
      <c r="G17" s="335"/>
      <c r="H17" s="335"/>
      <c r="I17" s="1277" t="s">
        <v>1085</v>
      </c>
      <c r="J17" s="1277" t="s">
        <v>510</v>
      </c>
      <c r="K17" s="1401" t="s">
        <v>1350</v>
      </c>
      <c r="L17" s="1271" t="s">
        <v>1079</v>
      </c>
      <c r="M17" s="1270" t="s">
        <v>1423</v>
      </c>
      <c r="N17" s="1270" t="s">
        <v>1080</v>
      </c>
      <c r="O17" s="1311" t="s">
        <v>480</v>
      </c>
      <c r="P17" s="1311"/>
    </row>
    <row r="18" spans="1:16" ht="18" x14ac:dyDescent="0.35">
      <c r="A18" s="1313"/>
      <c r="B18" s="1269"/>
      <c r="C18" s="1399"/>
      <c r="D18" s="333"/>
      <c r="E18" s="999"/>
      <c r="F18" s="334"/>
      <c r="G18" s="335"/>
      <c r="H18" s="335"/>
      <c r="I18" s="1400"/>
      <c r="J18" s="1400"/>
      <c r="K18" s="1401"/>
      <c r="L18" s="1426"/>
      <c r="M18" s="1270"/>
      <c r="N18" s="1270"/>
      <c r="O18" s="1270" t="s">
        <v>481</v>
      </c>
      <c r="P18" s="1312"/>
    </row>
    <row r="19" spans="1:16" ht="18" x14ac:dyDescent="0.35">
      <c r="A19" s="1313"/>
      <c r="B19" s="1269"/>
      <c r="C19" s="1399"/>
      <c r="D19" s="333"/>
      <c r="E19" s="999"/>
      <c r="F19" s="335"/>
      <c r="G19" s="335"/>
      <c r="H19" s="335"/>
      <c r="I19" s="1400"/>
      <c r="J19" s="1400"/>
      <c r="K19" s="1401"/>
      <c r="L19" s="1273"/>
      <c r="M19" s="1270"/>
      <c r="N19" s="1270"/>
      <c r="O19" s="1270"/>
      <c r="P19" s="1312"/>
    </row>
    <row r="20" spans="1:16" ht="18" x14ac:dyDescent="0.35">
      <c r="A20" s="1314"/>
      <c r="B20" s="1398"/>
      <c r="C20" s="1399"/>
      <c r="D20" s="332"/>
      <c r="E20" s="987"/>
      <c r="F20" s="344"/>
      <c r="G20" s="344"/>
      <c r="H20" s="344"/>
      <c r="I20" s="1400"/>
      <c r="J20" s="1400"/>
      <c r="K20" s="1402"/>
      <c r="L20" s="986"/>
      <c r="M20" s="1271"/>
      <c r="N20" s="986"/>
      <c r="O20" s="1271"/>
      <c r="P20" s="1312"/>
    </row>
    <row r="21" spans="1:16" s="336" customFormat="1" ht="42" customHeight="1" x14ac:dyDescent="0.35">
      <c r="A21" s="347">
        <v>1</v>
      </c>
      <c r="B21" s="343" t="s">
        <v>1081</v>
      </c>
      <c r="C21" s="346"/>
      <c r="D21" s="664"/>
      <c r="E21" s="338"/>
      <c r="F21" s="339"/>
      <c r="G21" s="339"/>
      <c r="H21" s="339"/>
      <c r="I21" s="345" t="s">
        <v>1337</v>
      </c>
      <c r="J21" s="498"/>
      <c r="K21" s="668">
        <f>K22+K24+K25+K26+K27+K28+K30+K31+K32+K29+K33+K23</f>
        <v>8494126.870000001</v>
      </c>
      <c r="L21" s="340"/>
      <c r="M21" s="665">
        <f>M22+M24+M25+M26+M27+M28+M30+M31+M32+M29+M33+M23</f>
        <v>7410626.8700000001</v>
      </c>
      <c r="N21" s="341"/>
      <c r="O21" s="342" t="s">
        <v>151</v>
      </c>
      <c r="P21" s="663"/>
    </row>
    <row r="22" spans="1:16" s="366" customFormat="1" ht="31.5" customHeight="1" x14ac:dyDescent="0.3">
      <c r="A22" s="1003"/>
      <c r="B22" s="1396" t="s">
        <v>627</v>
      </c>
      <c r="C22" s="1397" t="s">
        <v>1086</v>
      </c>
      <c r="D22" s="524"/>
      <c r="E22" s="524"/>
      <c r="F22" s="524"/>
      <c r="G22" s="524"/>
      <c r="H22" s="524"/>
      <c r="I22" s="1374" t="s">
        <v>1239</v>
      </c>
      <c r="J22" s="662" t="s">
        <v>586</v>
      </c>
      <c r="K22" s="553">
        <f>73140-73140</f>
        <v>0</v>
      </c>
      <c r="L22" s="474"/>
      <c r="M22" s="739"/>
      <c r="N22" s="489"/>
      <c r="O22" s="1335" t="s">
        <v>151</v>
      </c>
      <c r="P22" s="662"/>
    </row>
    <row r="23" spans="1:16" s="366" customFormat="1" ht="15.6" hidden="1" x14ac:dyDescent="0.3">
      <c r="A23" s="1003"/>
      <c r="B23" s="1294"/>
      <c r="C23" s="1333"/>
      <c r="D23" s="524"/>
      <c r="E23" s="524"/>
      <c r="F23" s="524"/>
      <c r="G23" s="524"/>
      <c r="H23" s="524"/>
      <c r="I23" s="1285"/>
      <c r="J23" s="363" t="s">
        <v>528</v>
      </c>
      <c r="K23" s="553"/>
      <c r="L23" s="474"/>
      <c r="M23" s="739"/>
      <c r="N23" s="489"/>
      <c r="O23" s="1335"/>
      <c r="P23" s="363"/>
    </row>
    <row r="24" spans="1:16" s="366" customFormat="1" ht="36" customHeight="1" x14ac:dyDescent="0.3">
      <c r="A24" s="388"/>
      <c r="B24" s="527" t="s">
        <v>630</v>
      </c>
      <c r="C24" s="451" t="s">
        <v>1086</v>
      </c>
      <c r="I24" s="528" t="s">
        <v>1240</v>
      </c>
      <c r="J24" s="363" t="s">
        <v>586</v>
      </c>
      <c r="K24" s="464">
        <f>106000+14000</f>
        <v>120000</v>
      </c>
      <c r="L24" s="474"/>
      <c r="M24" s="445"/>
      <c r="N24" s="365"/>
      <c r="O24" s="1335"/>
      <c r="P24" s="363"/>
    </row>
    <row r="25" spans="1:16" s="366" customFormat="1" ht="46.5" customHeight="1" x14ac:dyDescent="0.3">
      <c r="A25" s="388"/>
      <c r="B25" s="527" t="s">
        <v>633</v>
      </c>
      <c r="C25" s="451" t="s">
        <v>1086</v>
      </c>
      <c r="I25" s="528" t="s">
        <v>1241</v>
      </c>
      <c r="J25" s="363" t="s">
        <v>586</v>
      </c>
      <c r="K25" s="464">
        <f>181000-80000-14000</f>
        <v>87000</v>
      </c>
      <c r="L25" s="474"/>
      <c r="M25" s="445"/>
      <c r="N25" s="365"/>
      <c r="O25" s="1335"/>
      <c r="P25" s="363"/>
    </row>
    <row r="26" spans="1:16" s="366" customFormat="1" ht="33.75" customHeight="1" x14ac:dyDescent="0.3">
      <c r="A26" s="388"/>
      <c r="B26" s="527" t="s">
        <v>636</v>
      </c>
      <c r="C26" s="451" t="s">
        <v>1087</v>
      </c>
      <c r="I26" s="528" t="s">
        <v>1242</v>
      </c>
      <c r="J26" s="363" t="s">
        <v>586</v>
      </c>
      <c r="K26" s="457">
        <f>25000-15000</f>
        <v>10000</v>
      </c>
      <c r="L26" s="474"/>
      <c r="M26" s="445"/>
      <c r="N26" s="365"/>
      <c r="O26" s="1335"/>
      <c r="P26" s="363"/>
    </row>
    <row r="27" spans="1:16" s="366" customFormat="1" ht="35.25" customHeight="1" x14ac:dyDescent="0.3">
      <c r="A27" s="388"/>
      <c r="B27" s="527" t="s">
        <v>639</v>
      </c>
      <c r="C27" s="451" t="s">
        <v>1086</v>
      </c>
      <c r="I27" s="528" t="s">
        <v>1243</v>
      </c>
      <c r="J27" s="363" t="s">
        <v>586</v>
      </c>
      <c r="K27" s="457">
        <f>30000-30000</f>
        <v>0</v>
      </c>
      <c r="L27" s="474"/>
      <c r="M27" s="445"/>
      <c r="N27" s="365"/>
      <c r="O27" s="1335"/>
      <c r="P27" s="363"/>
    </row>
    <row r="28" spans="1:16" s="366" customFormat="1" ht="30.75" customHeight="1" x14ac:dyDescent="0.3">
      <c r="A28" s="388"/>
      <c r="B28" s="527" t="s">
        <v>642</v>
      </c>
      <c r="C28" s="451" t="s">
        <v>1087</v>
      </c>
      <c r="I28" s="528" t="s">
        <v>1244</v>
      </c>
      <c r="J28" s="363" t="s">
        <v>586</v>
      </c>
      <c r="K28" s="457">
        <f>30000-30000</f>
        <v>0</v>
      </c>
      <c r="L28" s="474"/>
      <c r="M28" s="445"/>
      <c r="N28" s="365"/>
      <c r="O28" s="1335"/>
      <c r="P28" s="363"/>
    </row>
    <row r="29" spans="1:16" s="366" customFormat="1" ht="30.75" customHeight="1" x14ac:dyDescent="0.3">
      <c r="A29" s="1425"/>
      <c r="B29" s="1293" t="s">
        <v>607</v>
      </c>
      <c r="C29" s="451" t="s">
        <v>1088</v>
      </c>
      <c r="I29" s="1334" t="s">
        <v>1232</v>
      </c>
      <c r="J29" s="363" t="s">
        <v>586</v>
      </c>
      <c r="K29" s="372">
        <v>800000</v>
      </c>
      <c r="L29" s="474"/>
      <c r="M29" s="445"/>
      <c r="N29" s="365"/>
      <c r="O29" s="1287"/>
      <c r="P29" s="363"/>
    </row>
    <row r="30" spans="1:16" s="366" customFormat="1" ht="50.25" hidden="1" customHeight="1" x14ac:dyDescent="0.3">
      <c r="A30" s="1329"/>
      <c r="B30" s="1294"/>
      <c r="C30" s="451" t="s">
        <v>1159</v>
      </c>
      <c r="I30" s="1285"/>
      <c r="J30" s="363" t="s">
        <v>813</v>
      </c>
      <c r="K30" s="372"/>
      <c r="L30" s="474"/>
      <c r="M30" s="445"/>
      <c r="N30" s="365"/>
      <c r="O30" s="529" t="s">
        <v>1179</v>
      </c>
      <c r="P30" s="363"/>
    </row>
    <row r="31" spans="1:16" s="366" customFormat="1" ht="50.25" customHeight="1" x14ac:dyDescent="0.3">
      <c r="A31" s="1012"/>
      <c r="B31" s="527" t="s">
        <v>1264</v>
      </c>
      <c r="C31" s="451" t="s">
        <v>1103</v>
      </c>
      <c r="I31" s="531" t="s">
        <v>1263</v>
      </c>
      <c r="J31" s="389" t="s">
        <v>586</v>
      </c>
      <c r="K31" s="559">
        <f>500000+3500000+1429771+788425+1000000+1000000-340368.47-400700.66</f>
        <v>7477126.8700000001</v>
      </c>
      <c r="L31" s="474"/>
      <c r="M31" s="942">
        <f>3591524.87+3785602+10050+23450</f>
        <v>7410626.8700000001</v>
      </c>
      <c r="N31" s="365"/>
      <c r="O31" s="1427" t="s">
        <v>151</v>
      </c>
      <c r="P31" s="389"/>
    </row>
    <row r="32" spans="1:16" s="366" customFormat="1" ht="30.75" hidden="1" customHeight="1" x14ac:dyDescent="0.3">
      <c r="A32" s="1012"/>
      <c r="B32" s="534" t="s">
        <v>1168</v>
      </c>
      <c r="C32" s="451" t="s">
        <v>1130</v>
      </c>
      <c r="I32" s="531" t="s">
        <v>1169</v>
      </c>
      <c r="J32" s="389" t="s">
        <v>586</v>
      </c>
      <c r="K32" s="740"/>
      <c r="L32" s="474"/>
      <c r="M32" s="661"/>
      <c r="N32" s="365"/>
      <c r="O32" s="1287"/>
      <c r="P32" s="389"/>
    </row>
    <row r="33" spans="1:16" s="366" customFormat="1" ht="49.5" hidden="1" customHeight="1" x14ac:dyDescent="0.3">
      <c r="A33" s="1012"/>
      <c r="B33" s="521" t="s">
        <v>1201</v>
      </c>
      <c r="C33" s="451"/>
      <c r="I33" s="531"/>
      <c r="J33" s="389"/>
      <c r="K33" s="612">
        <v>0</v>
      </c>
      <c r="L33" s="474"/>
      <c r="M33" s="661"/>
      <c r="N33" s="365"/>
      <c r="O33" s="991"/>
      <c r="P33" s="389"/>
    </row>
    <row r="34" spans="1:16" s="366" customFormat="1" ht="44.25" customHeight="1" x14ac:dyDescent="0.35">
      <c r="A34" s="1013">
        <v>2</v>
      </c>
      <c r="B34" s="538" t="s">
        <v>1082</v>
      </c>
      <c r="C34" s="539"/>
      <c r="D34" s="540"/>
      <c r="E34" s="540"/>
      <c r="F34" s="540"/>
      <c r="G34" s="540"/>
      <c r="H34" s="540"/>
      <c r="I34" s="541" t="s">
        <v>1336</v>
      </c>
      <c r="J34" s="542"/>
      <c r="K34" s="543">
        <f>K35</f>
        <v>53000</v>
      </c>
      <c r="L34" s="741"/>
      <c r="M34" s="543">
        <f>M35</f>
        <v>6732</v>
      </c>
      <c r="N34" s="448"/>
      <c r="O34" s="432" t="s">
        <v>151</v>
      </c>
      <c r="P34" s="544"/>
    </row>
    <row r="35" spans="1:16" s="366" customFormat="1" ht="42.75" customHeight="1" x14ac:dyDescent="0.3">
      <c r="A35" s="388"/>
      <c r="B35" s="459" t="s">
        <v>765</v>
      </c>
      <c r="C35" s="545" t="s">
        <v>1089</v>
      </c>
      <c r="I35" s="452" t="s">
        <v>1288</v>
      </c>
      <c r="J35" s="363" t="s">
        <v>586</v>
      </c>
      <c r="K35" s="457">
        <v>53000</v>
      </c>
      <c r="L35" s="474"/>
      <c r="M35" s="445">
        <v>6732</v>
      </c>
      <c r="N35" s="365"/>
      <c r="O35" s="450"/>
      <c r="P35" s="546"/>
    </row>
    <row r="36" spans="1:16" s="366" customFormat="1" ht="52.8" x14ac:dyDescent="0.35">
      <c r="A36" s="1013">
        <v>3</v>
      </c>
      <c r="B36" s="447" t="s">
        <v>1092</v>
      </c>
      <c r="C36" s="448"/>
      <c r="D36" s="448"/>
      <c r="E36" s="448"/>
      <c r="F36" s="448"/>
      <c r="G36" s="448"/>
      <c r="H36" s="547"/>
      <c r="I36" s="429" t="s">
        <v>1338</v>
      </c>
      <c r="J36" s="430"/>
      <c r="K36" s="449">
        <f>K37+K38+K39+K40+K43+K44+K45+K41+K46+K42</f>
        <v>11577686.620000001</v>
      </c>
      <c r="L36" s="470"/>
      <c r="M36" s="449">
        <f>M37+M38+M39+M40+M43+M44+M45+M41+M46+M42</f>
        <v>9138746.5500000007</v>
      </c>
      <c r="N36" s="448"/>
      <c r="O36" s="432" t="s">
        <v>1096</v>
      </c>
      <c r="P36" s="365"/>
    </row>
    <row r="37" spans="1:16" s="474" customFormat="1" ht="31.2" x14ac:dyDescent="0.35">
      <c r="A37" s="467"/>
      <c r="B37" s="549" t="s">
        <v>1231</v>
      </c>
      <c r="C37" s="550" t="s">
        <v>1093</v>
      </c>
      <c r="D37" s="476"/>
      <c r="E37" s="476"/>
      <c r="F37" s="476"/>
      <c r="G37" s="476"/>
      <c r="H37" s="551"/>
      <c r="I37" s="552" t="s">
        <v>1225</v>
      </c>
      <c r="J37" s="371" t="s">
        <v>586</v>
      </c>
      <c r="K37" s="553">
        <f>106000-250</f>
        <v>105750</v>
      </c>
      <c r="L37" s="470"/>
      <c r="M37" s="554">
        <v>105750</v>
      </c>
      <c r="N37" s="470"/>
      <c r="O37" s="1280" t="s">
        <v>151</v>
      </c>
      <c r="P37" s="476"/>
    </row>
    <row r="38" spans="1:16" s="366" customFormat="1" ht="31.2" x14ac:dyDescent="0.35">
      <c r="A38" s="1013"/>
      <c r="B38" s="459" t="s">
        <v>1281</v>
      </c>
      <c r="C38" s="451" t="s">
        <v>1094</v>
      </c>
      <c r="D38" s="365"/>
      <c r="E38" s="365"/>
      <c r="F38" s="365"/>
      <c r="G38" s="365"/>
      <c r="H38" s="365"/>
      <c r="I38" s="452" t="s">
        <v>1280</v>
      </c>
      <c r="J38" s="363" t="s">
        <v>586</v>
      </c>
      <c r="K38" s="457">
        <f>53000-53000</f>
        <v>0</v>
      </c>
      <c r="L38" s="470"/>
      <c r="M38" s="554"/>
      <c r="N38" s="448"/>
      <c r="O38" s="1281"/>
      <c r="P38" s="365"/>
    </row>
    <row r="39" spans="1:16" s="366" customFormat="1" ht="31.2" x14ac:dyDescent="0.35">
      <c r="A39" s="1013"/>
      <c r="B39" s="459" t="s">
        <v>1283</v>
      </c>
      <c r="C39" s="451" t="s">
        <v>1094</v>
      </c>
      <c r="D39" s="365"/>
      <c r="E39" s="365"/>
      <c r="F39" s="365"/>
      <c r="G39" s="365"/>
      <c r="H39" s="365"/>
      <c r="I39" s="452" t="s">
        <v>1282</v>
      </c>
      <c r="J39" s="363" t="s">
        <v>586</v>
      </c>
      <c r="K39" s="457">
        <f>106000-106000</f>
        <v>0</v>
      </c>
      <c r="L39" s="470"/>
      <c r="M39" s="554"/>
      <c r="N39" s="448"/>
      <c r="O39" s="1281"/>
      <c r="P39" s="365"/>
    </row>
    <row r="40" spans="1:16" s="366" customFormat="1" ht="18" x14ac:dyDescent="0.35">
      <c r="A40" s="1013"/>
      <c r="B40" s="459" t="s">
        <v>751</v>
      </c>
      <c r="C40" s="451" t="s">
        <v>1094</v>
      </c>
      <c r="D40" s="365"/>
      <c r="E40" s="365"/>
      <c r="F40" s="365"/>
      <c r="G40" s="365"/>
      <c r="H40" s="365"/>
      <c r="I40" s="452" t="s">
        <v>1286</v>
      </c>
      <c r="J40" s="363" t="s">
        <v>586</v>
      </c>
      <c r="K40" s="457">
        <f>212000-212000</f>
        <v>0</v>
      </c>
      <c r="L40" s="470"/>
      <c r="M40" s="554"/>
      <c r="N40" s="448"/>
      <c r="O40" s="1283"/>
      <c r="P40" s="365"/>
    </row>
    <row r="41" spans="1:16" s="366" customFormat="1" ht="62.4" hidden="1" x14ac:dyDescent="0.35">
      <c r="A41" s="1013"/>
      <c r="B41" s="478" t="s">
        <v>1181</v>
      </c>
      <c r="C41" s="451" t="s">
        <v>1180</v>
      </c>
      <c r="D41" s="365"/>
      <c r="E41" s="365"/>
      <c r="F41" s="365"/>
      <c r="G41" s="365"/>
      <c r="H41" s="555"/>
      <c r="I41" s="452" t="s">
        <v>752</v>
      </c>
      <c r="J41" s="363" t="s">
        <v>813</v>
      </c>
      <c r="K41" s="457"/>
      <c r="L41" s="470"/>
      <c r="M41" s="554"/>
      <c r="N41" s="448"/>
      <c r="O41" s="529" t="s">
        <v>1179</v>
      </c>
      <c r="P41" s="365"/>
    </row>
    <row r="42" spans="1:16" s="366" customFormat="1" ht="31.2" x14ac:dyDescent="0.35">
      <c r="A42" s="1013"/>
      <c r="B42" s="478" t="s">
        <v>748</v>
      </c>
      <c r="C42" s="451" t="s">
        <v>1284</v>
      </c>
      <c r="D42" s="365"/>
      <c r="E42" s="365"/>
      <c r="F42" s="365"/>
      <c r="G42" s="365"/>
      <c r="H42" s="555"/>
      <c r="I42" s="452" t="s">
        <v>1285</v>
      </c>
      <c r="J42" s="363" t="s">
        <v>586</v>
      </c>
      <c r="K42" s="457">
        <v>100000</v>
      </c>
      <c r="L42" s="470"/>
      <c r="M42" s="554"/>
      <c r="N42" s="448"/>
      <c r="O42" s="556" t="s">
        <v>151</v>
      </c>
      <c r="P42" s="365"/>
    </row>
    <row r="43" spans="1:16" s="366" customFormat="1" ht="31.2" x14ac:dyDescent="0.35">
      <c r="A43" s="1013"/>
      <c r="B43" s="459" t="s">
        <v>918</v>
      </c>
      <c r="C43" s="451" t="s">
        <v>1095</v>
      </c>
      <c r="D43" s="448"/>
      <c r="E43" s="448"/>
      <c r="F43" s="448"/>
      <c r="G43" s="448"/>
      <c r="H43" s="547"/>
      <c r="I43" s="452" t="s">
        <v>1332</v>
      </c>
      <c r="J43" s="363" t="s">
        <v>613</v>
      </c>
      <c r="K43" s="457">
        <v>4819591.7</v>
      </c>
      <c r="L43" s="470"/>
      <c r="M43" s="941">
        <f>315426.44+431192.12+330694.17+459187.93+413932.84+335326+451818.86+499231+312060.68+328119.57</f>
        <v>3876989.61</v>
      </c>
      <c r="N43" s="448"/>
      <c r="O43" s="1288" t="s">
        <v>1097</v>
      </c>
      <c r="P43" s="365"/>
    </row>
    <row r="44" spans="1:16" s="366" customFormat="1" ht="18" x14ac:dyDescent="0.35">
      <c r="A44" s="1013"/>
      <c r="B44" s="459" t="s">
        <v>921</v>
      </c>
      <c r="C44" s="451" t="s">
        <v>1095</v>
      </c>
      <c r="D44" s="448"/>
      <c r="E44" s="448"/>
      <c r="F44" s="448"/>
      <c r="G44" s="448"/>
      <c r="H44" s="547"/>
      <c r="I44" s="452" t="s">
        <v>1333</v>
      </c>
      <c r="J44" s="363" t="s">
        <v>613</v>
      </c>
      <c r="K44" s="464">
        <f>2775762.7+47577.97-450000</f>
        <v>2373340.6700000004</v>
      </c>
      <c r="L44" s="470"/>
      <c r="M44" s="941">
        <f>141775.76+314481.03+172468.79+169088.79+163666.25+150093.37+198856.11+212818.77+106517.88+258408.58</f>
        <v>1888175.33</v>
      </c>
      <c r="N44" s="448"/>
      <c r="O44" s="1317"/>
      <c r="P44" s="365"/>
    </row>
    <row r="45" spans="1:16" s="366" customFormat="1" ht="18" x14ac:dyDescent="0.35">
      <c r="A45" s="1013"/>
      <c r="B45" s="459" t="s">
        <v>924</v>
      </c>
      <c r="C45" s="451" t="s">
        <v>1095</v>
      </c>
      <c r="D45" s="365"/>
      <c r="E45" s="365"/>
      <c r="F45" s="365"/>
      <c r="G45" s="365"/>
      <c r="H45" s="365"/>
      <c r="I45" s="452" t="s">
        <v>1334</v>
      </c>
      <c r="J45" s="363" t="s">
        <v>613</v>
      </c>
      <c r="K45" s="650">
        <f>4419004.25+800000-1040000</f>
        <v>4179004.25</v>
      </c>
      <c r="L45" s="470"/>
      <c r="M45" s="941">
        <f>240001.74+477497.23+367908.22+120949+287606.76+427107.66+193114.77+308152.38+365265.28+199039.47+281189.1</f>
        <v>3267831.6100000003</v>
      </c>
      <c r="N45" s="448"/>
      <c r="O45" s="1317"/>
      <c r="P45" s="365"/>
    </row>
    <row r="46" spans="1:16" s="366" customFormat="1" ht="53.25" hidden="1" customHeight="1" x14ac:dyDescent="0.35">
      <c r="A46" s="1013"/>
      <c r="B46" s="521" t="s">
        <v>926</v>
      </c>
      <c r="C46" s="451" t="s">
        <v>1095</v>
      </c>
      <c r="D46" s="365"/>
      <c r="E46" s="365"/>
      <c r="F46" s="365"/>
      <c r="G46" s="365"/>
      <c r="H46" s="365"/>
      <c r="I46" s="484" t="s">
        <v>1194</v>
      </c>
      <c r="J46" s="389" t="s">
        <v>613</v>
      </c>
      <c r="K46" s="559"/>
      <c r="L46" s="470"/>
      <c r="M46" s="554"/>
      <c r="N46" s="448"/>
      <c r="O46" s="1290"/>
      <c r="P46" s="365"/>
    </row>
    <row r="47" spans="1:16" s="366" customFormat="1" ht="52.8" x14ac:dyDescent="0.35">
      <c r="A47" s="1013">
        <v>4</v>
      </c>
      <c r="B47" s="447" t="s">
        <v>1098</v>
      </c>
      <c r="C47" s="557"/>
      <c r="D47" s="448"/>
      <c r="E47" s="448"/>
      <c r="F47" s="448"/>
      <c r="G47" s="448"/>
      <c r="H47" s="448"/>
      <c r="I47" s="429" t="s">
        <v>1339</v>
      </c>
      <c r="J47" s="430"/>
      <c r="K47" s="449">
        <f>K49+K50+K51+K56+K53+K57+K55+K58+K48+K52+K54</f>
        <v>1990449.21</v>
      </c>
      <c r="L47" s="470"/>
      <c r="M47" s="449">
        <f>M49+M50+M51+M56+M53+M57+M55+M58+M48+M52+M54</f>
        <v>1014728</v>
      </c>
      <c r="N47" s="448"/>
      <c r="O47" s="432" t="s">
        <v>1160</v>
      </c>
      <c r="P47" s="365"/>
    </row>
    <row r="48" spans="1:16" s="366" customFormat="1" ht="31.8" x14ac:dyDescent="0.35">
      <c r="A48" s="1013"/>
      <c r="B48" s="558" t="s">
        <v>1249</v>
      </c>
      <c r="C48" s="451" t="s">
        <v>1099</v>
      </c>
      <c r="D48" s="365"/>
      <c r="E48" s="365"/>
      <c r="F48" s="365"/>
      <c r="G48" s="365"/>
      <c r="H48" s="365"/>
      <c r="I48" s="452" t="s">
        <v>1250</v>
      </c>
      <c r="J48" s="389" t="s">
        <v>586</v>
      </c>
      <c r="K48" s="661">
        <f>100000-78000-22000</f>
        <v>0</v>
      </c>
      <c r="L48" s="476"/>
      <c r="M48" s="445"/>
      <c r="N48" s="448"/>
      <c r="O48" s="520"/>
      <c r="P48" s="365"/>
    </row>
    <row r="49" spans="1:16" s="366" customFormat="1" ht="15.6" x14ac:dyDescent="0.3">
      <c r="A49" s="388"/>
      <c r="B49" s="459" t="s">
        <v>651</v>
      </c>
      <c r="C49" s="451" t="s">
        <v>1099</v>
      </c>
      <c r="D49" s="365"/>
      <c r="E49" s="365"/>
      <c r="F49" s="365"/>
      <c r="G49" s="365"/>
      <c r="H49" s="365"/>
      <c r="I49" s="452" t="s">
        <v>1248</v>
      </c>
      <c r="J49" s="389" t="s">
        <v>586</v>
      </c>
      <c r="K49" s="661">
        <f>564980-34980</f>
        <v>530000</v>
      </c>
      <c r="L49" s="476"/>
      <c r="M49" s="445">
        <v>530000</v>
      </c>
      <c r="N49" s="365"/>
      <c r="O49" s="1318"/>
      <c r="P49" s="365"/>
    </row>
    <row r="50" spans="1:16" s="366" customFormat="1" ht="31.2" hidden="1" x14ac:dyDescent="0.3">
      <c r="A50" s="388"/>
      <c r="B50" s="423" t="s">
        <v>1027</v>
      </c>
      <c r="C50" s="451" t="s">
        <v>1101</v>
      </c>
      <c r="D50" s="365"/>
      <c r="E50" s="365"/>
      <c r="F50" s="365"/>
      <c r="G50" s="365"/>
      <c r="H50" s="365"/>
      <c r="I50" s="452" t="s">
        <v>1100</v>
      </c>
      <c r="J50" s="363" t="s">
        <v>586</v>
      </c>
      <c r="K50" s="457">
        <f>100000-50000-50000</f>
        <v>0</v>
      </c>
      <c r="L50" s="476"/>
      <c r="M50" s="445"/>
      <c r="N50" s="365"/>
      <c r="O50" s="1320"/>
      <c r="P50" s="365"/>
    </row>
    <row r="51" spans="1:16" s="366" customFormat="1" ht="42.75" customHeight="1" x14ac:dyDescent="0.3">
      <c r="A51" s="388"/>
      <c r="B51" s="1293" t="s">
        <v>1376</v>
      </c>
      <c r="C51" s="451" t="s">
        <v>1101</v>
      </c>
      <c r="D51" s="365"/>
      <c r="E51" s="365"/>
      <c r="F51" s="365"/>
      <c r="G51" s="365"/>
      <c r="H51" s="365"/>
      <c r="I51" s="1295" t="s">
        <v>1266</v>
      </c>
      <c r="J51" s="363" t="s">
        <v>586</v>
      </c>
      <c r="K51" s="457">
        <f>800000-800000+279990</f>
        <v>279990</v>
      </c>
      <c r="L51" s="476"/>
      <c r="M51" s="424">
        <f>69880+69880</f>
        <v>139760</v>
      </c>
      <c r="N51" s="365"/>
      <c r="O51" s="1320"/>
      <c r="P51" s="365"/>
    </row>
    <row r="52" spans="1:16" s="366" customFormat="1" ht="42.75" customHeight="1" x14ac:dyDescent="0.3">
      <c r="A52" s="388"/>
      <c r="B52" s="1294"/>
      <c r="C52" s="451" t="s">
        <v>1377</v>
      </c>
      <c r="D52" s="365"/>
      <c r="E52" s="365"/>
      <c r="F52" s="365"/>
      <c r="G52" s="365"/>
      <c r="H52" s="365"/>
      <c r="I52" s="1296"/>
      <c r="J52" s="363" t="s">
        <v>813</v>
      </c>
      <c r="K52" s="457">
        <f>800000-279990</f>
        <v>520010</v>
      </c>
      <c r="L52" s="476"/>
      <c r="M52" s="424">
        <f>32500+90312+97956+24200</f>
        <v>244968</v>
      </c>
      <c r="N52" s="365"/>
      <c r="O52" s="1320"/>
      <c r="P52" s="367"/>
    </row>
    <row r="53" spans="1:16" s="366" customFormat="1" ht="15.6" x14ac:dyDescent="0.3">
      <c r="A53" s="1443"/>
      <c r="B53" s="1297" t="s">
        <v>706</v>
      </c>
      <c r="C53" s="451" t="s">
        <v>1101</v>
      </c>
      <c r="D53" s="365"/>
      <c r="E53" s="365"/>
      <c r="F53" s="365"/>
      <c r="G53" s="365"/>
      <c r="H53" s="365"/>
      <c r="I53" s="1295" t="s">
        <v>1267</v>
      </c>
      <c r="J53" s="363" t="s">
        <v>586</v>
      </c>
      <c r="K53" s="457">
        <f>380449.21-380449.21</f>
        <v>0</v>
      </c>
      <c r="L53" s="476"/>
      <c r="M53" s="445"/>
      <c r="N53" s="365"/>
      <c r="O53" s="1320"/>
      <c r="P53" s="367"/>
    </row>
    <row r="54" spans="1:16" s="366" customFormat="1" ht="15.6" x14ac:dyDescent="0.3">
      <c r="A54" s="1308"/>
      <c r="B54" s="1299"/>
      <c r="C54" s="451" t="s">
        <v>1377</v>
      </c>
      <c r="D54" s="365"/>
      <c r="E54" s="365"/>
      <c r="F54" s="365"/>
      <c r="G54" s="365"/>
      <c r="H54" s="365"/>
      <c r="I54" s="1296"/>
      <c r="J54" s="363" t="s">
        <v>813</v>
      </c>
      <c r="K54" s="457">
        <v>580449.21</v>
      </c>
      <c r="L54" s="476"/>
      <c r="M54" s="424">
        <v>20000</v>
      </c>
      <c r="N54" s="365"/>
      <c r="O54" s="1467"/>
      <c r="P54" s="367"/>
    </row>
    <row r="55" spans="1:16" s="366" customFormat="1" ht="15.6" x14ac:dyDescent="0.3">
      <c r="A55" s="388"/>
      <c r="B55" s="423" t="s">
        <v>1362</v>
      </c>
      <c r="C55" s="451" t="s">
        <v>1101</v>
      </c>
      <c r="D55" s="365"/>
      <c r="E55" s="365"/>
      <c r="F55" s="365"/>
      <c r="G55" s="365"/>
      <c r="H55" s="365"/>
      <c r="I55" s="452" t="s">
        <v>1363</v>
      </c>
      <c r="J55" s="363" t="s">
        <v>586</v>
      </c>
      <c r="K55" s="457">
        <v>78000</v>
      </c>
      <c r="L55" s="476"/>
      <c r="M55" s="445">
        <v>78000</v>
      </c>
      <c r="N55" s="365"/>
      <c r="O55" s="1320"/>
      <c r="P55" s="367"/>
    </row>
    <row r="56" spans="1:16" s="366" customFormat="1" ht="31.2" hidden="1" x14ac:dyDescent="0.3">
      <c r="A56" s="388"/>
      <c r="B56" s="459" t="s">
        <v>1158</v>
      </c>
      <c r="C56" s="451" t="s">
        <v>1159</v>
      </c>
      <c r="D56" s="365"/>
      <c r="E56" s="365"/>
      <c r="F56" s="365"/>
      <c r="G56" s="365"/>
      <c r="H56" s="365"/>
      <c r="I56" s="480" t="s">
        <v>707</v>
      </c>
      <c r="J56" s="363" t="s">
        <v>813</v>
      </c>
      <c r="K56" s="372"/>
      <c r="L56" s="476"/>
      <c r="M56" s="445"/>
      <c r="N56" s="365"/>
      <c r="O56" s="1321"/>
    </row>
    <row r="57" spans="1:16" s="366" customFormat="1" ht="31.2" x14ac:dyDescent="0.3">
      <c r="A57" s="388"/>
      <c r="B57" s="459" t="s">
        <v>1237</v>
      </c>
      <c r="C57" s="451" t="s">
        <v>1170</v>
      </c>
      <c r="D57" s="365"/>
      <c r="E57" s="365"/>
      <c r="F57" s="365"/>
      <c r="G57" s="365"/>
      <c r="H57" s="365"/>
      <c r="I57" s="389" t="s">
        <v>1238</v>
      </c>
      <c r="J57" s="389" t="s">
        <v>586</v>
      </c>
      <c r="K57" s="559">
        <f>214402.11-212402.11</f>
        <v>2000</v>
      </c>
      <c r="L57" s="476"/>
      <c r="M57" s="445">
        <v>2000</v>
      </c>
      <c r="N57" s="365"/>
      <c r="O57" s="1001"/>
    </row>
    <row r="58" spans="1:16" s="366" customFormat="1" ht="46.8" hidden="1" x14ac:dyDescent="0.3">
      <c r="A58" s="388"/>
      <c r="B58" s="521" t="s">
        <v>1195</v>
      </c>
      <c r="C58" s="451" t="s">
        <v>1101</v>
      </c>
      <c r="D58" s="365"/>
      <c r="E58" s="365"/>
      <c r="F58" s="365"/>
      <c r="G58" s="365"/>
      <c r="H58" s="365"/>
      <c r="I58" s="484" t="s">
        <v>1196</v>
      </c>
      <c r="J58" s="389" t="s">
        <v>586</v>
      </c>
      <c r="K58" s="559"/>
      <c r="L58" s="476"/>
      <c r="M58" s="661"/>
      <c r="N58" s="365"/>
      <c r="O58" s="1001"/>
    </row>
    <row r="59" spans="1:16" s="366" customFormat="1" ht="54" x14ac:dyDescent="0.35">
      <c r="A59" s="1013">
        <v>5</v>
      </c>
      <c r="B59" s="447" t="s">
        <v>1102</v>
      </c>
      <c r="C59" s="448"/>
      <c r="D59" s="448"/>
      <c r="E59" s="448"/>
      <c r="F59" s="448"/>
      <c r="G59" s="448"/>
      <c r="H59" s="448"/>
      <c r="I59" s="429" t="s">
        <v>1340</v>
      </c>
      <c r="J59" s="430"/>
      <c r="K59" s="449">
        <f>K63+K64+K66+K61+K60+K62+K65</f>
        <v>16760273.959999999</v>
      </c>
      <c r="L59" s="470"/>
      <c r="M59" s="449">
        <f>M63+M64+M66+M61+M60+M62+M65</f>
        <v>5427922.5899999999</v>
      </c>
      <c r="N59" s="448"/>
      <c r="O59" s="432" t="s">
        <v>1183</v>
      </c>
    </row>
    <row r="60" spans="1:16" s="366" customFormat="1" ht="26.25" customHeight="1" x14ac:dyDescent="0.35">
      <c r="A60" s="1013"/>
      <c r="B60" s="660" t="s">
        <v>1197</v>
      </c>
      <c r="C60" s="451" t="s">
        <v>1103</v>
      </c>
      <c r="D60" s="448"/>
      <c r="E60" s="448"/>
      <c r="F60" s="448"/>
      <c r="G60" s="448"/>
      <c r="H60" s="448"/>
      <c r="I60" s="1334" t="s">
        <v>1364</v>
      </c>
      <c r="J60" s="389" t="s">
        <v>586</v>
      </c>
      <c r="K60" s="464">
        <f>5385000-924000+1504587.33-1780000-240000-135921.51+869552.77+6463288.07</f>
        <v>11142506.66</v>
      </c>
      <c r="L60" s="742"/>
      <c r="M60" s="943">
        <f>85000+150096.77+460670.11+260000</f>
        <v>955766.88</v>
      </c>
      <c r="N60" s="448"/>
      <c r="O60" s="454" t="s">
        <v>151</v>
      </c>
    </row>
    <row r="61" spans="1:16" s="366" customFormat="1" ht="62.4" x14ac:dyDescent="0.35">
      <c r="A61" s="1013"/>
      <c r="B61" s="455" t="s">
        <v>1184</v>
      </c>
      <c r="C61" s="451" t="s">
        <v>1400</v>
      </c>
      <c r="D61" s="448"/>
      <c r="E61" s="448"/>
      <c r="F61" s="448"/>
      <c r="G61" s="448"/>
      <c r="H61" s="448"/>
      <c r="I61" s="1296"/>
      <c r="J61" s="430">
        <v>500</v>
      </c>
      <c r="K61" s="457">
        <f>924000+780000+383767.3+190000</f>
        <v>2277767.2999999998</v>
      </c>
      <c r="L61" s="470"/>
      <c r="M61" s="464">
        <f>924000+780000+143767.3+240000+190000</f>
        <v>2277767.2999999998</v>
      </c>
      <c r="N61" s="448"/>
      <c r="O61" s="456" t="s">
        <v>1179</v>
      </c>
    </row>
    <row r="62" spans="1:16" s="366" customFormat="1" ht="47.4" x14ac:dyDescent="0.35">
      <c r="A62" s="1013"/>
      <c r="B62" s="831" t="s">
        <v>1402</v>
      </c>
      <c r="C62" s="451" t="s">
        <v>1400</v>
      </c>
      <c r="D62" s="448"/>
      <c r="E62" s="448"/>
      <c r="F62" s="448"/>
      <c r="G62" s="448"/>
      <c r="H62" s="448"/>
      <c r="I62" s="452" t="s">
        <v>1401</v>
      </c>
      <c r="J62" s="430">
        <v>500</v>
      </c>
      <c r="K62" s="457">
        <f>340000+400000</f>
        <v>740000</v>
      </c>
      <c r="L62" s="470"/>
      <c r="M62" s="1055">
        <f>340000+80000</f>
        <v>420000</v>
      </c>
      <c r="N62" s="448"/>
      <c r="O62" s="988"/>
    </row>
    <row r="63" spans="1:16" s="366" customFormat="1" ht="31.2" hidden="1" x14ac:dyDescent="0.3">
      <c r="A63" s="388"/>
      <c r="B63" s="459" t="s">
        <v>822</v>
      </c>
      <c r="C63" s="451" t="s">
        <v>1105</v>
      </c>
      <c r="D63" s="365"/>
      <c r="E63" s="365"/>
      <c r="F63" s="365"/>
      <c r="G63" s="365"/>
      <c r="H63" s="365"/>
      <c r="I63" s="452" t="s">
        <v>823</v>
      </c>
      <c r="J63" s="363" t="s">
        <v>613</v>
      </c>
      <c r="K63" s="457"/>
      <c r="L63" s="476"/>
      <c r="M63" s="445"/>
      <c r="N63" s="365"/>
      <c r="O63" s="1322" t="s">
        <v>968</v>
      </c>
    </row>
    <row r="64" spans="1:16" s="366" customFormat="1" ht="15.6" hidden="1" x14ac:dyDescent="0.3">
      <c r="A64" s="460"/>
      <c r="B64" s="459" t="s">
        <v>825</v>
      </c>
      <c r="C64" s="451" t="s">
        <v>1105</v>
      </c>
      <c r="D64" s="461"/>
      <c r="E64" s="461"/>
      <c r="F64" s="461"/>
      <c r="G64" s="461"/>
      <c r="H64" s="461"/>
      <c r="I64" s="452" t="s">
        <v>826</v>
      </c>
      <c r="J64" s="363" t="s">
        <v>613</v>
      </c>
      <c r="K64" s="457"/>
      <c r="L64" s="476"/>
      <c r="M64" s="445"/>
      <c r="N64" s="461"/>
      <c r="O64" s="1323"/>
      <c r="P64" s="462"/>
    </row>
    <row r="65" spans="1:16" s="366" customFormat="1" ht="15.6" x14ac:dyDescent="0.3">
      <c r="A65" s="460"/>
      <c r="B65" s="1293" t="s">
        <v>828</v>
      </c>
      <c r="C65" s="451" t="s">
        <v>1142</v>
      </c>
      <c r="D65" s="365"/>
      <c r="E65" s="365"/>
      <c r="F65" s="365"/>
      <c r="G65" s="365"/>
      <c r="H65" s="365"/>
      <c r="I65" s="452" t="s">
        <v>1306</v>
      </c>
      <c r="J65" s="363" t="s">
        <v>613</v>
      </c>
      <c r="K65" s="457">
        <v>681008.52</v>
      </c>
      <c r="L65" s="476"/>
      <c r="M65" s="445">
        <f>248004.2+433004.32</f>
        <v>681008.52</v>
      </c>
      <c r="N65" s="461"/>
      <c r="O65" s="1323"/>
      <c r="P65" s="462"/>
    </row>
    <row r="66" spans="1:16" s="366" customFormat="1" ht="15.6" x14ac:dyDescent="0.3">
      <c r="A66" s="388"/>
      <c r="B66" s="1415"/>
      <c r="C66" s="451" t="s">
        <v>1105</v>
      </c>
      <c r="D66" s="365"/>
      <c r="E66" s="365"/>
      <c r="F66" s="365"/>
      <c r="G66" s="365"/>
      <c r="H66" s="365"/>
      <c r="I66" s="452" t="s">
        <v>1306</v>
      </c>
      <c r="J66" s="363" t="s">
        <v>613</v>
      </c>
      <c r="K66" s="457">
        <f>3500000-681008.52-900000</f>
        <v>1918991.48</v>
      </c>
      <c r="L66" s="476"/>
      <c r="M66" s="424">
        <f>198938.15+894441.74</f>
        <v>1093379.8899999999</v>
      </c>
      <c r="N66" s="365"/>
      <c r="O66" s="1324"/>
    </row>
    <row r="67" spans="1:16" s="366" customFormat="1" ht="54" x14ac:dyDescent="0.35">
      <c r="A67" s="1013">
        <v>6</v>
      </c>
      <c r="B67" s="447" t="s">
        <v>1106</v>
      </c>
      <c r="C67" s="557"/>
      <c r="D67" s="448"/>
      <c r="E67" s="448"/>
      <c r="F67" s="448"/>
      <c r="G67" s="448"/>
      <c r="H67" s="448"/>
      <c r="I67" s="429" t="s">
        <v>1341</v>
      </c>
      <c r="J67" s="430"/>
      <c r="K67" s="449">
        <f>K68</f>
        <v>50000</v>
      </c>
      <c r="L67" s="470"/>
      <c r="M67" s="449">
        <f>M68</f>
        <v>49999.990000000005</v>
      </c>
      <c r="N67" s="448"/>
      <c r="O67" s="432" t="s">
        <v>151</v>
      </c>
    </row>
    <row r="68" spans="1:16" s="366" customFormat="1" ht="31.2" x14ac:dyDescent="0.3">
      <c r="A68" s="561"/>
      <c r="B68" s="459" t="s">
        <v>728</v>
      </c>
      <c r="C68" s="387" t="s">
        <v>1107</v>
      </c>
      <c r="D68" s="562"/>
      <c r="E68" s="562"/>
      <c r="F68" s="562"/>
      <c r="G68" s="562"/>
      <c r="H68" s="562"/>
      <c r="I68" s="452" t="s">
        <v>1273</v>
      </c>
      <c r="J68" s="363" t="s">
        <v>586</v>
      </c>
      <c r="K68" s="457">
        <v>50000</v>
      </c>
      <c r="L68" s="476"/>
      <c r="M68" s="445">
        <f>23000+26999.99</f>
        <v>49999.990000000005</v>
      </c>
      <c r="N68" s="365"/>
      <c r="O68" s="563"/>
    </row>
    <row r="69" spans="1:16" s="474" customFormat="1" ht="36" x14ac:dyDescent="0.35">
      <c r="A69" s="467">
        <v>7</v>
      </c>
      <c r="B69" s="468" t="s">
        <v>1108</v>
      </c>
      <c r="C69" s="469"/>
      <c r="D69" s="470"/>
      <c r="E69" s="470"/>
      <c r="F69" s="470"/>
      <c r="G69" s="470"/>
      <c r="H69" s="470"/>
      <c r="I69" s="471" t="s">
        <v>1342</v>
      </c>
      <c r="J69" s="472"/>
      <c r="K69" s="473">
        <f>K70+K71+K72</f>
        <v>26551599.059999999</v>
      </c>
      <c r="L69" s="470"/>
      <c r="M69" s="473">
        <f>M70+M71+M72</f>
        <v>2065343.3</v>
      </c>
      <c r="N69" s="470"/>
      <c r="O69" s="432" t="s">
        <v>151</v>
      </c>
    </row>
    <row r="70" spans="1:16" s="474" customFormat="1" ht="46.8" x14ac:dyDescent="0.3">
      <c r="A70" s="475"/>
      <c r="B70" s="423" t="s">
        <v>697</v>
      </c>
      <c r="C70" s="395" t="s">
        <v>1109</v>
      </c>
      <c r="D70" s="476"/>
      <c r="E70" s="476"/>
      <c r="F70" s="476"/>
      <c r="G70" s="476"/>
      <c r="H70" s="476"/>
      <c r="I70" s="477" t="s">
        <v>1262</v>
      </c>
      <c r="J70" s="371" t="s">
        <v>700</v>
      </c>
      <c r="K70" s="457">
        <v>2500000</v>
      </c>
      <c r="L70" s="476"/>
      <c r="M70" s="445">
        <f>1065343.3-1065343.3</f>
        <v>0</v>
      </c>
      <c r="N70" s="476"/>
      <c r="O70" s="1325"/>
    </row>
    <row r="71" spans="1:16" s="366" customFormat="1" ht="31.2" x14ac:dyDescent="0.3">
      <c r="A71" s="388"/>
      <c r="B71" s="459" t="s">
        <v>768</v>
      </c>
      <c r="C71" s="387" t="s">
        <v>1111</v>
      </c>
      <c r="D71" s="365"/>
      <c r="E71" s="365"/>
      <c r="F71" s="365"/>
      <c r="G71" s="365"/>
      <c r="H71" s="365"/>
      <c r="I71" s="452" t="s">
        <v>1289</v>
      </c>
      <c r="J71" s="363" t="s">
        <v>764</v>
      </c>
      <c r="K71" s="457">
        <v>1000000</v>
      </c>
      <c r="L71" s="476"/>
      <c r="M71" s="445">
        <v>1000000</v>
      </c>
      <c r="N71" s="365"/>
      <c r="O71" s="1326"/>
    </row>
    <row r="72" spans="1:16" s="366" customFormat="1" ht="46.8" x14ac:dyDescent="0.3">
      <c r="A72" s="388"/>
      <c r="B72" s="423" t="s">
        <v>1360</v>
      </c>
      <c r="C72" s="387" t="s">
        <v>1109</v>
      </c>
      <c r="D72" s="365"/>
      <c r="E72" s="365"/>
      <c r="F72" s="365"/>
      <c r="G72" s="365"/>
      <c r="H72" s="365"/>
      <c r="I72" s="452" t="s">
        <v>1359</v>
      </c>
      <c r="J72" s="363" t="s">
        <v>700</v>
      </c>
      <c r="K72" s="457">
        <f>18304436.83+5535587.23-788425</f>
        <v>23051599.059999999</v>
      </c>
      <c r="L72" s="476"/>
      <c r="M72" s="743">
        <v>1065343.3</v>
      </c>
      <c r="N72" s="365"/>
      <c r="O72" s="1002"/>
    </row>
    <row r="73" spans="1:16" s="366" customFormat="1" ht="35.4" x14ac:dyDescent="0.35">
      <c r="A73" s="425">
        <v>8</v>
      </c>
      <c r="B73" s="437" t="s">
        <v>561</v>
      </c>
      <c r="C73" s="427"/>
      <c r="D73" s="428"/>
      <c r="E73" s="428"/>
      <c r="F73" s="428"/>
      <c r="G73" s="428"/>
      <c r="H73" s="428"/>
      <c r="I73" s="429" t="s">
        <v>1343</v>
      </c>
      <c r="J73" s="430"/>
      <c r="K73" s="744">
        <f>K74+K75+K76+K77+K78</f>
        <v>214800</v>
      </c>
      <c r="L73" s="568"/>
      <c r="M73" s="744">
        <f>M74+M75+M76+M77+M78</f>
        <v>86901.5</v>
      </c>
      <c r="N73" s="428"/>
      <c r="O73" s="432" t="s">
        <v>151</v>
      </c>
    </row>
    <row r="74" spans="1:16" s="366" customFormat="1" ht="31.2" x14ac:dyDescent="0.3">
      <c r="A74" s="388"/>
      <c r="B74" s="459" t="s">
        <v>684</v>
      </c>
      <c r="C74" s="387" t="s">
        <v>1114</v>
      </c>
      <c r="D74" s="365"/>
      <c r="E74" s="365"/>
      <c r="F74" s="365"/>
      <c r="G74" s="365"/>
      <c r="H74" s="365"/>
      <c r="I74" s="452" t="s">
        <v>1259</v>
      </c>
      <c r="J74" s="363" t="s">
        <v>528</v>
      </c>
      <c r="K74" s="457">
        <v>106000</v>
      </c>
      <c r="L74" s="476"/>
      <c r="M74" s="424">
        <v>80367.5</v>
      </c>
      <c r="N74" s="365"/>
      <c r="O74" s="1325"/>
    </row>
    <row r="75" spans="1:16" s="366" customFormat="1" ht="62.4" x14ac:dyDescent="0.3">
      <c r="A75" s="388"/>
      <c r="B75" s="459" t="s">
        <v>687</v>
      </c>
      <c r="C75" s="387" t="s">
        <v>1114</v>
      </c>
      <c r="D75" s="365"/>
      <c r="E75" s="365"/>
      <c r="F75" s="365"/>
      <c r="G75" s="365"/>
      <c r="H75" s="365"/>
      <c r="I75" s="452" t="s">
        <v>1260</v>
      </c>
      <c r="J75" s="363" t="s">
        <v>528</v>
      </c>
      <c r="K75" s="457">
        <v>53000</v>
      </c>
      <c r="L75" s="476"/>
      <c r="M75" s="445"/>
      <c r="N75" s="365"/>
      <c r="O75" s="1432"/>
    </row>
    <row r="76" spans="1:16" s="366" customFormat="1" ht="31.2" x14ac:dyDescent="0.3">
      <c r="A76" s="388"/>
      <c r="B76" s="459" t="s">
        <v>690</v>
      </c>
      <c r="C76" s="995" t="s">
        <v>1114</v>
      </c>
      <c r="D76" s="482"/>
      <c r="E76" s="482"/>
      <c r="F76" s="482"/>
      <c r="G76" s="482"/>
      <c r="H76" s="482"/>
      <c r="I76" s="480" t="s">
        <v>1261</v>
      </c>
      <c r="J76" s="564" t="s">
        <v>586</v>
      </c>
      <c r="K76" s="372">
        <v>24000</v>
      </c>
      <c r="L76" s="476"/>
      <c r="M76" s="445">
        <v>6534</v>
      </c>
      <c r="N76" s="365"/>
      <c r="O76" s="1326"/>
    </row>
    <row r="77" spans="1:16" s="366" customFormat="1" ht="31.2" x14ac:dyDescent="0.3">
      <c r="A77" s="388"/>
      <c r="B77" s="565" t="s">
        <v>1171</v>
      </c>
      <c r="C77" s="387" t="s">
        <v>1172</v>
      </c>
      <c r="D77" s="365"/>
      <c r="E77" s="365"/>
      <c r="F77" s="365"/>
      <c r="G77" s="365"/>
      <c r="H77" s="365"/>
      <c r="I77" s="389" t="s">
        <v>1246</v>
      </c>
      <c r="J77" s="389" t="s">
        <v>528</v>
      </c>
      <c r="K77" s="559">
        <v>31800</v>
      </c>
      <c r="L77" s="476"/>
      <c r="M77" s="445"/>
      <c r="N77" s="365"/>
      <c r="O77" s="1002"/>
    </row>
    <row r="78" spans="1:16" s="366" customFormat="1" ht="62.4" x14ac:dyDescent="0.3">
      <c r="A78" s="388"/>
      <c r="B78" s="565" t="s">
        <v>1173</v>
      </c>
      <c r="C78" s="387" t="s">
        <v>1172</v>
      </c>
      <c r="D78" s="365"/>
      <c r="E78" s="365"/>
      <c r="F78" s="365"/>
      <c r="G78" s="365"/>
      <c r="H78" s="365"/>
      <c r="I78" s="389" t="s">
        <v>1247</v>
      </c>
      <c r="J78" s="389" t="s">
        <v>528</v>
      </c>
      <c r="K78" s="559">
        <f>19080-19080</f>
        <v>0</v>
      </c>
      <c r="L78" s="476"/>
      <c r="M78" s="445"/>
      <c r="N78" s="365"/>
      <c r="O78" s="1002"/>
    </row>
    <row r="79" spans="1:16" s="366" customFormat="1" ht="36" x14ac:dyDescent="0.35">
      <c r="A79" s="1013">
        <v>9</v>
      </c>
      <c r="B79" s="566" t="s">
        <v>560</v>
      </c>
      <c r="C79" s="365"/>
      <c r="D79" s="365"/>
      <c r="E79" s="365"/>
      <c r="F79" s="365"/>
      <c r="G79" s="365"/>
      <c r="H79" s="365"/>
      <c r="I79" s="429" t="s">
        <v>1344</v>
      </c>
      <c r="J79" s="430"/>
      <c r="K79" s="473">
        <f>K80+K81+K82+K83+K84</f>
        <v>6348058.5099999998</v>
      </c>
      <c r="L79" s="476"/>
      <c r="M79" s="473">
        <f>M80+M81+M82+M83+M84</f>
        <v>1571840.65</v>
      </c>
      <c r="N79" s="365"/>
      <c r="O79" s="432" t="s">
        <v>151</v>
      </c>
    </row>
    <row r="80" spans="1:16" s="366" customFormat="1" ht="18" x14ac:dyDescent="0.35">
      <c r="A80" s="1013"/>
      <c r="B80" s="459" t="s">
        <v>787</v>
      </c>
      <c r="C80" s="387" t="s">
        <v>1116</v>
      </c>
      <c r="D80" s="365"/>
      <c r="E80" s="365"/>
      <c r="F80" s="365"/>
      <c r="G80" s="365"/>
      <c r="H80" s="365"/>
      <c r="I80" s="452" t="s">
        <v>1295</v>
      </c>
      <c r="J80" s="363" t="s">
        <v>586</v>
      </c>
      <c r="K80" s="457">
        <v>476999</v>
      </c>
      <c r="L80" s="476"/>
      <c r="M80" s="424">
        <f>10146.64+26907+37893.28+15554.98+10789.64+16346.64+39510+630.21+35170.99</f>
        <v>192949.37999999998</v>
      </c>
      <c r="N80" s="365"/>
      <c r="O80" s="1325"/>
    </row>
    <row r="81" spans="1:15" s="366" customFormat="1" ht="15.6" x14ac:dyDescent="0.3">
      <c r="A81" s="388"/>
      <c r="B81" s="534" t="s">
        <v>781</v>
      </c>
      <c r="C81" s="387" t="s">
        <v>1115</v>
      </c>
      <c r="D81" s="365"/>
      <c r="E81" s="365"/>
      <c r="F81" s="365"/>
      <c r="G81" s="365"/>
      <c r="H81" s="365"/>
      <c r="I81" s="452" t="s">
        <v>1293</v>
      </c>
      <c r="J81" s="363" t="s">
        <v>586</v>
      </c>
      <c r="K81" s="457">
        <f>450000+928700</f>
        <v>1378700</v>
      </c>
      <c r="L81" s="476"/>
      <c r="M81" s="445">
        <v>635000.01</v>
      </c>
      <c r="N81" s="365"/>
      <c r="O81" s="1432"/>
    </row>
    <row r="82" spans="1:15" s="366" customFormat="1" ht="15.6" x14ac:dyDescent="0.3">
      <c r="A82" s="388"/>
      <c r="B82" s="459" t="s">
        <v>790</v>
      </c>
      <c r="C82" s="387" t="s">
        <v>1116</v>
      </c>
      <c r="D82" s="365"/>
      <c r="E82" s="365"/>
      <c r="F82" s="365"/>
      <c r="G82" s="365"/>
      <c r="H82" s="365"/>
      <c r="I82" s="452" t="s">
        <v>1296</v>
      </c>
      <c r="J82" s="363" t="s">
        <v>586</v>
      </c>
      <c r="K82" s="457">
        <v>529999</v>
      </c>
      <c r="L82" s="476"/>
      <c r="M82" s="445">
        <f>189150-107882+28785.7+126022.27+15811.89+41200+60097.4</f>
        <v>353185.26</v>
      </c>
      <c r="N82" s="365"/>
      <c r="O82" s="1432"/>
    </row>
    <row r="83" spans="1:15" s="366" customFormat="1" ht="31.2" x14ac:dyDescent="0.3">
      <c r="A83" s="388"/>
      <c r="B83" s="459" t="s">
        <v>784</v>
      </c>
      <c r="C83" s="387" t="s">
        <v>1115</v>
      </c>
      <c r="D83" s="365"/>
      <c r="E83" s="365"/>
      <c r="F83" s="365"/>
      <c r="G83" s="365"/>
      <c r="H83" s="365"/>
      <c r="I83" s="452" t="s">
        <v>1294</v>
      </c>
      <c r="J83" s="363" t="s">
        <v>586</v>
      </c>
      <c r="K83" s="457">
        <f>100000-50000</f>
        <v>50000</v>
      </c>
      <c r="L83" s="476"/>
      <c r="M83" s="445"/>
      <c r="N83" s="365"/>
      <c r="O83" s="1326"/>
    </row>
    <row r="84" spans="1:15" s="366" customFormat="1" ht="31.2" x14ac:dyDescent="0.3">
      <c r="A84" s="388"/>
      <c r="B84" s="521" t="s">
        <v>1297</v>
      </c>
      <c r="C84" s="387" t="s">
        <v>1116</v>
      </c>
      <c r="D84" s="365"/>
      <c r="E84" s="365"/>
      <c r="F84" s="365"/>
      <c r="G84" s="365"/>
      <c r="H84" s="365"/>
      <c r="I84" s="452" t="s">
        <v>1298</v>
      </c>
      <c r="J84" s="363" t="s">
        <v>700</v>
      </c>
      <c r="K84" s="457">
        <f>6000000-152000-1210622-633767.3-91250.19</f>
        <v>3912360.5100000002</v>
      </c>
      <c r="L84" s="476"/>
      <c r="M84" s="424">
        <f>290887+99819</f>
        <v>390706</v>
      </c>
      <c r="N84" s="365"/>
      <c r="O84" s="1002"/>
    </row>
    <row r="85" spans="1:15" s="366" customFormat="1" ht="70.2" x14ac:dyDescent="0.35">
      <c r="A85" s="1013">
        <v>10</v>
      </c>
      <c r="B85" s="447" t="s">
        <v>562</v>
      </c>
      <c r="C85" s="365"/>
      <c r="D85" s="365"/>
      <c r="E85" s="365"/>
      <c r="F85" s="365"/>
      <c r="G85" s="365"/>
      <c r="H85" s="365"/>
      <c r="I85" s="429" t="s">
        <v>1345</v>
      </c>
      <c r="J85" s="430"/>
      <c r="K85" s="473">
        <f>K86+K90+K93+K94+K96+K102+K105+K112+K114+K116+K115+K113+K117+K95+K111+K110+K92+K101+K91</f>
        <v>83479268.120000005</v>
      </c>
      <c r="L85" s="476"/>
      <c r="M85" s="473">
        <f>M86+M90+M93+M94+M96+M102+M105+M112+M114+M116+M115+M113+M117+M95+M111+M110+M92+M101+M91</f>
        <v>65308653.660000004</v>
      </c>
      <c r="N85" s="365"/>
      <c r="O85" s="432" t="s">
        <v>1135</v>
      </c>
    </row>
    <row r="86" spans="1:15" s="366" customFormat="1" ht="15.6" x14ac:dyDescent="0.3">
      <c r="A86" s="1428"/>
      <c r="B86" s="1346" t="s">
        <v>796</v>
      </c>
      <c r="C86" s="387" t="s">
        <v>1131</v>
      </c>
      <c r="D86" s="388"/>
      <c r="E86" s="388"/>
      <c r="F86" s="388"/>
      <c r="G86" s="388"/>
      <c r="H86" s="388"/>
      <c r="I86" s="389" t="s">
        <v>1299</v>
      </c>
      <c r="J86" s="363"/>
      <c r="K86" s="457">
        <f>K87+K88+K89</f>
        <v>10462254.289999999</v>
      </c>
      <c r="L86" s="476"/>
      <c r="M86" s="457">
        <f>M87+M88+M89</f>
        <v>8165115.8200000003</v>
      </c>
      <c r="N86" s="365"/>
      <c r="O86" s="1350" t="s">
        <v>1136</v>
      </c>
    </row>
    <row r="87" spans="1:15" s="366" customFormat="1" ht="15.6" x14ac:dyDescent="0.3">
      <c r="A87" s="1429"/>
      <c r="B87" s="1430"/>
      <c r="C87" s="887"/>
      <c r="D87" s="386"/>
      <c r="E87" s="386"/>
      <c r="F87" s="386"/>
      <c r="G87" s="386"/>
      <c r="H87" s="386"/>
      <c r="I87" s="888"/>
      <c r="J87" s="363" t="s">
        <v>162</v>
      </c>
      <c r="K87" s="457">
        <v>9687260.6099999994</v>
      </c>
      <c r="L87" s="476"/>
      <c r="M87" s="424">
        <f>524429.57+75+158298.21+536955.67+75+192902.57+568054.78+75+162342.28+648114.12+75+198805.22+573128.6+2476.7+169380.03+1012284.12+1094285.75+362322.37+3991+106547.75+533877.68+75+153615+674763.5+75+195898.49</f>
        <v>7872923.4100000001</v>
      </c>
      <c r="N87" s="365"/>
      <c r="O87" s="1431"/>
    </row>
    <row r="88" spans="1:15" s="366" customFormat="1" ht="15.6" x14ac:dyDescent="0.3">
      <c r="A88" s="1429"/>
      <c r="B88" s="1430"/>
      <c r="C88" s="887"/>
      <c r="D88" s="362"/>
      <c r="E88" s="362"/>
      <c r="F88" s="362"/>
      <c r="G88" s="362"/>
      <c r="H88" s="362"/>
      <c r="I88" s="888"/>
      <c r="J88" s="363" t="s">
        <v>586</v>
      </c>
      <c r="K88" s="457">
        <f>847600-84606.32</f>
        <v>762993.67999999993</v>
      </c>
      <c r="L88" s="476"/>
      <c r="M88" s="424">
        <f>815.14+20591.29+30465.97+12189.2+28272.17+30034.85+19269.7+57149.1+19560.63+73044.36</f>
        <v>291392.41000000003</v>
      </c>
      <c r="N88" s="365"/>
      <c r="O88" s="1431"/>
    </row>
    <row r="89" spans="1:15" s="366" customFormat="1" ht="15.6" x14ac:dyDescent="0.3">
      <c r="A89" s="1345"/>
      <c r="B89" s="1299"/>
      <c r="C89" s="384"/>
      <c r="D89" s="362"/>
      <c r="E89" s="362"/>
      <c r="F89" s="362"/>
      <c r="G89" s="362"/>
      <c r="H89" s="362"/>
      <c r="I89" s="385"/>
      <c r="J89" s="363" t="s">
        <v>528</v>
      </c>
      <c r="K89" s="457">
        <v>12000</v>
      </c>
      <c r="L89" s="476"/>
      <c r="M89" s="445">
        <f>800</f>
        <v>800</v>
      </c>
      <c r="N89" s="365"/>
      <c r="O89" s="1431"/>
    </row>
    <row r="90" spans="1:15" s="366" customFormat="1" ht="78" x14ac:dyDescent="0.35">
      <c r="A90" s="1013"/>
      <c r="B90" s="478" t="s">
        <v>810</v>
      </c>
      <c r="C90" s="387" t="s">
        <v>1133</v>
      </c>
      <c r="D90" s="365"/>
      <c r="E90" s="365"/>
      <c r="F90" s="365"/>
      <c r="G90" s="365"/>
      <c r="H90" s="365"/>
      <c r="I90" s="452" t="s">
        <v>1302</v>
      </c>
      <c r="J90" s="363" t="s">
        <v>813</v>
      </c>
      <c r="K90" s="457">
        <v>18000000</v>
      </c>
      <c r="L90" s="476"/>
      <c r="M90" s="424">
        <f>2126908+1469292+2403796+1499999+1499999+1499999+1499999+1499999+1499999</f>
        <v>14999990</v>
      </c>
      <c r="N90" s="365"/>
      <c r="O90" s="1431"/>
    </row>
    <row r="91" spans="1:15" s="366" customFormat="1" ht="27" customHeight="1" x14ac:dyDescent="0.3">
      <c r="A91" s="1461"/>
      <c r="B91" s="1463" t="s">
        <v>1405</v>
      </c>
      <c r="C91" s="387" t="s">
        <v>1418</v>
      </c>
      <c r="D91" s="365"/>
      <c r="E91" s="365"/>
      <c r="F91" s="365"/>
      <c r="G91" s="365"/>
      <c r="H91" s="365"/>
      <c r="I91" s="1295" t="s">
        <v>1404</v>
      </c>
      <c r="J91" s="363" t="s">
        <v>813</v>
      </c>
      <c r="K91" s="457">
        <v>100000</v>
      </c>
      <c r="L91" s="476"/>
      <c r="M91" s="445">
        <v>100000</v>
      </c>
      <c r="N91" s="365"/>
      <c r="O91" s="1466"/>
    </row>
    <row r="92" spans="1:15" s="366" customFormat="1" ht="34.5" customHeight="1" x14ac:dyDescent="0.3">
      <c r="A92" s="1462"/>
      <c r="B92" s="1464"/>
      <c r="C92" s="387" t="s">
        <v>1403</v>
      </c>
      <c r="D92" s="365"/>
      <c r="E92" s="365"/>
      <c r="F92" s="365"/>
      <c r="G92" s="365"/>
      <c r="H92" s="365"/>
      <c r="I92" s="1296"/>
      <c r="J92" s="363" t="s">
        <v>813</v>
      </c>
      <c r="K92" s="457">
        <f>150000+210466.03</f>
        <v>360466.03</v>
      </c>
      <c r="L92" s="476"/>
      <c r="M92" s="445">
        <f>150000+210466.03</f>
        <v>360466.03</v>
      </c>
      <c r="N92" s="365"/>
      <c r="O92" s="1431"/>
    </row>
    <row r="93" spans="1:15" s="366" customFormat="1" ht="31.2" x14ac:dyDescent="0.35">
      <c r="A93" s="1013"/>
      <c r="B93" s="459" t="s">
        <v>805</v>
      </c>
      <c r="C93" s="387" t="s">
        <v>1132</v>
      </c>
      <c r="D93" s="365"/>
      <c r="E93" s="365"/>
      <c r="F93" s="365"/>
      <c r="G93" s="365"/>
      <c r="H93" s="365"/>
      <c r="I93" s="452" t="s">
        <v>1301</v>
      </c>
      <c r="J93" s="363" t="s">
        <v>808</v>
      </c>
      <c r="K93" s="457">
        <f>51963.84-51963.84</f>
        <v>0</v>
      </c>
      <c r="L93" s="476"/>
      <c r="M93" s="445"/>
      <c r="N93" s="365"/>
      <c r="O93" s="1431"/>
    </row>
    <row r="94" spans="1:15" s="366" customFormat="1" ht="18" x14ac:dyDescent="0.35">
      <c r="A94" s="889"/>
      <c r="B94" s="1297" t="s">
        <v>801</v>
      </c>
      <c r="C94" s="1372" t="s">
        <v>1131</v>
      </c>
      <c r="D94" s="890"/>
      <c r="E94" s="890"/>
      <c r="F94" s="890"/>
      <c r="G94" s="890"/>
      <c r="H94" s="890"/>
      <c r="I94" s="1295" t="s">
        <v>1300</v>
      </c>
      <c r="J94" s="363" t="s">
        <v>162</v>
      </c>
      <c r="K94" s="457">
        <f>600000+10000</f>
        <v>610000</v>
      </c>
      <c r="L94" s="476"/>
      <c r="M94" s="424">
        <f>30041.46+9072.51+32340.46+8828.94+38624.73+10544.55+33976.9+10661.72+35118.46+8201.31+38242.77+59610.06+68927.73+20816.17+7544.56+7211.4+39053.46+11794.15</f>
        <v>470611.34</v>
      </c>
      <c r="N94" s="365"/>
      <c r="O94" s="1352"/>
    </row>
    <row r="95" spans="1:15" s="366" customFormat="1" ht="18" x14ac:dyDescent="0.35">
      <c r="A95" s="494"/>
      <c r="B95" s="1299"/>
      <c r="C95" s="1348"/>
      <c r="D95" s="890"/>
      <c r="E95" s="890"/>
      <c r="F95" s="890"/>
      <c r="G95" s="890"/>
      <c r="H95" s="890"/>
      <c r="I95" s="1285"/>
      <c r="J95" s="363" t="s">
        <v>586</v>
      </c>
      <c r="K95" s="457"/>
      <c r="L95" s="476"/>
      <c r="M95" s="745"/>
      <c r="N95" s="365"/>
      <c r="O95" s="1010"/>
    </row>
    <row r="96" spans="1:15" s="366" customFormat="1" ht="15.6" x14ac:dyDescent="0.3">
      <c r="A96" s="1428"/>
      <c r="B96" s="1297" t="s">
        <v>904</v>
      </c>
      <c r="C96" s="387" t="s">
        <v>1134</v>
      </c>
      <c r="D96" s="388"/>
      <c r="E96" s="388"/>
      <c r="F96" s="388"/>
      <c r="G96" s="388"/>
      <c r="H96" s="388"/>
      <c r="I96" s="389" t="s">
        <v>1328</v>
      </c>
      <c r="J96" s="363"/>
      <c r="K96" s="457">
        <f>K97+K98+K99</f>
        <v>5332603.96</v>
      </c>
      <c r="L96" s="476"/>
      <c r="M96" s="457">
        <f>M97+M98+M99</f>
        <v>4199641.3599999994</v>
      </c>
      <c r="N96" s="365"/>
      <c r="O96" s="1288" t="s">
        <v>1097</v>
      </c>
    </row>
    <row r="97" spans="1:15" s="366" customFormat="1" ht="15.6" x14ac:dyDescent="0.3">
      <c r="A97" s="1429"/>
      <c r="B97" s="1430"/>
      <c r="C97" s="887"/>
      <c r="D97" s="386"/>
      <c r="E97" s="386"/>
      <c r="F97" s="386"/>
      <c r="G97" s="386"/>
      <c r="H97" s="386"/>
      <c r="I97" s="888"/>
      <c r="J97" s="363" t="s">
        <v>162</v>
      </c>
      <c r="K97" s="457">
        <v>5094348.96</v>
      </c>
      <c r="L97" s="476"/>
      <c r="M97" s="424">
        <f>267156.78+80681.33+323666.55+97747.31+286809.24+85408.41+372193.19+370.8+103763+293452.7+87623.72+368354.62+545951.71+242026.78+6525.8+73092.09+312056.18+12392.9+93032.97+294232.7+87650.27</f>
        <v>4034189.05</v>
      </c>
      <c r="N97" s="365"/>
      <c r="O97" s="1441"/>
    </row>
    <row r="98" spans="1:15" s="366" customFormat="1" ht="15.6" x14ac:dyDescent="0.3">
      <c r="A98" s="1429"/>
      <c r="B98" s="1430"/>
      <c r="C98" s="887"/>
      <c r="D98" s="362"/>
      <c r="E98" s="362"/>
      <c r="F98" s="362"/>
      <c r="G98" s="362"/>
      <c r="H98" s="362"/>
      <c r="I98" s="888"/>
      <c r="J98" s="363" t="s">
        <v>586</v>
      </c>
      <c r="K98" s="457">
        <f>237874-2000-1000</f>
        <v>234874</v>
      </c>
      <c r="L98" s="476"/>
      <c r="M98" s="424">
        <f>2490+14256+5500+20000+10000+32261.6+4000+73944.71</f>
        <v>162452.31</v>
      </c>
      <c r="N98" s="365"/>
      <c r="O98" s="1441"/>
    </row>
    <row r="99" spans="1:15" s="366" customFormat="1" ht="15.6" x14ac:dyDescent="0.3">
      <c r="A99" s="1345"/>
      <c r="B99" s="1299"/>
      <c r="C99" s="384"/>
      <c r="D99" s="362"/>
      <c r="E99" s="362"/>
      <c r="F99" s="362"/>
      <c r="G99" s="362"/>
      <c r="H99" s="362"/>
      <c r="I99" s="852"/>
      <c r="J99" s="363" t="s">
        <v>528</v>
      </c>
      <c r="K99" s="457">
        <f>381+2000+1000</f>
        <v>3381</v>
      </c>
      <c r="L99" s="476"/>
      <c r="M99" s="445">
        <f>2000+1000</f>
        <v>3000</v>
      </c>
      <c r="N99" s="365"/>
      <c r="O99" s="1290"/>
    </row>
    <row r="100" spans="1:15" s="366" customFormat="1" ht="18" x14ac:dyDescent="0.35">
      <c r="A100" s="891"/>
      <c r="B100" s="994"/>
      <c r="C100" s="850"/>
      <c r="D100" s="851"/>
      <c r="E100" s="851"/>
      <c r="F100" s="851"/>
      <c r="G100" s="851"/>
      <c r="H100" s="851"/>
      <c r="I100" s="852"/>
      <c r="J100" s="564"/>
      <c r="K100" s="372"/>
      <c r="L100" s="932"/>
      <c r="M100" s="745"/>
      <c r="N100" s="365"/>
      <c r="O100" s="856"/>
    </row>
    <row r="101" spans="1:15" s="366" customFormat="1" ht="31.2" x14ac:dyDescent="0.3">
      <c r="A101" s="1442"/>
      <c r="B101" s="1408" t="s">
        <v>909</v>
      </c>
      <c r="C101" s="855" t="s">
        <v>1411</v>
      </c>
      <c r="D101" s="362"/>
      <c r="E101" s="362"/>
      <c r="F101" s="362"/>
      <c r="G101" s="362"/>
      <c r="H101" s="362"/>
      <c r="I101" s="389" t="s">
        <v>1329</v>
      </c>
      <c r="J101" s="363" t="s">
        <v>586</v>
      </c>
      <c r="K101" s="848">
        <f>200000+257000</f>
        <v>457000</v>
      </c>
      <c r="L101" s="476"/>
      <c r="M101" s="1056">
        <v>300100.53999999998</v>
      </c>
      <c r="N101" s="365"/>
      <c r="O101" s="856" t="s">
        <v>151</v>
      </c>
    </row>
    <row r="102" spans="1:15" s="366" customFormat="1" ht="15.6" x14ac:dyDescent="0.3">
      <c r="A102" s="1442"/>
      <c r="B102" s="1408"/>
      <c r="C102" s="853" t="s">
        <v>1134</v>
      </c>
      <c r="D102" s="854"/>
      <c r="E102" s="854"/>
      <c r="F102" s="854"/>
      <c r="G102" s="854"/>
      <c r="H102" s="854"/>
      <c r="I102" s="997" t="s">
        <v>1329</v>
      </c>
      <c r="J102" s="662"/>
      <c r="K102" s="553">
        <f>K103+K104</f>
        <v>3591989.5300000003</v>
      </c>
      <c r="L102" s="933"/>
      <c r="M102" s="553">
        <f>M103+M104</f>
        <v>1705848.1700000002</v>
      </c>
      <c r="N102" s="365"/>
      <c r="O102" s="1288" t="s">
        <v>1097</v>
      </c>
    </row>
    <row r="103" spans="1:15" s="366" customFormat="1" ht="15.6" x14ac:dyDescent="0.3">
      <c r="A103" s="1442"/>
      <c r="B103" s="1408"/>
      <c r="C103" s="1303"/>
      <c r="D103" s="482"/>
      <c r="E103" s="482"/>
      <c r="F103" s="482"/>
      <c r="G103" s="482"/>
      <c r="H103" s="482"/>
      <c r="I103" s="1305"/>
      <c r="J103" s="363" t="s">
        <v>586</v>
      </c>
      <c r="K103" s="372">
        <f>810750.26+771343.92+219062+1472707.35+300000-30000</f>
        <v>3543863.5300000003</v>
      </c>
      <c r="L103" s="476"/>
      <c r="M103" s="445">
        <f>26103.04+260144.02+193989.2+163893.5+435030.02+144610.14+58497.8+68416.08+196431.79+157882.58</f>
        <v>1704998.1700000002</v>
      </c>
      <c r="N103" s="365"/>
      <c r="O103" s="1317"/>
    </row>
    <row r="104" spans="1:15" s="366" customFormat="1" ht="15.6" x14ac:dyDescent="0.3">
      <c r="A104" s="1442"/>
      <c r="B104" s="1408"/>
      <c r="C104" s="1304"/>
      <c r="D104" s="482"/>
      <c r="E104" s="482"/>
      <c r="F104" s="482"/>
      <c r="G104" s="482"/>
      <c r="H104" s="482"/>
      <c r="I104" s="1306"/>
      <c r="J104" s="363" t="s">
        <v>528</v>
      </c>
      <c r="K104" s="372">
        <f>18126+30000</f>
        <v>48126</v>
      </c>
      <c r="L104" s="476"/>
      <c r="M104" s="445">
        <v>850</v>
      </c>
      <c r="N104" s="365"/>
      <c r="O104" s="1290"/>
    </row>
    <row r="105" spans="1:15" s="474" customFormat="1" ht="15.6" x14ac:dyDescent="0.3">
      <c r="A105" s="1433"/>
      <c r="B105" s="1434" t="s">
        <v>1230</v>
      </c>
      <c r="C105" s="395" t="s">
        <v>1093</v>
      </c>
      <c r="D105" s="475"/>
      <c r="E105" s="475"/>
      <c r="F105" s="475"/>
      <c r="G105" s="475"/>
      <c r="H105" s="475"/>
      <c r="I105" s="397" t="s">
        <v>1226</v>
      </c>
      <c r="J105" s="371"/>
      <c r="K105" s="372">
        <f>K106+K107+K108</f>
        <v>28501970.560000002</v>
      </c>
      <c r="L105" s="476"/>
      <c r="M105" s="372">
        <f>M106+M107+M108</f>
        <v>22672970.5</v>
      </c>
      <c r="N105" s="476"/>
      <c r="O105" s="1280" t="s">
        <v>151</v>
      </c>
    </row>
    <row r="106" spans="1:15" s="474" customFormat="1" ht="15.6" x14ac:dyDescent="0.3">
      <c r="A106" s="1433"/>
      <c r="B106" s="1434"/>
      <c r="C106" s="892"/>
      <c r="D106" s="517"/>
      <c r="E106" s="517"/>
      <c r="F106" s="517"/>
      <c r="G106" s="517"/>
      <c r="H106" s="517"/>
      <c r="I106" s="893"/>
      <c r="J106" s="371" t="s">
        <v>162</v>
      </c>
      <c r="K106" s="372">
        <f>24557419.37-365566-80593.54</f>
        <v>24111259.830000002</v>
      </c>
      <c r="L106" s="476"/>
      <c r="M106" s="424">
        <f>1217872.51+88843.54+627345.62+1042801.37+36724.5+434017.63+1452587.28+18150+467538.72+1868313.96+17423.5+199936.57+1685104.01-72964.54+667346.52+2026170.98+2707229+1213020.31+5719.4+384756.79+608037.09+48655.2+1526188.87+1252207.2+27519.54+461355.57</f>
        <v>20011901.140000001</v>
      </c>
      <c r="N106" s="476"/>
      <c r="O106" s="1435"/>
    </row>
    <row r="107" spans="1:15" s="474" customFormat="1" ht="15.6" x14ac:dyDescent="0.3">
      <c r="A107" s="1433"/>
      <c r="B107" s="1434"/>
      <c r="C107" s="892"/>
      <c r="D107" s="518"/>
      <c r="E107" s="518"/>
      <c r="F107" s="518"/>
      <c r="G107" s="518"/>
      <c r="H107" s="518"/>
      <c r="I107" s="893"/>
      <c r="J107" s="371" t="s">
        <v>586</v>
      </c>
      <c r="K107" s="372">
        <f>3678500+365566+80593.54</f>
        <v>4124659.54</v>
      </c>
      <c r="L107" s="476"/>
      <c r="M107" s="424">
        <f>101785.52+235044.2+480428.05+313585.37+311743.82+225066.21+183478.32+428902.15+91332.07+250513.65</f>
        <v>2621879.36</v>
      </c>
      <c r="N107" s="476"/>
      <c r="O107" s="1435"/>
    </row>
    <row r="108" spans="1:15" s="474" customFormat="1" ht="15.6" x14ac:dyDescent="0.3">
      <c r="A108" s="1359"/>
      <c r="B108" s="1362"/>
      <c r="C108" s="392"/>
      <c r="D108" s="518"/>
      <c r="E108" s="518"/>
      <c r="F108" s="518"/>
      <c r="G108" s="518"/>
      <c r="H108" s="518"/>
      <c r="I108" s="393"/>
      <c r="J108" s="371" t="s">
        <v>528</v>
      </c>
      <c r="K108" s="372">
        <v>266051.19</v>
      </c>
      <c r="L108" s="476"/>
      <c r="M108" s="424">
        <f>3197+6613+19753+3014+6613</f>
        <v>39190</v>
      </c>
      <c r="N108" s="476"/>
      <c r="O108" s="1435"/>
    </row>
    <row r="109" spans="1:15" s="474" customFormat="1" ht="15.6" x14ac:dyDescent="0.3">
      <c r="A109" s="1436"/>
      <c r="B109" s="1437" t="s">
        <v>1383</v>
      </c>
      <c r="C109" s="995" t="s">
        <v>1134</v>
      </c>
      <c r="D109" s="518"/>
      <c r="E109" s="518"/>
      <c r="F109" s="518"/>
      <c r="G109" s="518"/>
      <c r="H109" s="518"/>
      <c r="I109" s="1439" t="s">
        <v>1384</v>
      </c>
      <c r="J109" s="371" t="s">
        <v>586</v>
      </c>
      <c r="K109" s="372"/>
      <c r="L109" s="476"/>
      <c r="M109" s="445"/>
      <c r="N109" s="476"/>
      <c r="O109" s="1435"/>
    </row>
    <row r="110" spans="1:15" s="474" customFormat="1" ht="15.6" x14ac:dyDescent="0.3">
      <c r="A110" s="1359"/>
      <c r="B110" s="1438"/>
      <c r="C110" s="995" t="s">
        <v>1130</v>
      </c>
      <c r="D110" s="518"/>
      <c r="E110" s="518"/>
      <c r="F110" s="518"/>
      <c r="G110" s="518"/>
      <c r="H110" s="518"/>
      <c r="I110" s="1440"/>
      <c r="J110" s="371" t="s">
        <v>528</v>
      </c>
      <c r="K110" s="372">
        <f>494846.92+10000+100000</f>
        <v>604846.91999999993</v>
      </c>
      <c r="L110" s="476"/>
      <c r="M110" s="445">
        <f>6000+304037.52+120048.92+1458.05</f>
        <v>431544.49</v>
      </c>
      <c r="N110" s="476"/>
      <c r="O110" s="1435"/>
    </row>
    <row r="111" spans="1:15" s="474" customFormat="1" ht="31.2" x14ac:dyDescent="0.3">
      <c r="A111" s="708"/>
      <c r="B111" s="709" t="s">
        <v>1353</v>
      </c>
      <c r="C111" s="395" t="s">
        <v>1130</v>
      </c>
      <c r="D111" s="475"/>
      <c r="E111" s="475"/>
      <c r="F111" s="475"/>
      <c r="G111" s="475"/>
      <c r="H111" s="475"/>
      <c r="I111" s="397" t="s">
        <v>1354</v>
      </c>
      <c r="J111" s="371" t="s">
        <v>528</v>
      </c>
      <c r="K111" s="372">
        <v>400000</v>
      </c>
      <c r="L111" s="476"/>
      <c r="M111" s="445">
        <v>320747.28000000003</v>
      </c>
      <c r="N111" s="476"/>
      <c r="O111" s="1435"/>
    </row>
    <row r="112" spans="1:15" s="366" customFormat="1" ht="46.8" x14ac:dyDescent="0.3">
      <c r="A112" s="388"/>
      <c r="B112" s="459" t="s">
        <v>610</v>
      </c>
      <c r="C112" s="387" t="s">
        <v>1130</v>
      </c>
      <c r="D112" s="365"/>
      <c r="E112" s="365"/>
      <c r="F112" s="365"/>
      <c r="G112" s="365"/>
      <c r="H112" s="365"/>
      <c r="I112" s="452" t="s">
        <v>1233</v>
      </c>
      <c r="J112" s="363" t="s">
        <v>613</v>
      </c>
      <c r="K112" s="457">
        <f>11822578.16+2851340.67</f>
        <v>14673918.83</v>
      </c>
      <c r="L112" s="476"/>
      <c r="M112" s="424">
        <f>582207.78+1087559.96+1228848.09+1469746.84+1031323.13+1145567.72+1672440.16+1232477.82+845373.83+1286072.8</f>
        <v>11581618.130000001</v>
      </c>
      <c r="N112" s="365"/>
      <c r="O112" s="1435"/>
    </row>
    <row r="113" spans="1:15" s="366" customFormat="1" ht="15.6" hidden="1" x14ac:dyDescent="0.3">
      <c r="A113" s="388"/>
      <c r="B113" s="459" t="s">
        <v>1174</v>
      </c>
      <c r="C113" s="387" t="s">
        <v>1130</v>
      </c>
      <c r="D113" s="365"/>
      <c r="E113" s="365"/>
      <c r="F113" s="365"/>
      <c r="G113" s="365"/>
      <c r="H113" s="365"/>
      <c r="I113" s="452" t="s">
        <v>1175</v>
      </c>
      <c r="J113" s="363" t="s">
        <v>528</v>
      </c>
      <c r="K113" s="457"/>
      <c r="L113" s="476"/>
      <c r="M113" s="445"/>
      <c r="N113" s="365"/>
      <c r="O113" s="1435"/>
    </row>
    <row r="114" spans="1:15" s="474" customFormat="1" ht="15.6" x14ac:dyDescent="0.3">
      <c r="A114" s="475"/>
      <c r="B114" s="423" t="s">
        <v>604</v>
      </c>
      <c r="C114" s="395" t="s">
        <v>1129</v>
      </c>
      <c r="D114" s="476"/>
      <c r="E114" s="476"/>
      <c r="F114" s="476"/>
      <c r="G114" s="476"/>
      <c r="H114" s="476"/>
      <c r="I114" s="477" t="s">
        <v>1229</v>
      </c>
      <c r="J114" s="371" t="s">
        <v>528</v>
      </c>
      <c r="K114" s="457">
        <v>334218</v>
      </c>
      <c r="L114" s="476"/>
      <c r="M114" s="445"/>
      <c r="N114" s="476"/>
      <c r="O114" s="1435"/>
    </row>
    <row r="115" spans="1:15" s="366" customFormat="1" ht="31.2" x14ac:dyDescent="0.3">
      <c r="A115" s="388"/>
      <c r="B115" s="459" t="s">
        <v>771</v>
      </c>
      <c r="C115" s="387" t="s">
        <v>1111</v>
      </c>
      <c r="D115" s="365"/>
      <c r="E115" s="365"/>
      <c r="F115" s="365"/>
      <c r="G115" s="365"/>
      <c r="H115" s="365"/>
      <c r="I115" s="452" t="s">
        <v>1290</v>
      </c>
      <c r="J115" s="363" t="s">
        <v>586</v>
      </c>
      <c r="K115" s="457">
        <v>50000</v>
      </c>
      <c r="L115" s="476"/>
      <c r="M115" s="445"/>
      <c r="N115" s="365"/>
      <c r="O115" s="1435"/>
    </row>
    <row r="116" spans="1:15" s="366" customFormat="1" ht="62.4" hidden="1" x14ac:dyDescent="0.3">
      <c r="A116" s="388"/>
      <c r="B116" s="483" t="s">
        <v>1187</v>
      </c>
      <c r="C116" s="387" t="s">
        <v>1161</v>
      </c>
      <c r="D116" s="365"/>
      <c r="E116" s="365"/>
      <c r="F116" s="365"/>
      <c r="G116" s="365"/>
      <c r="H116" s="365"/>
      <c r="I116" s="452" t="s">
        <v>1162</v>
      </c>
      <c r="J116" s="363" t="s">
        <v>528</v>
      </c>
      <c r="K116" s="372"/>
      <c r="L116" s="476"/>
      <c r="M116" s="445"/>
      <c r="N116" s="365"/>
      <c r="O116" s="1283"/>
    </row>
    <row r="117" spans="1:15" s="366" customFormat="1" ht="62.4" hidden="1" x14ac:dyDescent="0.3">
      <c r="A117" s="388"/>
      <c r="B117" s="423" t="s">
        <v>1188</v>
      </c>
      <c r="C117" s="387" t="s">
        <v>1185</v>
      </c>
      <c r="D117" s="365"/>
      <c r="E117" s="365"/>
      <c r="F117" s="365"/>
      <c r="G117" s="365"/>
      <c r="H117" s="365"/>
      <c r="I117" s="484" t="s">
        <v>1186</v>
      </c>
      <c r="J117" s="389" t="s">
        <v>528</v>
      </c>
      <c r="K117" s="559"/>
      <c r="L117" s="476"/>
      <c r="M117" s="661"/>
      <c r="N117" s="365"/>
      <c r="O117" s="990" t="s">
        <v>968</v>
      </c>
    </row>
    <row r="118" spans="1:15" s="366" customFormat="1" ht="72" x14ac:dyDescent="0.35">
      <c r="A118" s="425">
        <v>11</v>
      </c>
      <c r="B118" s="435" t="s">
        <v>563</v>
      </c>
      <c r="C118" s="428"/>
      <c r="D118" s="428"/>
      <c r="E118" s="428"/>
      <c r="F118" s="428"/>
      <c r="G118" s="428"/>
      <c r="H118" s="428"/>
      <c r="I118" s="429" t="s">
        <v>1346</v>
      </c>
      <c r="J118" s="430"/>
      <c r="K118" s="473">
        <f>K119+K120+K121+K122+K123+K124+K126+K127+K125</f>
        <v>4205249.99</v>
      </c>
      <c r="L118" s="568"/>
      <c r="M118" s="473">
        <f>M119+M120+M121+M122+M123+M124+M126+M127+M125</f>
        <v>1984084.0399999998</v>
      </c>
      <c r="N118" s="428"/>
      <c r="O118" s="432" t="s">
        <v>1147</v>
      </c>
    </row>
    <row r="119" spans="1:15" s="366" customFormat="1" ht="46.8" x14ac:dyDescent="0.35">
      <c r="A119" s="425"/>
      <c r="B119" s="459" t="s">
        <v>618</v>
      </c>
      <c r="C119" s="387" t="s">
        <v>1137</v>
      </c>
      <c r="D119" s="428"/>
      <c r="E119" s="428"/>
      <c r="F119" s="428"/>
      <c r="G119" s="428"/>
      <c r="H119" s="428"/>
      <c r="I119" s="452" t="s">
        <v>1235</v>
      </c>
      <c r="J119" s="363" t="s">
        <v>586</v>
      </c>
      <c r="K119" s="457">
        <f>515000-250000-100000</f>
        <v>165000</v>
      </c>
      <c r="L119" s="568"/>
      <c r="M119" s="941">
        <f>30000-25141+5000-500+19092+1800</f>
        <v>30251</v>
      </c>
      <c r="N119" s="428"/>
      <c r="O119" s="1288" t="s">
        <v>151</v>
      </c>
    </row>
    <row r="120" spans="1:15" s="366" customFormat="1" ht="18" x14ac:dyDescent="0.35">
      <c r="A120" s="425"/>
      <c r="B120" s="459" t="s">
        <v>621</v>
      </c>
      <c r="C120" s="387" t="s">
        <v>1137</v>
      </c>
      <c r="D120" s="428"/>
      <c r="E120" s="428"/>
      <c r="F120" s="428"/>
      <c r="G120" s="428"/>
      <c r="H120" s="428"/>
      <c r="I120" s="452" t="s">
        <v>1236</v>
      </c>
      <c r="J120" s="363" t="s">
        <v>586</v>
      </c>
      <c r="K120" s="457">
        <f>212500+250000</f>
        <v>462500</v>
      </c>
      <c r="L120" s="568"/>
      <c r="M120" s="569">
        <v>20531.04</v>
      </c>
      <c r="N120" s="428"/>
      <c r="O120" s="1454"/>
    </row>
    <row r="121" spans="1:15" s="366" customFormat="1" ht="31.2" x14ac:dyDescent="0.35">
      <c r="A121" s="425"/>
      <c r="B121" s="459" t="s">
        <v>731</v>
      </c>
      <c r="C121" s="387" t="s">
        <v>1107</v>
      </c>
      <c r="D121" s="428"/>
      <c r="E121" s="428"/>
      <c r="F121" s="428"/>
      <c r="G121" s="428"/>
      <c r="H121" s="428"/>
      <c r="I121" s="452" t="s">
        <v>1274</v>
      </c>
      <c r="J121" s="363" t="s">
        <v>586</v>
      </c>
      <c r="K121" s="457">
        <f>50000-50000</f>
        <v>0</v>
      </c>
      <c r="L121" s="568"/>
      <c r="M121" s="569"/>
      <c r="N121" s="428"/>
      <c r="O121" s="1454"/>
    </row>
    <row r="122" spans="1:15" s="515" customFormat="1" ht="31.2" x14ac:dyDescent="0.35">
      <c r="A122" s="567"/>
      <c r="B122" s="423" t="s">
        <v>736</v>
      </c>
      <c r="C122" s="395" t="s">
        <v>1107</v>
      </c>
      <c r="D122" s="568"/>
      <c r="E122" s="568"/>
      <c r="F122" s="568"/>
      <c r="G122" s="568"/>
      <c r="H122" s="568"/>
      <c r="I122" s="477" t="s">
        <v>1275</v>
      </c>
      <c r="J122" s="371" t="s">
        <v>586</v>
      </c>
      <c r="K122" s="457">
        <f>53000-53000</f>
        <v>0</v>
      </c>
      <c r="L122" s="568"/>
      <c r="M122" s="569"/>
      <c r="N122" s="570"/>
      <c r="O122" s="1290"/>
    </row>
    <row r="123" spans="1:15" s="366" customFormat="1" ht="31.2" x14ac:dyDescent="0.35">
      <c r="A123" s="425"/>
      <c r="B123" s="459" t="s">
        <v>834</v>
      </c>
      <c r="C123" s="387" t="s">
        <v>1105</v>
      </c>
      <c r="D123" s="428"/>
      <c r="E123" s="428"/>
      <c r="F123" s="428"/>
      <c r="G123" s="428"/>
      <c r="H123" s="428"/>
      <c r="I123" s="452" t="s">
        <v>1308</v>
      </c>
      <c r="J123" s="363" t="s">
        <v>613</v>
      </c>
      <c r="K123" s="457">
        <f>1650000-600000</f>
        <v>1050000</v>
      </c>
      <c r="L123" s="568"/>
      <c r="M123" s="941">
        <f>102182.2+139939</f>
        <v>242121.2</v>
      </c>
      <c r="N123" s="428"/>
      <c r="O123" s="1291" t="s">
        <v>968</v>
      </c>
    </row>
    <row r="124" spans="1:15" s="366" customFormat="1" ht="18" x14ac:dyDescent="0.35">
      <c r="A124" s="425"/>
      <c r="B124" s="1293" t="s">
        <v>831</v>
      </c>
      <c r="C124" s="387" t="s">
        <v>1105</v>
      </c>
      <c r="D124" s="428"/>
      <c r="E124" s="428"/>
      <c r="F124" s="428"/>
      <c r="G124" s="428"/>
      <c r="H124" s="428"/>
      <c r="I124" s="1295" t="s">
        <v>1307</v>
      </c>
      <c r="J124" s="363" t="s">
        <v>613</v>
      </c>
      <c r="K124" s="457">
        <f>300000-300000</f>
        <v>0</v>
      </c>
      <c r="L124" s="568"/>
      <c r="M124" s="569"/>
      <c r="N124" s="428"/>
      <c r="O124" s="1292"/>
    </row>
    <row r="125" spans="1:15" s="366" customFormat="1" ht="18" x14ac:dyDescent="0.35">
      <c r="A125" s="425"/>
      <c r="B125" s="1294"/>
      <c r="C125" s="387" t="s">
        <v>1142</v>
      </c>
      <c r="D125" s="428"/>
      <c r="E125" s="428"/>
      <c r="F125" s="428"/>
      <c r="G125" s="428"/>
      <c r="H125" s="428"/>
      <c r="I125" s="1296"/>
      <c r="J125" s="363" t="s">
        <v>613</v>
      </c>
      <c r="K125" s="372"/>
      <c r="L125" s="568"/>
      <c r="M125" s="569"/>
      <c r="N125" s="428"/>
      <c r="O125" s="993"/>
    </row>
    <row r="126" spans="1:15" s="366" customFormat="1" ht="31.2" x14ac:dyDescent="0.35">
      <c r="A126" s="425"/>
      <c r="B126" s="459" t="s">
        <v>912</v>
      </c>
      <c r="C126" s="387" t="s">
        <v>1138</v>
      </c>
      <c r="D126" s="428"/>
      <c r="E126" s="428"/>
      <c r="F126" s="428"/>
      <c r="G126" s="428"/>
      <c r="H126" s="428"/>
      <c r="I126" s="452" t="s">
        <v>1421</v>
      </c>
      <c r="J126" s="363" t="s">
        <v>613</v>
      </c>
      <c r="K126" s="372">
        <v>2497749.9900000002</v>
      </c>
      <c r="L126" s="568"/>
      <c r="M126" s="941">
        <f>156868.34+144625.25+188115.22+194249.18+207874.54+133937.95+184909.36+164178.67+150574.29+142095</f>
        <v>1667427.7999999998</v>
      </c>
      <c r="N126" s="428"/>
      <c r="O126" s="495" t="s">
        <v>1097</v>
      </c>
    </row>
    <row r="127" spans="1:15" s="366" customFormat="1" ht="46.8" x14ac:dyDescent="0.35">
      <c r="A127" s="425"/>
      <c r="B127" s="521" t="s">
        <v>1198</v>
      </c>
      <c r="C127" s="387" t="s">
        <v>1107</v>
      </c>
      <c r="D127" s="428"/>
      <c r="E127" s="428"/>
      <c r="F127" s="428"/>
      <c r="G127" s="428"/>
      <c r="H127" s="428"/>
      <c r="I127" s="484" t="s">
        <v>1276</v>
      </c>
      <c r="J127" s="389" t="s">
        <v>586</v>
      </c>
      <c r="K127" s="559">
        <v>30000</v>
      </c>
      <c r="L127" s="568"/>
      <c r="M127" s="942">
        <f>22843+910</f>
        <v>23753</v>
      </c>
      <c r="N127" s="428"/>
      <c r="O127" s="495"/>
    </row>
    <row r="128" spans="1:15" s="366" customFormat="1" ht="52.8" x14ac:dyDescent="0.35">
      <c r="A128" s="425">
        <v>12</v>
      </c>
      <c r="B128" s="435" t="s">
        <v>558</v>
      </c>
      <c r="C128" s="428"/>
      <c r="D128" s="428"/>
      <c r="E128" s="428"/>
      <c r="F128" s="428"/>
      <c r="G128" s="428"/>
      <c r="H128" s="428"/>
      <c r="I128" s="429" t="s">
        <v>1347</v>
      </c>
      <c r="J128" s="430"/>
      <c r="K128" s="473">
        <f>K129+K130+K131+K132+K133+K134+K135+K136+K137+K138+K139+K142+K143+K144+K145+K149+K153+K141+K140</f>
        <v>205967994.47000003</v>
      </c>
      <c r="L128" s="568"/>
      <c r="M128" s="473">
        <f>M129+M130+M131+M132+M133+M134+M135+M136+M137+M138+M139+M142+M143+M144+M145+M149+M153+M141+M140</f>
        <v>136636889.94999996</v>
      </c>
      <c r="N128" s="428"/>
      <c r="O128" s="432" t="s">
        <v>1147</v>
      </c>
    </row>
    <row r="129" spans="1:15" s="366" customFormat="1" ht="18" hidden="1" x14ac:dyDescent="0.35">
      <c r="A129" s="425"/>
      <c r="B129" s="423" t="s">
        <v>1153</v>
      </c>
      <c r="C129" s="387" t="s">
        <v>1139</v>
      </c>
      <c r="D129" s="428"/>
      <c r="E129" s="428"/>
      <c r="F129" s="428"/>
      <c r="G129" s="428"/>
      <c r="H129" s="428"/>
      <c r="I129" s="452" t="s">
        <v>818</v>
      </c>
      <c r="J129" s="363" t="s">
        <v>586</v>
      </c>
      <c r="K129" s="457">
        <v>0</v>
      </c>
      <c r="L129" s="568"/>
      <c r="M129" s="569"/>
      <c r="N129" s="428"/>
      <c r="O129" s="1288" t="s">
        <v>151</v>
      </c>
    </row>
    <row r="130" spans="1:15" s="366" customFormat="1" ht="18" x14ac:dyDescent="0.35">
      <c r="A130" s="425"/>
      <c r="B130" s="459" t="s">
        <v>725</v>
      </c>
      <c r="C130" s="387" t="s">
        <v>1140</v>
      </c>
      <c r="D130" s="428"/>
      <c r="E130" s="428"/>
      <c r="F130" s="428"/>
      <c r="G130" s="428"/>
      <c r="H130" s="428"/>
      <c r="I130" s="452" t="s">
        <v>1272</v>
      </c>
      <c r="J130" s="363" t="s">
        <v>586</v>
      </c>
      <c r="K130" s="457">
        <v>8000000</v>
      </c>
      <c r="L130" s="568"/>
      <c r="M130" s="569"/>
      <c r="N130" s="428"/>
      <c r="O130" s="1454"/>
    </row>
    <row r="131" spans="1:15" s="366" customFormat="1" ht="31.2" x14ac:dyDescent="0.35">
      <c r="A131" s="425"/>
      <c r="B131" s="459" t="s">
        <v>1278</v>
      </c>
      <c r="C131" s="387" t="s">
        <v>1107</v>
      </c>
      <c r="D131" s="428"/>
      <c r="E131" s="428"/>
      <c r="F131" s="428"/>
      <c r="G131" s="428"/>
      <c r="H131" s="428"/>
      <c r="I131" s="452" t="s">
        <v>1277</v>
      </c>
      <c r="J131" s="363" t="s">
        <v>586</v>
      </c>
      <c r="K131" s="457">
        <f>114734.4+167128.87+82871.13</f>
        <v>364734.4</v>
      </c>
      <c r="L131" s="568"/>
      <c r="M131" s="941">
        <f>1100+10234+53656.71+9000+36200+22007.39+11200+77620.52+30036.56</f>
        <v>251055.18</v>
      </c>
      <c r="N131" s="428"/>
      <c r="O131" s="1290"/>
    </row>
    <row r="132" spans="1:15" s="366" customFormat="1" ht="31.2" x14ac:dyDescent="0.35">
      <c r="A132" s="425"/>
      <c r="B132" s="459" t="s">
        <v>915</v>
      </c>
      <c r="C132" s="387" t="s">
        <v>1146</v>
      </c>
      <c r="D132" s="428"/>
      <c r="E132" s="428"/>
      <c r="F132" s="428"/>
      <c r="G132" s="428"/>
      <c r="H132" s="428"/>
      <c r="I132" s="452" t="s">
        <v>1331</v>
      </c>
      <c r="J132" s="363" t="s">
        <v>613</v>
      </c>
      <c r="K132" s="464">
        <f>7636834.56-2600000</f>
        <v>5036834.5599999996</v>
      </c>
      <c r="L132" s="568"/>
      <c r="M132" s="941">
        <f>363230.85+492151.88+489303.4+384974.99+579918.09+351555.26+109310.48+95389.44+243833.74+435192.45</f>
        <v>3544860.58</v>
      </c>
      <c r="N132" s="428"/>
      <c r="O132" s="992" t="s">
        <v>1097</v>
      </c>
    </row>
    <row r="133" spans="1:15" s="366" customFormat="1" ht="18" x14ac:dyDescent="0.35">
      <c r="A133" s="425"/>
      <c r="B133" s="459" t="s">
        <v>817</v>
      </c>
      <c r="C133" s="387" t="s">
        <v>1142</v>
      </c>
      <c r="D133" s="428"/>
      <c r="E133" s="428"/>
      <c r="F133" s="428"/>
      <c r="G133" s="428"/>
      <c r="H133" s="428"/>
      <c r="I133" s="452" t="s">
        <v>1304</v>
      </c>
      <c r="J133" s="363" t="s">
        <v>613</v>
      </c>
      <c r="K133" s="464">
        <f>3282185.35+8200000+626310</f>
        <v>12108495.35</v>
      </c>
      <c r="L133" s="568"/>
      <c r="M133" s="941">
        <f>585817.49+80129.95+50000+99000+28788+34320+428496.66+658353.26+38351.62+111484+141153.77+91081+99795.6</f>
        <v>2446771.35</v>
      </c>
      <c r="N133" s="428"/>
      <c r="O133" s="1288" t="s">
        <v>968</v>
      </c>
    </row>
    <row r="134" spans="1:15" s="366" customFormat="1" ht="31.2" x14ac:dyDescent="0.35">
      <c r="A134" s="425"/>
      <c r="B134" s="459" t="s">
        <v>814</v>
      </c>
      <c r="C134" s="387" t="s">
        <v>1142</v>
      </c>
      <c r="D134" s="428"/>
      <c r="E134" s="428"/>
      <c r="F134" s="428"/>
      <c r="G134" s="428"/>
      <c r="H134" s="428"/>
      <c r="I134" s="452" t="s">
        <v>1303</v>
      </c>
      <c r="J134" s="363" t="s">
        <v>613</v>
      </c>
      <c r="K134" s="457">
        <f>34085991.49+3149000+14433000+1500000-1500000+68250+28437.5</f>
        <v>51764678.990000002</v>
      </c>
      <c r="L134" s="568"/>
      <c r="M134" s="941">
        <f>2356160.12+452255.67+3660357.99+873532.27+21680+65980+4123273.33+883777.74+3586455.13+32990+710340.32+10840+3262742.11+26482.5+604256.74+10840+3477644.88+3290226.26+2350102.51+28482.5+577377.86+10840+2481480.7+26482.5+408573.45+10840+2437722.35+26482.5+699917.16+19279.5</f>
        <v>36527416.089999989</v>
      </c>
      <c r="N134" s="428"/>
      <c r="O134" s="1454"/>
    </row>
    <row r="135" spans="1:15" s="366" customFormat="1" ht="31.2" x14ac:dyDescent="0.35">
      <c r="A135" s="425"/>
      <c r="B135" s="459" t="s">
        <v>837</v>
      </c>
      <c r="C135" s="387" t="s">
        <v>1105</v>
      </c>
      <c r="D135" s="428"/>
      <c r="E135" s="428"/>
      <c r="F135" s="428"/>
      <c r="G135" s="428"/>
      <c r="H135" s="428"/>
      <c r="I135" s="452" t="s">
        <v>1309</v>
      </c>
      <c r="J135" s="363" t="s">
        <v>613</v>
      </c>
      <c r="K135" s="457">
        <f>95155748.66+5078000-14769460.99-500000+500000-1606687.5</f>
        <v>83857600.170000002</v>
      </c>
      <c r="L135" s="568"/>
      <c r="M135" s="941">
        <f>4290134.18+215001.81+6724002.5+346703.2+245656.77+23755+8882268.11+288534.14+6866405.26+180487+233607.5+11877.5+5549070.62+172487+196307.64+11877.5+4720390.26+4403226.67+3892303.24+168487+137633.55+11877.5+3392806.53+166487+244046.56+11877.5+5270188.11+166487+189872.89+11877.5</f>
        <v>57025737.039999999</v>
      </c>
      <c r="N135" s="428"/>
      <c r="O135" s="1454"/>
    </row>
    <row r="136" spans="1:15" s="366" customFormat="1" ht="31.2" x14ac:dyDescent="0.35">
      <c r="A136" s="425"/>
      <c r="B136" s="459" t="s">
        <v>840</v>
      </c>
      <c r="C136" s="387" t="s">
        <v>1105</v>
      </c>
      <c r="D136" s="428"/>
      <c r="E136" s="428"/>
      <c r="F136" s="428"/>
      <c r="G136" s="428"/>
      <c r="H136" s="428"/>
      <c r="I136" s="452" t="s">
        <v>1310</v>
      </c>
      <c r="J136" s="363" t="s">
        <v>613</v>
      </c>
      <c r="K136" s="457">
        <f>6355514.52+25000-1001029.83</f>
        <v>5379484.6899999995</v>
      </c>
      <c r="L136" s="568"/>
      <c r="M136" s="941">
        <f>588256.75+563774.2+525742.9+562037.94+1160756.67+98257.09+266848.78+67029.97+514141.86+580024.92</f>
        <v>4926871.08</v>
      </c>
      <c r="N136" s="428"/>
      <c r="O136" s="1454"/>
    </row>
    <row r="137" spans="1:15" s="366" customFormat="1" ht="18" x14ac:dyDescent="0.35">
      <c r="A137" s="425"/>
      <c r="B137" s="459" t="s">
        <v>725</v>
      </c>
      <c r="C137" s="387" t="s">
        <v>1105</v>
      </c>
      <c r="D137" s="428"/>
      <c r="E137" s="428"/>
      <c r="F137" s="428"/>
      <c r="G137" s="428"/>
      <c r="H137" s="428"/>
      <c r="I137" s="452" t="s">
        <v>1272</v>
      </c>
      <c r="J137" s="363" t="s">
        <v>613</v>
      </c>
      <c r="K137" s="464">
        <f>17174500+1467814.65-500000-1500000-5499600+1200000</f>
        <v>12342714.649999999</v>
      </c>
      <c r="L137" s="568"/>
      <c r="M137" s="941">
        <f>2307366.72+54716.15+53834+411162.21+250477+1245413.01+1771690.14+1798610.19+2057112.68-77022.02</f>
        <v>9873360.0800000001</v>
      </c>
      <c r="N137" s="428"/>
      <c r="O137" s="1454"/>
    </row>
    <row r="138" spans="1:15" s="366" customFormat="1" ht="15.6" x14ac:dyDescent="0.3">
      <c r="A138" s="388"/>
      <c r="B138" s="459" t="s">
        <v>844</v>
      </c>
      <c r="C138" s="387" t="s">
        <v>1105</v>
      </c>
      <c r="D138" s="365"/>
      <c r="E138" s="365"/>
      <c r="F138" s="365"/>
      <c r="G138" s="365"/>
      <c r="H138" s="365"/>
      <c r="I138" s="452" t="s">
        <v>1311</v>
      </c>
      <c r="J138" s="363" t="s">
        <v>613</v>
      </c>
      <c r="K138" s="457">
        <f>483000-15016</f>
        <v>467984</v>
      </c>
      <c r="L138" s="476"/>
      <c r="M138" s="941">
        <f>36608.7+1260.6+102660.8</f>
        <v>140530.1</v>
      </c>
      <c r="N138" s="365"/>
      <c r="O138" s="1454"/>
    </row>
    <row r="139" spans="1:15" s="366" customFormat="1" ht="46.8" x14ac:dyDescent="0.3">
      <c r="A139" s="388"/>
      <c r="B139" s="459" t="s">
        <v>847</v>
      </c>
      <c r="C139" s="387" t="s">
        <v>1105</v>
      </c>
      <c r="D139" s="365"/>
      <c r="E139" s="365"/>
      <c r="F139" s="365"/>
      <c r="G139" s="365"/>
      <c r="H139" s="365"/>
      <c r="I139" s="452" t="s">
        <v>1312</v>
      </c>
      <c r="J139" s="363" t="s">
        <v>613</v>
      </c>
      <c r="K139" s="464">
        <f>50000-670</f>
        <v>49330</v>
      </c>
      <c r="L139" s="476"/>
      <c r="M139" s="941">
        <v>49330</v>
      </c>
      <c r="N139" s="365"/>
      <c r="O139" s="1454"/>
    </row>
    <row r="140" spans="1:15" s="366" customFormat="1" ht="15.6" x14ac:dyDescent="0.3">
      <c r="A140" s="1443"/>
      <c r="B140" s="1297" t="s">
        <v>864</v>
      </c>
      <c r="C140" s="1303" t="s">
        <v>1143</v>
      </c>
      <c r="D140" s="365"/>
      <c r="E140" s="365"/>
      <c r="F140" s="365"/>
      <c r="G140" s="365"/>
      <c r="H140" s="365"/>
      <c r="I140" s="1355" t="s">
        <v>1317</v>
      </c>
      <c r="J140" s="363" t="s">
        <v>586</v>
      </c>
      <c r="K140" s="457">
        <f>100000+5000</f>
        <v>105000</v>
      </c>
      <c r="L140" s="476"/>
      <c r="M140" s="569">
        <f>24500+7000+73500</f>
        <v>105000</v>
      </c>
      <c r="N140" s="365"/>
      <c r="O140" s="1454"/>
    </row>
    <row r="141" spans="1:15" s="366" customFormat="1" ht="15.6" x14ac:dyDescent="0.3">
      <c r="A141" s="1444"/>
      <c r="B141" s="1445"/>
      <c r="C141" s="1446"/>
      <c r="D141" s="365"/>
      <c r="E141" s="365"/>
      <c r="F141" s="365"/>
      <c r="G141" s="365"/>
      <c r="H141" s="365"/>
      <c r="I141" s="1447"/>
      <c r="J141" s="363" t="s">
        <v>764</v>
      </c>
      <c r="K141" s="457"/>
      <c r="L141" s="476"/>
      <c r="M141" s="569"/>
      <c r="N141" s="365"/>
      <c r="O141" s="1317"/>
    </row>
    <row r="142" spans="1:15" s="366" customFormat="1" ht="15.6" x14ac:dyDescent="0.3">
      <c r="A142" s="1308"/>
      <c r="B142" s="1299"/>
      <c r="C142" s="1304"/>
      <c r="D142" s="365"/>
      <c r="E142" s="365"/>
      <c r="F142" s="365"/>
      <c r="G142" s="365"/>
      <c r="H142" s="365"/>
      <c r="I142" s="1356"/>
      <c r="J142" s="363" t="s">
        <v>613</v>
      </c>
      <c r="K142" s="457">
        <f>1900000+500000-5000</f>
        <v>2395000</v>
      </c>
      <c r="L142" s="476"/>
      <c r="M142" s="941">
        <f>405934.4+14760+30982.8+707149.6+842145.33+186638+106832+99970</f>
        <v>2394412.13</v>
      </c>
      <c r="N142" s="365"/>
      <c r="O142" s="1317"/>
    </row>
    <row r="143" spans="1:15" s="366" customFormat="1" ht="31.2" x14ac:dyDescent="0.3">
      <c r="A143" s="388"/>
      <c r="B143" s="459" t="s">
        <v>867</v>
      </c>
      <c r="C143" s="387" t="s">
        <v>1143</v>
      </c>
      <c r="D143" s="365"/>
      <c r="E143" s="365"/>
      <c r="F143" s="365"/>
      <c r="G143" s="365"/>
      <c r="H143" s="365"/>
      <c r="I143" s="452" t="s">
        <v>1318</v>
      </c>
      <c r="J143" s="363" t="s">
        <v>613</v>
      </c>
      <c r="K143" s="457">
        <f>100000-100000</f>
        <v>0</v>
      </c>
      <c r="L143" s="476"/>
      <c r="M143" s="569"/>
      <c r="N143" s="365"/>
      <c r="O143" s="1317"/>
    </row>
    <row r="144" spans="1:15" s="366" customFormat="1" ht="15.6" hidden="1" x14ac:dyDescent="0.3">
      <c r="A144" s="388"/>
      <c r="B144" s="459" t="s">
        <v>870</v>
      </c>
      <c r="C144" s="995" t="s">
        <v>1143</v>
      </c>
      <c r="D144" s="482"/>
      <c r="E144" s="482"/>
      <c r="F144" s="482"/>
      <c r="G144" s="482"/>
      <c r="H144" s="482"/>
      <c r="I144" s="480" t="s">
        <v>871</v>
      </c>
      <c r="J144" s="363" t="s">
        <v>613</v>
      </c>
      <c r="K144" s="457">
        <v>0</v>
      </c>
      <c r="L144" s="476"/>
      <c r="M144" s="569"/>
      <c r="N144" s="365"/>
      <c r="O144" s="1317"/>
    </row>
    <row r="145" spans="1:15" s="366" customFormat="1" ht="15.6" x14ac:dyDescent="0.3">
      <c r="A145" s="1443"/>
      <c r="B145" s="1297" t="s">
        <v>877</v>
      </c>
      <c r="C145" s="387" t="s">
        <v>1144</v>
      </c>
      <c r="D145" s="388"/>
      <c r="E145" s="388"/>
      <c r="F145" s="388"/>
      <c r="G145" s="388"/>
      <c r="H145" s="388"/>
      <c r="I145" s="389" t="s">
        <v>1320</v>
      </c>
      <c r="J145" s="363"/>
      <c r="K145" s="457">
        <f>K146+K147+K148</f>
        <v>5523184.1100000003</v>
      </c>
      <c r="L145" s="476"/>
      <c r="M145" s="457">
        <f>M146+M147+M148</f>
        <v>4402747.97</v>
      </c>
      <c r="N145" s="365"/>
      <c r="O145" s="1317"/>
    </row>
    <row r="146" spans="1:15" s="366" customFormat="1" ht="15.6" x14ac:dyDescent="0.3">
      <c r="A146" s="1444"/>
      <c r="B146" s="1445"/>
      <c r="C146" s="1448"/>
      <c r="D146" s="386"/>
      <c r="E146" s="386"/>
      <c r="F146" s="386"/>
      <c r="G146" s="386"/>
      <c r="H146" s="386"/>
      <c r="I146" s="1451"/>
      <c r="J146" s="363" t="s">
        <v>162</v>
      </c>
      <c r="K146" s="457">
        <v>5429984.1100000003</v>
      </c>
      <c r="L146" s="476"/>
      <c r="M146" s="941">
        <f>267903.28+3600+367432.83+1840+187591.01+312722.84+1715+86278.38+380556.18+112813.98+282694.46+9938.7+47519.41+707646.03+634171.59+228372.57+2300+67107.36+225315.45+400+85950.76+261516.03+5476+71393.87</f>
        <v>4352255.7299999995</v>
      </c>
      <c r="N146" s="365"/>
      <c r="O146" s="1317"/>
    </row>
    <row r="147" spans="1:15" s="366" customFormat="1" ht="15.6" x14ac:dyDescent="0.3">
      <c r="A147" s="1444"/>
      <c r="B147" s="1445"/>
      <c r="C147" s="1449"/>
      <c r="D147" s="362"/>
      <c r="E147" s="362"/>
      <c r="F147" s="362"/>
      <c r="G147" s="362"/>
      <c r="H147" s="362"/>
      <c r="I147" s="1452"/>
      <c r="J147" s="363" t="s">
        <v>586</v>
      </c>
      <c r="K147" s="464">
        <f>93200-33</f>
        <v>93167</v>
      </c>
      <c r="L147" s="476"/>
      <c r="M147" s="941">
        <f>6475.39+5003.42+5126.63+4386.41+5102.65+3520.62+7114.51+9668.7+4060.91</f>
        <v>50459.240000000005</v>
      </c>
      <c r="N147" s="365"/>
      <c r="O147" s="1454"/>
    </row>
    <row r="148" spans="1:15" s="366" customFormat="1" ht="15.6" x14ac:dyDescent="0.3">
      <c r="A148" s="1308"/>
      <c r="B148" s="1299"/>
      <c r="C148" s="1450"/>
      <c r="D148" s="851"/>
      <c r="E148" s="851"/>
      <c r="F148" s="851"/>
      <c r="G148" s="851"/>
      <c r="H148" s="851"/>
      <c r="I148" s="1453"/>
      <c r="J148" s="363" t="s">
        <v>528</v>
      </c>
      <c r="K148" s="464">
        <v>33</v>
      </c>
      <c r="L148" s="476"/>
      <c r="M148" s="941">
        <v>33</v>
      </c>
      <c r="N148" s="365"/>
      <c r="O148" s="1317"/>
    </row>
    <row r="149" spans="1:15" s="366" customFormat="1" ht="15.6" x14ac:dyDescent="0.3">
      <c r="A149" s="1443"/>
      <c r="B149" s="1297" t="s">
        <v>882</v>
      </c>
      <c r="C149" s="387" t="s">
        <v>1144</v>
      </c>
      <c r="D149" s="388"/>
      <c r="E149" s="388"/>
      <c r="F149" s="388"/>
      <c r="G149" s="388"/>
      <c r="H149" s="388"/>
      <c r="I149" s="389" t="s">
        <v>1321</v>
      </c>
      <c r="J149" s="363"/>
      <c r="K149" s="457">
        <f>K150+K151+K152</f>
        <v>16187799.880000001</v>
      </c>
      <c r="L149" s="476"/>
      <c r="M149" s="457">
        <f>M150+M151+M152</f>
        <v>13000442.18</v>
      </c>
      <c r="N149" s="365"/>
      <c r="O149" s="1317"/>
    </row>
    <row r="150" spans="1:15" s="366" customFormat="1" ht="15.6" x14ac:dyDescent="0.3">
      <c r="A150" s="1444"/>
      <c r="B150" s="1445"/>
      <c r="C150" s="1448"/>
      <c r="D150" s="386"/>
      <c r="E150" s="386"/>
      <c r="F150" s="386"/>
      <c r="G150" s="386"/>
      <c r="H150" s="386"/>
      <c r="I150" s="1451"/>
      <c r="J150" s="363" t="s">
        <v>162</v>
      </c>
      <c r="K150" s="457">
        <f>12358242.65+1001029.83</f>
        <v>13359272.48</v>
      </c>
      <c r="L150" s="476"/>
      <c r="M150" s="941">
        <f>641319.57+6605.75+854663.7+4600+442773.64+706630.5+212830.71+2982353.46+4600+889773.06-2202613.77-4600-662210.1+724964.69+17598.8+225547.34+2721952.83+1111184.22+704464.36+5200+204907.84-281467.91+675096.08+3200+216358.36+677991.38+8600-68403.1+281467.91</f>
        <v>11105389.32</v>
      </c>
      <c r="N150" s="365"/>
      <c r="O150" s="1454"/>
    </row>
    <row r="151" spans="1:15" s="366" customFormat="1" ht="15.6" x14ac:dyDescent="0.3">
      <c r="A151" s="1444"/>
      <c r="B151" s="1445"/>
      <c r="C151" s="1449"/>
      <c r="D151" s="362"/>
      <c r="E151" s="362"/>
      <c r="F151" s="362"/>
      <c r="G151" s="362"/>
      <c r="H151" s="362"/>
      <c r="I151" s="1452"/>
      <c r="J151" s="363" t="s">
        <v>586</v>
      </c>
      <c r="K151" s="464">
        <f>4275140.4-10000+45000-1500000</f>
        <v>2810140.4000000004</v>
      </c>
      <c r="L151" s="476"/>
      <c r="M151" s="941">
        <f>37923.85+226540.51+208735.04+279803.86+241274.93+318025.26+61612.79+198576.02+154696.56+153937.04</f>
        <v>1881125.86</v>
      </c>
      <c r="N151" s="365"/>
      <c r="O151" s="1454"/>
    </row>
    <row r="152" spans="1:15" s="366" customFormat="1" ht="15.6" x14ac:dyDescent="0.3">
      <c r="A152" s="1308"/>
      <c r="B152" s="1299"/>
      <c r="C152" s="1339"/>
      <c r="D152" s="362"/>
      <c r="E152" s="362"/>
      <c r="F152" s="362"/>
      <c r="G152" s="362"/>
      <c r="H152" s="362"/>
      <c r="I152" s="1342"/>
      <c r="J152" s="363" t="s">
        <v>528</v>
      </c>
      <c r="K152" s="457">
        <f>8387+10000</f>
        <v>18387</v>
      </c>
      <c r="L152" s="476"/>
      <c r="M152" s="941">
        <f>2652+45+38+1852+4800+2688+1852</f>
        <v>13927</v>
      </c>
      <c r="N152" s="365"/>
      <c r="O152" s="1317"/>
    </row>
    <row r="153" spans="1:15" s="366" customFormat="1" ht="31.2" x14ac:dyDescent="0.3">
      <c r="A153" s="388"/>
      <c r="B153" s="459" t="s">
        <v>887</v>
      </c>
      <c r="C153" s="996" t="s">
        <v>1144</v>
      </c>
      <c r="D153" s="489"/>
      <c r="E153" s="489"/>
      <c r="F153" s="489"/>
      <c r="G153" s="489"/>
      <c r="H153" s="489"/>
      <c r="I153" s="490" t="s">
        <v>1322</v>
      </c>
      <c r="J153" s="363" t="s">
        <v>613</v>
      </c>
      <c r="K153" s="457">
        <f>2678797.79-293644.12</f>
        <v>2385153.67</v>
      </c>
      <c r="L153" s="476"/>
      <c r="M153" s="941">
        <f>170122.74+204050.19+272354.51+235420.64+293941.25+143350.46+203116.69+145172.06+119910.99+160916.64</f>
        <v>1948356.17</v>
      </c>
      <c r="N153" s="365"/>
      <c r="O153" s="1290"/>
    </row>
    <row r="154" spans="1:15" s="366" customFormat="1" ht="52.8" x14ac:dyDescent="0.35">
      <c r="A154" s="1013">
        <v>13</v>
      </c>
      <c r="B154" s="447" t="s">
        <v>564</v>
      </c>
      <c r="C154" s="448"/>
      <c r="D154" s="448"/>
      <c r="E154" s="448"/>
      <c r="F154" s="448"/>
      <c r="G154" s="448"/>
      <c r="H154" s="448"/>
      <c r="I154" s="429" t="s">
        <v>1348</v>
      </c>
      <c r="J154" s="430"/>
      <c r="K154" s="449">
        <f>K155+K157+K159+K160+K161+K162+K163+K164+K165+K166+K170+K171+K172+K156+K158+K167+K168+K169</f>
        <v>14091800.57</v>
      </c>
      <c r="L154" s="470"/>
      <c r="M154" s="449">
        <f>M155+M157+M159+M160+M161+M162+M163+M164+M165+M166+M170+M171+M172+M156+M158+M167+M168+M169</f>
        <v>11445938.01</v>
      </c>
      <c r="N154" s="448"/>
      <c r="O154" s="432" t="s">
        <v>1083</v>
      </c>
    </row>
    <row r="155" spans="1:15" s="366" customFormat="1" ht="15.6" x14ac:dyDescent="0.3">
      <c r="A155" s="388"/>
      <c r="B155" s="459" t="s">
        <v>654</v>
      </c>
      <c r="C155" s="387" t="s">
        <v>1148</v>
      </c>
      <c r="D155" s="365"/>
      <c r="E155" s="365"/>
      <c r="F155" s="365"/>
      <c r="G155" s="365"/>
      <c r="H155" s="365"/>
      <c r="I155" s="452" t="s">
        <v>1251</v>
      </c>
      <c r="J155" s="363" t="s">
        <v>586</v>
      </c>
      <c r="K155" s="457">
        <f>300000+1938000</f>
        <v>2238000</v>
      </c>
      <c r="L155" s="476"/>
      <c r="M155" s="424">
        <v>2025000</v>
      </c>
      <c r="N155" s="365"/>
      <c r="O155" s="1280" t="s">
        <v>151</v>
      </c>
    </row>
    <row r="156" spans="1:15" s="366" customFormat="1" ht="15.6" x14ac:dyDescent="0.3">
      <c r="A156" s="388"/>
      <c r="B156" s="459" t="s">
        <v>1357</v>
      </c>
      <c r="C156" s="387" t="s">
        <v>1148</v>
      </c>
      <c r="D156" s="365"/>
      <c r="E156" s="365"/>
      <c r="F156" s="365"/>
      <c r="G156" s="365"/>
      <c r="H156" s="365"/>
      <c r="I156" s="452" t="s">
        <v>1356</v>
      </c>
      <c r="J156" s="363" t="s">
        <v>586</v>
      </c>
      <c r="K156" s="457">
        <f>5400000-800000-2766734.35</f>
        <v>1833265.65</v>
      </c>
      <c r="L156" s="476"/>
      <c r="M156" s="445">
        <v>1762666.67</v>
      </c>
      <c r="N156" s="365"/>
      <c r="O156" s="1281"/>
    </row>
    <row r="157" spans="1:15" s="366" customFormat="1" ht="31.2" x14ac:dyDescent="0.3">
      <c r="A157" s="388"/>
      <c r="B157" s="459" t="s">
        <v>657</v>
      </c>
      <c r="C157" s="387" t="s">
        <v>1148</v>
      </c>
      <c r="D157" s="365"/>
      <c r="E157" s="365"/>
      <c r="F157" s="365"/>
      <c r="G157" s="365"/>
      <c r="H157" s="365"/>
      <c r="I157" s="452" t="s">
        <v>1252</v>
      </c>
      <c r="J157" s="363" t="s">
        <v>586</v>
      </c>
      <c r="K157" s="457">
        <f>59000+351000</f>
        <v>410000</v>
      </c>
      <c r="L157" s="476"/>
      <c r="M157" s="424">
        <v>82948.5</v>
      </c>
      <c r="N157" s="365"/>
      <c r="O157" s="1281"/>
    </row>
    <row r="158" spans="1:15" s="366" customFormat="1" ht="31.2" x14ac:dyDescent="0.3">
      <c r="A158" s="388"/>
      <c r="B158" s="181" t="s">
        <v>660</v>
      </c>
      <c r="C158" s="387" t="s">
        <v>1148</v>
      </c>
      <c r="D158" s="365"/>
      <c r="E158" s="365"/>
      <c r="F158" s="365"/>
      <c r="G158" s="365"/>
      <c r="H158" s="365"/>
      <c r="I158" s="452" t="s">
        <v>1358</v>
      </c>
      <c r="J158" s="363" t="s">
        <v>586</v>
      </c>
      <c r="K158" s="457">
        <f>50000+51000</f>
        <v>101000</v>
      </c>
      <c r="L158" s="476"/>
      <c r="M158" s="445">
        <f>47090+17400</f>
        <v>64490</v>
      </c>
      <c r="N158" s="365"/>
      <c r="O158" s="1281"/>
    </row>
    <row r="159" spans="1:15" s="366" customFormat="1" ht="31.2" hidden="1" x14ac:dyDescent="0.3">
      <c r="A159" s="388"/>
      <c r="B159" s="459" t="s">
        <v>660</v>
      </c>
      <c r="C159" s="387" t="s">
        <v>1148</v>
      </c>
      <c r="D159" s="365"/>
      <c r="E159" s="365"/>
      <c r="F159" s="365"/>
      <c r="G159" s="365"/>
      <c r="H159" s="365"/>
      <c r="I159" s="452" t="s">
        <v>661</v>
      </c>
      <c r="J159" s="363" t="s">
        <v>586</v>
      </c>
      <c r="K159" s="457"/>
      <c r="L159" s="476"/>
      <c r="M159" s="445"/>
      <c r="N159" s="365"/>
      <c r="O159" s="1281"/>
    </row>
    <row r="160" spans="1:15" s="366" customFormat="1" ht="15.6" x14ac:dyDescent="0.3">
      <c r="A160" s="388"/>
      <c r="B160" s="459" t="s">
        <v>663</v>
      </c>
      <c r="C160" s="387" t="s">
        <v>1148</v>
      </c>
      <c r="D160" s="365"/>
      <c r="E160" s="365"/>
      <c r="F160" s="365"/>
      <c r="G160" s="365"/>
      <c r="H160" s="365"/>
      <c r="I160" s="452" t="s">
        <v>1253</v>
      </c>
      <c r="J160" s="363" t="s">
        <v>586</v>
      </c>
      <c r="K160" s="457">
        <f>360000+206000-5000</f>
        <v>561000</v>
      </c>
      <c r="L160" s="476"/>
      <c r="M160" s="445">
        <f>171000+390000</f>
        <v>561000</v>
      </c>
      <c r="N160" s="365"/>
      <c r="O160" s="1281"/>
    </row>
    <row r="161" spans="1:15" s="366" customFormat="1" ht="31.2" x14ac:dyDescent="0.3">
      <c r="A161" s="388"/>
      <c r="B161" s="459" t="s">
        <v>666</v>
      </c>
      <c r="C161" s="387" t="s">
        <v>1148</v>
      </c>
      <c r="D161" s="365"/>
      <c r="E161" s="365"/>
      <c r="F161" s="365"/>
      <c r="G161" s="365"/>
      <c r="H161" s="365"/>
      <c r="I161" s="452" t="s">
        <v>1254</v>
      </c>
      <c r="J161" s="363" t="s">
        <v>528</v>
      </c>
      <c r="K161" s="457">
        <f>500000-50000-10000-440000</f>
        <v>0</v>
      </c>
      <c r="L161" s="476"/>
      <c r="M161" s="445"/>
      <c r="N161" s="365"/>
      <c r="O161" s="1281"/>
    </row>
    <row r="162" spans="1:15" s="366" customFormat="1" ht="15.6" x14ac:dyDescent="0.3">
      <c r="A162" s="388"/>
      <c r="B162" s="459" t="s">
        <v>669</v>
      </c>
      <c r="C162" s="387" t="s">
        <v>1148</v>
      </c>
      <c r="D162" s="365"/>
      <c r="E162" s="365"/>
      <c r="F162" s="365"/>
      <c r="G162" s="365"/>
      <c r="H162" s="365"/>
      <c r="I162" s="452" t="s">
        <v>1255</v>
      </c>
      <c r="J162" s="363" t="s">
        <v>586</v>
      </c>
      <c r="K162" s="457">
        <v>150000</v>
      </c>
      <c r="L162" s="476"/>
      <c r="M162" s="445"/>
      <c r="N162" s="365"/>
      <c r="O162" s="1281"/>
    </row>
    <row r="163" spans="1:15" s="366" customFormat="1" ht="46.8" x14ac:dyDescent="0.3">
      <c r="A163" s="388"/>
      <c r="B163" s="459" t="s">
        <v>672</v>
      </c>
      <c r="C163" s="387" t="s">
        <v>1148</v>
      </c>
      <c r="D163" s="365"/>
      <c r="E163" s="365"/>
      <c r="F163" s="365"/>
      <c r="G163" s="365"/>
      <c r="H163" s="365"/>
      <c r="I163" s="452" t="s">
        <v>1256</v>
      </c>
      <c r="J163" s="363" t="s">
        <v>586</v>
      </c>
      <c r="K163" s="457">
        <v>106000</v>
      </c>
      <c r="L163" s="476"/>
      <c r="M163" s="424">
        <v>98950</v>
      </c>
      <c r="N163" s="365"/>
      <c r="O163" s="1281"/>
    </row>
    <row r="164" spans="1:15" s="366" customFormat="1" ht="31.2" x14ac:dyDescent="0.3">
      <c r="A164" s="388"/>
      <c r="B164" s="519" t="s">
        <v>675</v>
      </c>
      <c r="C164" s="995" t="s">
        <v>1148</v>
      </c>
      <c r="D164" s="482"/>
      <c r="E164" s="482"/>
      <c r="F164" s="482"/>
      <c r="G164" s="482"/>
      <c r="H164" s="482"/>
      <c r="I164" s="480" t="s">
        <v>1257</v>
      </c>
      <c r="J164" s="363" t="s">
        <v>586</v>
      </c>
      <c r="K164" s="372"/>
      <c r="L164" s="476"/>
      <c r="M164" s="445">
        <f>183800-183800</f>
        <v>0</v>
      </c>
      <c r="N164" s="365"/>
      <c r="O164" s="1281"/>
    </row>
    <row r="165" spans="1:15" s="532" customFormat="1" ht="31.2" x14ac:dyDescent="0.3">
      <c r="A165" s="572"/>
      <c r="B165" s="849" t="s">
        <v>675</v>
      </c>
      <c r="C165" s="387" t="s">
        <v>1163</v>
      </c>
      <c r="D165" s="574"/>
      <c r="E165" s="574"/>
      <c r="F165" s="574"/>
      <c r="G165" s="574"/>
      <c r="H165" s="574"/>
      <c r="I165" s="576" t="s">
        <v>1257</v>
      </c>
      <c r="J165" s="576" t="s">
        <v>586</v>
      </c>
      <c r="K165" s="372">
        <f>4966877.4-1076104.48-400000</f>
        <v>3490772.9200000004</v>
      </c>
      <c r="L165" s="476"/>
      <c r="M165" s="424">
        <f>182571.51+362696.52+121714+220783.81+691000+72005+98350</f>
        <v>1749120.84</v>
      </c>
      <c r="N165" s="368"/>
      <c r="O165" s="1281"/>
    </row>
    <row r="166" spans="1:15" s="366" customFormat="1" ht="46.8" hidden="1" x14ac:dyDescent="0.3">
      <c r="A166" s="1012"/>
      <c r="B166" s="455" t="s">
        <v>681</v>
      </c>
      <c r="C166" s="387" t="s">
        <v>1148</v>
      </c>
      <c r="D166" s="482"/>
      <c r="E166" s="482"/>
      <c r="F166" s="482"/>
      <c r="G166" s="482"/>
      <c r="H166" s="482"/>
      <c r="I166" s="363" t="s">
        <v>682</v>
      </c>
      <c r="J166" s="564" t="s">
        <v>586</v>
      </c>
      <c r="K166" s="372">
        <v>0</v>
      </c>
      <c r="L166" s="932"/>
      <c r="M166" s="934"/>
      <c r="N166" s="365"/>
      <c r="O166" s="1281"/>
    </row>
    <row r="167" spans="1:15" s="366" customFormat="1" ht="15.6" x14ac:dyDescent="0.3">
      <c r="A167" s="388"/>
      <c r="B167" s="1408" t="s">
        <v>681</v>
      </c>
      <c r="C167" s="1407" t="s">
        <v>1163</v>
      </c>
      <c r="D167" s="365"/>
      <c r="E167" s="365"/>
      <c r="F167" s="365"/>
      <c r="G167" s="365"/>
      <c r="H167" s="365"/>
      <c r="I167" s="1409" t="s">
        <v>1258</v>
      </c>
      <c r="J167" s="363"/>
      <c r="K167" s="848"/>
      <c r="L167" s="476"/>
      <c r="M167" s="445"/>
      <c r="N167" s="365"/>
      <c r="O167" s="1281"/>
    </row>
    <row r="168" spans="1:15" s="366" customFormat="1" ht="15.6" x14ac:dyDescent="0.3">
      <c r="A168" s="388"/>
      <c r="B168" s="1408"/>
      <c r="C168" s="1407"/>
      <c r="D168" s="658"/>
      <c r="E168" s="658"/>
      <c r="F168" s="658"/>
      <c r="G168" s="658"/>
      <c r="H168" s="658"/>
      <c r="I168" s="1409"/>
      <c r="J168" s="363" t="s">
        <v>586</v>
      </c>
      <c r="K168" s="848">
        <f>3176057.52-2000000-1176057.52</f>
        <v>0</v>
      </c>
      <c r="L168" s="476"/>
      <c r="M168" s="445">
        <v>0</v>
      </c>
      <c r="N168" s="365"/>
      <c r="O168" s="1283"/>
    </row>
    <row r="169" spans="1:15" s="366" customFormat="1" ht="15.6" x14ac:dyDescent="0.3">
      <c r="A169" s="388"/>
      <c r="B169" s="1408"/>
      <c r="C169" s="1011" t="s">
        <v>1386</v>
      </c>
      <c r="D169" s="658"/>
      <c r="E169" s="658"/>
      <c r="F169" s="658"/>
      <c r="G169" s="658"/>
      <c r="H169" s="658"/>
      <c r="I169" s="1409"/>
      <c r="J169" s="363" t="s">
        <v>813</v>
      </c>
      <c r="K169" s="843">
        <f>2000000+2252162+400000+300000+100000</f>
        <v>5052162</v>
      </c>
      <c r="L169" s="476"/>
      <c r="M169" s="424">
        <f>1000000+3652162+300000</f>
        <v>4952162</v>
      </c>
      <c r="N169" s="365"/>
      <c r="O169" s="989" t="s">
        <v>1407</v>
      </c>
    </row>
    <row r="170" spans="1:15" s="366" customFormat="1" ht="15.6" x14ac:dyDescent="0.3">
      <c r="A170" s="1003"/>
      <c r="B170" s="534" t="s">
        <v>852</v>
      </c>
      <c r="C170" s="996" t="s">
        <v>1105</v>
      </c>
      <c r="D170" s="489"/>
      <c r="E170" s="489"/>
      <c r="F170" s="489"/>
      <c r="G170" s="489"/>
      <c r="H170" s="489"/>
      <c r="I170" s="490" t="s">
        <v>1314</v>
      </c>
      <c r="J170" s="662" t="s">
        <v>613</v>
      </c>
      <c r="K170" s="553">
        <f>80000-253.42</f>
        <v>79746.58</v>
      </c>
      <c r="L170" s="933"/>
      <c r="M170" s="739">
        <v>79746.58</v>
      </c>
      <c r="N170" s="365"/>
      <c r="O170" s="1280" t="s">
        <v>968</v>
      </c>
    </row>
    <row r="171" spans="1:15" s="366" customFormat="1" ht="15.6" x14ac:dyDescent="0.3">
      <c r="A171" s="388"/>
      <c r="B171" s="459" t="s">
        <v>855</v>
      </c>
      <c r="C171" s="387" t="s">
        <v>1105</v>
      </c>
      <c r="D171" s="365"/>
      <c r="E171" s="365"/>
      <c r="F171" s="365"/>
      <c r="G171" s="365"/>
      <c r="H171" s="365"/>
      <c r="I171" s="452" t="s">
        <v>1315</v>
      </c>
      <c r="J171" s="363" t="s">
        <v>613</v>
      </c>
      <c r="K171" s="457">
        <f>50000-146.58</f>
        <v>49853.42</v>
      </c>
      <c r="L171" s="476"/>
      <c r="M171" s="445">
        <v>49853.42</v>
      </c>
      <c r="N171" s="365"/>
      <c r="O171" s="1281"/>
    </row>
    <row r="172" spans="1:15" s="366" customFormat="1" ht="15.6" x14ac:dyDescent="0.3">
      <c r="A172" s="388"/>
      <c r="B172" s="459" t="s">
        <v>858</v>
      </c>
      <c r="C172" s="387" t="s">
        <v>1105</v>
      </c>
      <c r="D172" s="365"/>
      <c r="E172" s="365"/>
      <c r="F172" s="365"/>
      <c r="G172" s="365"/>
      <c r="H172" s="365"/>
      <c r="I172" s="452" t="s">
        <v>1316</v>
      </c>
      <c r="J172" s="363" t="s">
        <v>613</v>
      </c>
      <c r="K172" s="457">
        <v>20000</v>
      </c>
      <c r="L172" s="476"/>
      <c r="M172" s="445">
        <v>20000</v>
      </c>
      <c r="N172" s="365"/>
      <c r="O172" s="1283"/>
    </row>
    <row r="173" spans="1:15" s="433" customFormat="1" ht="18" x14ac:dyDescent="0.35">
      <c r="A173" s="425">
        <v>14</v>
      </c>
      <c r="B173" s="426" t="s">
        <v>559</v>
      </c>
      <c r="C173" s="427"/>
      <c r="D173" s="428"/>
      <c r="E173" s="428"/>
      <c r="F173" s="428"/>
      <c r="G173" s="428"/>
      <c r="H173" s="428"/>
      <c r="I173" s="429" t="s">
        <v>1349</v>
      </c>
      <c r="J173" s="430"/>
      <c r="K173" s="746">
        <f>K176+K177+K179+K178+K174+K175</f>
        <v>2226518.98</v>
      </c>
      <c r="L173" s="568"/>
      <c r="M173" s="746">
        <f>M176+M177+M179+M178+M174+M175</f>
        <v>1868190.6099999999</v>
      </c>
      <c r="N173" s="428"/>
      <c r="O173" s="432"/>
    </row>
    <row r="174" spans="1:15" s="433" customFormat="1" ht="18" x14ac:dyDescent="0.35">
      <c r="A174" s="425"/>
      <c r="B174" s="521" t="s">
        <v>709</v>
      </c>
      <c r="C174" s="995" t="s">
        <v>1101</v>
      </c>
      <c r="D174" s="365"/>
      <c r="E174" s="365"/>
      <c r="F174" s="365"/>
      <c r="G174" s="365"/>
      <c r="H174" s="365"/>
      <c r="I174" s="452" t="s">
        <v>1268</v>
      </c>
      <c r="J174" s="363" t="s">
        <v>586</v>
      </c>
      <c r="K174" s="457">
        <f>100000-50000</f>
        <v>50000</v>
      </c>
      <c r="L174" s="568"/>
      <c r="M174" s="746"/>
      <c r="N174" s="428"/>
      <c r="O174" s="520"/>
    </row>
    <row r="175" spans="1:15" s="433" customFormat="1" ht="18" x14ac:dyDescent="0.35">
      <c r="A175" s="425"/>
      <c r="B175" s="466" t="s">
        <v>712</v>
      </c>
      <c r="C175" s="995" t="s">
        <v>1101</v>
      </c>
      <c r="D175" s="365"/>
      <c r="E175" s="365"/>
      <c r="F175" s="365"/>
      <c r="G175" s="365"/>
      <c r="H175" s="365"/>
      <c r="I175" s="452" t="s">
        <v>1361</v>
      </c>
      <c r="J175" s="363" t="s">
        <v>586</v>
      </c>
      <c r="K175" s="457">
        <f>3500000-1429771-243710.02</f>
        <v>1826518.98</v>
      </c>
      <c r="L175" s="568"/>
      <c r="M175" s="740">
        <v>1826518.98</v>
      </c>
      <c r="N175" s="428"/>
      <c r="O175" s="520"/>
    </row>
    <row r="176" spans="1:15" s="366" customFormat="1" ht="15.6" x14ac:dyDescent="0.3">
      <c r="A176" s="388"/>
      <c r="B176" s="534" t="s">
        <v>715</v>
      </c>
      <c r="C176" s="995" t="s">
        <v>1101</v>
      </c>
      <c r="D176" s="365"/>
      <c r="E176" s="365"/>
      <c r="F176" s="365"/>
      <c r="G176" s="365"/>
      <c r="H176" s="365"/>
      <c r="I176" s="452" t="s">
        <v>1269</v>
      </c>
      <c r="J176" s="363" t="s">
        <v>586</v>
      </c>
      <c r="K176" s="457">
        <v>200000</v>
      </c>
      <c r="L176" s="476"/>
      <c r="M176" s="476"/>
      <c r="N176" s="365"/>
      <c r="O176" s="1380" t="s">
        <v>151</v>
      </c>
    </row>
    <row r="177" spans="1:16" s="366" customFormat="1" ht="15.6" x14ac:dyDescent="0.3">
      <c r="A177" s="388"/>
      <c r="B177" s="459" t="s">
        <v>718</v>
      </c>
      <c r="C177" s="995" t="s">
        <v>1101</v>
      </c>
      <c r="D177" s="365"/>
      <c r="E177" s="365"/>
      <c r="F177" s="365"/>
      <c r="G177" s="365"/>
      <c r="H177" s="365"/>
      <c r="I177" s="452" t="s">
        <v>1270</v>
      </c>
      <c r="J177" s="363" t="s">
        <v>586</v>
      </c>
      <c r="K177" s="372">
        <f>40000-40000</f>
        <v>0</v>
      </c>
      <c r="L177" s="476"/>
      <c r="M177" s="476"/>
      <c r="N177" s="365"/>
      <c r="O177" s="1381"/>
    </row>
    <row r="178" spans="1:16" s="366" customFormat="1" ht="15.6" x14ac:dyDescent="0.3">
      <c r="A178" s="388"/>
      <c r="B178" s="521" t="s">
        <v>1205</v>
      </c>
      <c r="C178" s="995" t="s">
        <v>1101</v>
      </c>
      <c r="D178" s="365"/>
      <c r="E178" s="365"/>
      <c r="F178" s="365"/>
      <c r="G178" s="365"/>
      <c r="H178" s="365"/>
      <c r="I178" s="484" t="s">
        <v>1271</v>
      </c>
      <c r="J178" s="389" t="s">
        <v>586</v>
      </c>
      <c r="K178" s="559">
        <f>100000+50000</f>
        <v>150000</v>
      </c>
      <c r="L178" s="476"/>
      <c r="M178" s="1057">
        <v>41671.629999999997</v>
      </c>
      <c r="N178" s="365"/>
      <c r="O178" s="581"/>
    </row>
    <row r="179" spans="1:16" s="366" customFormat="1" ht="15.6" hidden="1" x14ac:dyDescent="0.3">
      <c r="A179" s="388"/>
      <c r="B179" s="521" t="s">
        <v>1205</v>
      </c>
      <c r="C179" s="995" t="s">
        <v>1159</v>
      </c>
      <c r="D179" s="365"/>
      <c r="E179" s="365"/>
      <c r="F179" s="365"/>
      <c r="G179" s="365"/>
      <c r="H179" s="365"/>
      <c r="I179" s="389" t="s">
        <v>1206</v>
      </c>
      <c r="J179" s="389" t="s">
        <v>813</v>
      </c>
      <c r="K179" s="582"/>
      <c r="L179" s="476"/>
      <c r="M179" s="661"/>
      <c r="N179" s="365"/>
      <c r="O179" s="989" t="s">
        <v>1136</v>
      </c>
    </row>
    <row r="180" spans="1:16" ht="21" x14ac:dyDescent="0.4">
      <c r="A180" s="401"/>
      <c r="B180" s="402" t="s">
        <v>1149</v>
      </c>
      <c r="C180" s="403"/>
      <c r="D180" s="401"/>
      <c r="E180" s="401"/>
      <c r="F180" s="401"/>
      <c r="G180" s="401"/>
      <c r="H180" s="401"/>
      <c r="I180" s="404"/>
      <c r="J180" s="405"/>
      <c r="K180" s="671">
        <f>K21+K34+K36+K47+K59+K67+K69+K73+K79+K85+K118+K128+K154+K173</f>
        <v>382010826.36000007</v>
      </c>
      <c r="L180" s="981"/>
      <c r="M180" s="406">
        <f>M21+M34+M36+M47+M59+M67+M69+M73+M79+M85+M118+M128+M154+M173</f>
        <v>244016597.71999997</v>
      </c>
      <c r="N180" s="400"/>
      <c r="O180" s="400"/>
    </row>
    <row r="181" spans="1:16" ht="15.6" x14ac:dyDescent="0.3">
      <c r="A181" s="146"/>
      <c r="B181" s="146"/>
      <c r="C181" s="146"/>
      <c r="D181" s="146"/>
      <c r="E181" s="146"/>
      <c r="F181" s="146"/>
      <c r="G181" s="146"/>
      <c r="H181" s="146"/>
      <c r="I181" s="358"/>
      <c r="J181" s="360"/>
      <c r="K181" s="747"/>
      <c r="L181" s="938"/>
      <c r="M181" s="938"/>
      <c r="N181" s="146"/>
      <c r="O181" s="146"/>
    </row>
    <row r="182" spans="1:16" s="375" customFormat="1" ht="31.2" x14ac:dyDescent="0.3">
      <c r="A182" s="1382">
        <v>1</v>
      </c>
      <c r="B182" s="1456" t="s">
        <v>1355</v>
      </c>
      <c r="C182" s="395" t="s">
        <v>1110</v>
      </c>
      <c r="D182" s="396"/>
      <c r="E182" s="396"/>
      <c r="F182" s="396"/>
      <c r="G182" s="396"/>
      <c r="H182" s="396"/>
      <c r="I182" s="397" t="s">
        <v>1287</v>
      </c>
      <c r="J182" s="371"/>
      <c r="K182" s="421">
        <f>K183+K184</f>
        <v>573397.05000000005</v>
      </c>
      <c r="L182" s="476"/>
      <c r="M182" s="421">
        <f>M183+M184</f>
        <v>480967.39</v>
      </c>
      <c r="N182" s="373"/>
      <c r="O182" s="374" t="s">
        <v>151</v>
      </c>
    </row>
    <row r="183" spans="1:16" s="375" customFormat="1" ht="15.6" x14ac:dyDescent="0.3">
      <c r="A183" s="1455"/>
      <c r="B183" s="1457"/>
      <c r="C183" s="894"/>
      <c r="D183" s="895"/>
      <c r="E183" s="895"/>
      <c r="F183" s="895"/>
      <c r="G183" s="895"/>
      <c r="H183" s="895"/>
      <c r="I183" s="896"/>
      <c r="J183" s="371" t="s">
        <v>162</v>
      </c>
      <c r="K183" s="372">
        <f>541284-2.95</f>
        <v>541281.05000000005</v>
      </c>
      <c r="L183" s="932"/>
      <c r="M183" s="944">
        <f>18151.56+5481.77+24149.77+5376.57+8916.96+27412.56+8278.59+51009.05+14196.73+27783+8390.46+37669.47+52023.78+15703.48+4742.45+26520.12+8009.08+81437.77+24594.22</f>
        <v>449847.39</v>
      </c>
      <c r="N183" s="588"/>
      <c r="O183" s="374"/>
    </row>
    <row r="184" spans="1:16" s="375" customFormat="1" ht="76.5" customHeight="1" x14ac:dyDescent="0.3">
      <c r="A184" s="1384"/>
      <c r="B184" s="1368"/>
      <c r="C184" s="392"/>
      <c r="D184" s="897"/>
      <c r="E184" s="897"/>
      <c r="F184" s="897"/>
      <c r="G184" s="897"/>
      <c r="H184" s="897"/>
      <c r="I184" s="393"/>
      <c r="J184" s="371" t="s">
        <v>586</v>
      </c>
      <c r="K184" s="372">
        <v>32116</v>
      </c>
      <c r="L184" s="932"/>
      <c r="M184" s="934">
        <f>9336+21784</f>
        <v>31120</v>
      </c>
      <c r="N184" s="588"/>
      <c r="O184" s="374"/>
    </row>
    <row r="185" spans="1:16" s="375" customFormat="1" ht="39.75" customHeight="1" x14ac:dyDescent="0.3">
      <c r="A185" s="1018"/>
      <c r="B185" s="1468" t="s">
        <v>1385</v>
      </c>
      <c r="C185" s="1471" t="s">
        <v>1386</v>
      </c>
      <c r="D185" s="377"/>
      <c r="E185" s="377"/>
      <c r="F185" s="377"/>
      <c r="G185" s="377"/>
      <c r="H185" s="377"/>
      <c r="I185" s="1439" t="s">
        <v>1387</v>
      </c>
      <c r="J185" s="371"/>
      <c r="K185" s="421">
        <f>K186+K187</f>
        <v>11885101</v>
      </c>
      <c r="L185" s="1023"/>
      <c r="M185" s="421">
        <f>M186+M187</f>
        <v>11787484</v>
      </c>
      <c r="N185" s="378"/>
      <c r="O185" s="380"/>
    </row>
    <row r="186" spans="1:16" s="375" customFormat="1" ht="26.25" customHeight="1" x14ac:dyDescent="0.3">
      <c r="A186" s="1018"/>
      <c r="B186" s="1469"/>
      <c r="C186" s="1472"/>
      <c r="D186" s="1021"/>
      <c r="E186" s="1021"/>
      <c r="F186" s="1021"/>
      <c r="G186" s="1021"/>
      <c r="H186" s="1021"/>
      <c r="I186" s="1473"/>
      <c r="J186" s="656" t="s">
        <v>586</v>
      </c>
      <c r="K186" s="650">
        <v>97617</v>
      </c>
      <c r="L186" s="1019"/>
      <c r="M186" s="1020"/>
      <c r="N186" s="378"/>
      <c r="O186" s="380"/>
    </row>
    <row r="187" spans="1:16" s="375" customFormat="1" ht="26.25" customHeight="1" x14ac:dyDescent="0.3">
      <c r="A187" s="1014">
        <v>2</v>
      </c>
      <c r="B187" s="1470"/>
      <c r="C187" s="1411"/>
      <c r="D187" s="1022"/>
      <c r="E187" s="1022"/>
      <c r="F187" s="1022"/>
      <c r="G187" s="1022"/>
      <c r="H187" s="1022"/>
      <c r="I187" s="1474"/>
      <c r="J187" s="371" t="s">
        <v>813</v>
      </c>
      <c r="K187" s="372">
        <v>11787484</v>
      </c>
      <c r="L187" s="932"/>
      <c r="M187" s="934">
        <v>11787484</v>
      </c>
      <c r="N187" s="588"/>
      <c r="O187" s="374"/>
    </row>
    <row r="188" spans="1:16" s="375" customFormat="1" ht="46.8" x14ac:dyDescent="0.3">
      <c r="A188" s="1006">
        <v>3</v>
      </c>
      <c r="B188" s="584" t="s">
        <v>1104</v>
      </c>
      <c r="C188" s="1008" t="s">
        <v>1103</v>
      </c>
      <c r="D188" s="586"/>
      <c r="E188" s="586"/>
      <c r="F188" s="586"/>
      <c r="G188" s="586"/>
      <c r="H188" s="586"/>
      <c r="I188" s="587" t="s">
        <v>1265</v>
      </c>
      <c r="J188" s="371" t="s">
        <v>528</v>
      </c>
      <c r="K188" s="421">
        <f>87107200-24.78-4760796.84+1770359.93</f>
        <v>84116738.310000002</v>
      </c>
      <c r="L188" s="932"/>
      <c r="M188" s="945">
        <f>14417772.06+7298261.36+7240617.85+8882707.35+13776880.6+10727877.55+9950237.76+1125813.34</f>
        <v>73420167.87000002</v>
      </c>
      <c r="N188" s="588"/>
      <c r="O188" s="374" t="s">
        <v>151</v>
      </c>
    </row>
    <row r="189" spans="1:16" s="366" customFormat="1" ht="54" customHeight="1" x14ac:dyDescent="0.3">
      <c r="A189" s="1006">
        <v>4</v>
      </c>
      <c r="B189" s="590" t="s">
        <v>645</v>
      </c>
      <c r="C189" s="395" t="s">
        <v>1086</v>
      </c>
      <c r="D189" s="591"/>
      <c r="E189" s="592"/>
      <c r="F189" s="592"/>
      <c r="G189" s="592"/>
      <c r="H189" s="593"/>
      <c r="I189" s="594" t="s">
        <v>1245</v>
      </c>
      <c r="J189" s="371" t="s">
        <v>586</v>
      </c>
      <c r="K189" s="421">
        <f>147000+58.82-130391.82-16667</f>
        <v>0</v>
      </c>
      <c r="L189" s="474"/>
      <c r="M189" s="445"/>
      <c r="N189" s="373"/>
      <c r="O189" s="595" t="s">
        <v>151</v>
      </c>
    </row>
    <row r="190" spans="1:16" s="366" customFormat="1" ht="24.75" customHeight="1" x14ac:dyDescent="0.3">
      <c r="A190" s="1458">
        <v>5</v>
      </c>
      <c r="B190" s="1004" t="s">
        <v>893</v>
      </c>
      <c r="C190" s="1410" t="s">
        <v>1090</v>
      </c>
      <c r="D190" s="844"/>
      <c r="E190" s="844"/>
      <c r="F190" s="844"/>
      <c r="G190" s="844"/>
      <c r="H190" s="844"/>
      <c r="I190" s="1412" t="s">
        <v>1323</v>
      </c>
      <c r="J190" s="371" t="s">
        <v>586</v>
      </c>
      <c r="K190" s="421">
        <v>10000</v>
      </c>
      <c r="L190" s="474"/>
      <c r="M190" s="424">
        <f>6209.28+3104.64</f>
        <v>9313.92</v>
      </c>
      <c r="N190" s="373"/>
      <c r="O190" s="595"/>
    </row>
    <row r="191" spans="1:16" s="375" customFormat="1" ht="22.5" customHeight="1" x14ac:dyDescent="0.3">
      <c r="A191" s="1423"/>
      <c r="B191" s="839"/>
      <c r="C191" s="1411"/>
      <c r="D191" s="844"/>
      <c r="E191" s="844"/>
      <c r="F191" s="844"/>
      <c r="G191" s="844"/>
      <c r="H191" s="844"/>
      <c r="I191" s="1413"/>
      <c r="J191" s="371" t="s">
        <v>764</v>
      </c>
      <c r="K191" s="453">
        <f>1241900-44-10000</f>
        <v>1231856</v>
      </c>
      <c r="L191" s="474"/>
      <c r="M191" s="939">
        <f>620928+310464</f>
        <v>931392</v>
      </c>
      <c r="N191" s="373"/>
      <c r="O191" s="595" t="s">
        <v>1084</v>
      </c>
      <c r="P191" s="599"/>
    </row>
    <row r="192" spans="1:16" s="375" customFormat="1" ht="46.8" x14ac:dyDescent="0.3">
      <c r="A192" s="596">
        <v>6</v>
      </c>
      <c r="B192" s="423" t="s">
        <v>896</v>
      </c>
      <c r="C192" s="395" t="s">
        <v>1091</v>
      </c>
      <c r="D192" s="597"/>
      <c r="E192" s="597"/>
      <c r="F192" s="597"/>
      <c r="G192" s="597"/>
      <c r="H192" s="597"/>
      <c r="I192" s="477" t="s">
        <v>1324</v>
      </c>
      <c r="J192" s="371" t="s">
        <v>764</v>
      </c>
      <c r="K192" s="453">
        <f>55100-2.48</f>
        <v>55097.52</v>
      </c>
      <c r="L192" s="474"/>
      <c r="M192" s="946">
        <f>34095+13638</f>
        <v>47733</v>
      </c>
      <c r="N192" s="373"/>
      <c r="O192" s="595" t="s">
        <v>1084</v>
      </c>
      <c r="P192" s="599"/>
    </row>
    <row r="193" spans="1:16" s="375" customFormat="1" ht="15.6" x14ac:dyDescent="0.3">
      <c r="A193" s="1375">
        <v>7</v>
      </c>
      <c r="B193" s="1385" t="s">
        <v>873</v>
      </c>
      <c r="C193" s="1008" t="s">
        <v>1090</v>
      </c>
      <c r="D193" s="597"/>
      <c r="E193" s="597"/>
      <c r="F193" s="597"/>
      <c r="G193" s="597"/>
      <c r="H193" s="597"/>
      <c r="I193" s="477" t="s">
        <v>1327</v>
      </c>
      <c r="J193" s="371"/>
      <c r="K193" s="453">
        <f>K194+K195</f>
        <v>1750191.15</v>
      </c>
      <c r="L193" s="474"/>
      <c r="M193" s="453">
        <f>M194+M195</f>
        <v>1176617.9599999997</v>
      </c>
      <c r="N193" s="588"/>
      <c r="O193" s="595" t="s">
        <v>1084</v>
      </c>
      <c r="P193" s="600"/>
    </row>
    <row r="194" spans="1:16" s="375" customFormat="1" ht="15.6" x14ac:dyDescent="0.3">
      <c r="A194" s="1376"/>
      <c r="B194" s="1459"/>
      <c r="C194" s="1388"/>
      <c r="D194" s="597"/>
      <c r="E194" s="597"/>
      <c r="F194" s="597"/>
      <c r="G194" s="597"/>
      <c r="H194" s="597"/>
      <c r="I194" s="1389"/>
      <c r="J194" s="371" t="s">
        <v>162</v>
      </c>
      <c r="K194" s="457">
        <f>1635414-8.85-350-150000</f>
        <v>1485055.15</v>
      </c>
      <c r="L194" s="474"/>
      <c r="M194" s="944">
        <f>71790.37+2972.2+22971.77+43749.18+352.62+26090+4450+14249.64+13428.56+119347.71+44706.09+88494.97-2638.65+26833.86+150861.83+68101.13+61644.67+5500+18616.69+38615.44+12435.7+113764.75-5500+4493+32728.44</f>
        <v>978059.96999999974</v>
      </c>
      <c r="N194" s="588"/>
      <c r="O194" s="595"/>
      <c r="P194" s="600"/>
    </row>
    <row r="195" spans="1:16" s="375" customFormat="1" ht="15.6" x14ac:dyDescent="0.3">
      <c r="A195" s="1365"/>
      <c r="B195" s="1387"/>
      <c r="C195" s="1379"/>
      <c r="D195" s="597"/>
      <c r="E195" s="597"/>
      <c r="F195" s="597"/>
      <c r="G195" s="597"/>
      <c r="H195" s="597"/>
      <c r="I195" s="1390"/>
      <c r="J195" s="371" t="s">
        <v>586</v>
      </c>
      <c r="K195" s="457">
        <f>114786+350+150000</f>
        <v>265136</v>
      </c>
      <c r="L195" s="474"/>
      <c r="M195" s="944">
        <f>26250+4000+28801.64+8344.79+350+30169.51+3801.78+7542.19+10114.61+34543.91+44639.56</f>
        <v>198557.99</v>
      </c>
      <c r="N195" s="588"/>
      <c r="O195" s="595"/>
      <c r="P195" s="600"/>
    </row>
    <row r="196" spans="1:16" s="375" customFormat="1" ht="24.75" customHeight="1" x14ac:dyDescent="0.3">
      <c r="A196" s="1375">
        <v>8</v>
      </c>
      <c r="B196" s="1385" t="s">
        <v>899</v>
      </c>
      <c r="C196" s="1410" t="s">
        <v>1090</v>
      </c>
      <c r="D196" s="845"/>
      <c r="E196" s="846"/>
      <c r="F196" s="846"/>
      <c r="G196" s="846"/>
      <c r="H196" s="899"/>
      <c r="I196" s="1414" t="s">
        <v>1325</v>
      </c>
      <c r="J196" s="371" t="s">
        <v>586</v>
      </c>
      <c r="K196" s="457">
        <v>100000</v>
      </c>
      <c r="L196" s="474"/>
      <c r="M196" s="934"/>
      <c r="N196" s="588"/>
      <c r="O196" s="595"/>
      <c r="P196" s="600"/>
    </row>
    <row r="197" spans="1:16" s="375" customFormat="1" ht="33.75" customHeight="1" x14ac:dyDescent="0.3">
      <c r="A197" s="1365"/>
      <c r="B197" s="1424"/>
      <c r="C197" s="1411"/>
      <c r="D197" s="845"/>
      <c r="E197" s="846"/>
      <c r="F197" s="846"/>
      <c r="G197" s="846"/>
      <c r="H197" s="899"/>
      <c r="I197" s="1413"/>
      <c r="J197" s="371" t="s">
        <v>764</v>
      </c>
      <c r="K197" s="453">
        <f>15024600+54.55-100000-3663248.83+1404986.76</f>
        <v>12666392.48</v>
      </c>
      <c r="L197" s="474"/>
      <c r="M197" s="945">
        <f>1902501+372964.26+186482.16+1933297+186482.1+927384+213822.55+1172850.86+1170050.79+981296+201957.87+1851653+403915.65</f>
        <v>11504657.239999998</v>
      </c>
      <c r="N197" s="588"/>
      <c r="O197" s="595" t="s">
        <v>1084</v>
      </c>
      <c r="P197" s="599"/>
    </row>
    <row r="198" spans="1:16" s="366" customFormat="1" ht="31.2" hidden="1" x14ac:dyDescent="0.3">
      <c r="A198" s="596">
        <v>8</v>
      </c>
      <c r="B198" s="605" t="s">
        <v>1032</v>
      </c>
      <c r="C198" s="395" t="s">
        <v>1111</v>
      </c>
      <c r="D198" s="592"/>
      <c r="E198" s="592"/>
      <c r="F198" s="592"/>
      <c r="G198" s="592"/>
      <c r="H198" s="592"/>
      <c r="I198" s="477" t="s">
        <v>1112</v>
      </c>
      <c r="J198" s="371" t="s">
        <v>586</v>
      </c>
      <c r="K198" s="453"/>
      <c r="L198" s="474"/>
      <c r="M198" s="939"/>
      <c r="O198" s="595" t="s">
        <v>151</v>
      </c>
    </row>
    <row r="199" spans="1:16" s="366" customFormat="1" ht="31.2" hidden="1" x14ac:dyDescent="0.3">
      <c r="A199" s="596">
        <v>8</v>
      </c>
      <c r="B199" s="423"/>
      <c r="C199" s="395"/>
      <c r="D199" s="592"/>
      <c r="E199" s="592"/>
      <c r="F199" s="592"/>
      <c r="G199" s="592"/>
      <c r="H199" s="592"/>
      <c r="I199" s="477"/>
      <c r="J199" s="371"/>
      <c r="K199" s="453"/>
      <c r="L199" s="474"/>
      <c r="M199" s="939"/>
      <c r="O199" s="595" t="s">
        <v>151</v>
      </c>
    </row>
    <row r="200" spans="1:16" s="366" customFormat="1" ht="31.2" x14ac:dyDescent="0.3">
      <c r="A200" s="1006">
        <v>9</v>
      </c>
      <c r="B200" s="606" t="s">
        <v>1365</v>
      </c>
      <c r="C200" s="1008" t="s">
        <v>1103</v>
      </c>
      <c r="D200" s="586"/>
      <c r="E200" s="586"/>
      <c r="F200" s="586"/>
      <c r="G200" s="586"/>
      <c r="H200" s="586"/>
      <c r="I200" s="587" t="s">
        <v>1366</v>
      </c>
      <c r="J200" s="371" t="s">
        <v>586</v>
      </c>
      <c r="K200" s="421">
        <f>2300000+1500000</f>
        <v>3800000</v>
      </c>
      <c r="L200" s="474"/>
      <c r="M200" s="946">
        <f>2300000+450000</f>
        <v>2750000</v>
      </c>
      <c r="O200" s="595"/>
    </row>
    <row r="201" spans="1:16" s="366" customFormat="1" ht="62.4" x14ac:dyDescent="0.3">
      <c r="A201" s="1006">
        <v>10</v>
      </c>
      <c r="B201" s="754" t="s">
        <v>1388</v>
      </c>
      <c r="C201" s="1008" t="s">
        <v>1111</v>
      </c>
      <c r="D201" s="586"/>
      <c r="E201" s="586"/>
      <c r="F201" s="586"/>
      <c r="G201" s="586"/>
      <c r="H201" s="586"/>
      <c r="I201" s="587" t="s">
        <v>1389</v>
      </c>
      <c r="J201" s="371" t="s">
        <v>764</v>
      </c>
      <c r="K201" s="421">
        <v>471100</v>
      </c>
      <c r="L201" s="474"/>
      <c r="M201" s="939">
        <v>471100</v>
      </c>
      <c r="O201" s="595"/>
    </row>
    <row r="202" spans="1:16" s="366" customFormat="1" ht="62.4" x14ac:dyDescent="0.3">
      <c r="A202" s="1006">
        <v>11</v>
      </c>
      <c r="B202" s="606" t="s">
        <v>514</v>
      </c>
      <c r="C202" s="1008" t="s">
        <v>1113</v>
      </c>
      <c r="D202" s="586"/>
      <c r="E202" s="586"/>
      <c r="F202" s="586"/>
      <c r="G202" s="586"/>
      <c r="H202" s="586"/>
      <c r="I202" s="587" t="s">
        <v>1292</v>
      </c>
      <c r="J202" s="371" t="s">
        <v>700</v>
      </c>
      <c r="K202" s="421">
        <v>2178000</v>
      </c>
      <c r="L202" s="474"/>
      <c r="M202" s="939">
        <f>1518000+660000</f>
        <v>2178000</v>
      </c>
      <c r="O202" s="595" t="s">
        <v>151</v>
      </c>
    </row>
    <row r="203" spans="1:16" s="366" customFormat="1" ht="31.2" x14ac:dyDescent="0.3">
      <c r="A203" s="1375">
        <v>12</v>
      </c>
      <c r="B203" s="1456" t="s">
        <v>1150</v>
      </c>
      <c r="C203" s="395" t="s">
        <v>1130</v>
      </c>
      <c r="D203" s="396"/>
      <c r="E203" s="396"/>
      <c r="F203" s="396"/>
      <c r="G203" s="396"/>
      <c r="H203" s="396"/>
      <c r="I203" s="397" t="s">
        <v>1234</v>
      </c>
      <c r="J203" s="371"/>
      <c r="K203" s="422">
        <f>K204+K205</f>
        <v>584381.05000000005</v>
      </c>
      <c r="L203" s="476"/>
      <c r="M203" s="422">
        <f>M204+M205</f>
        <v>445348.65000000008</v>
      </c>
      <c r="N203" s="365"/>
      <c r="O203" s="374" t="s">
        <v>151</v>
      </c>
    </row>
    <row r="204" spans="1:16" s="366" customFormat="1" ht="15.6" x14ac:dyDescent="0.3">
      <c r="A204" s="1376"/>
      <c r="B204" s="1457"/>
      <c r="C204" s="894"/>
      <c r="D204" s="399"/>
      <c r="E204" s="399"/>
      <c r="F204" s="399"/>
      <c r="G204" s="399"/>
      <c r="H204" s="399"/>
      <c r="I204" s="896"/>
      <c r="J204" s="371" t="s">
        <v>162</v>
      </c>
      <c r="K204" s="381">
        <f>538299.94-18.95</f>
        <v>538280.99</v>
      </c>
      <c r="L204" s="476"/>
      <c r="M204" s="424">
        <f>25979.4+7845.78+10481.82+35807.18+13979.28+20153.79+6086.43+33773.22+10199.53+25979.4+7845.78+33825.17+33825.17+57325.77+16104.39+11808.78+3566.27+48511.91+14650.58</f>
        <v>417749.65000000008</v>
      </c>
      <c r="N204" s="365"/>
      <c r="O204" s="374"/>
    </row>
    <row r="205" spans="1:16" s="366" customFormat="1" ht="15.6" x14ac:dyDescent="0.3">
      <c r="A205" s="1365"/>
      <c r="B205" s="1368"/>
      <c r="C205" s="392"/>
      <c r="D205" s="370"/>
      <c r="E205" s="370"/>
      <c r="F205" s="370"/>
      <c r="G205" s="370"/>
      <c r="H205" s="370"/>
      <c r="I205" s="398"/>
      <c r="J205" s="371" t="s">
        <v>586</v>
      </c>
      <c r="K205" s="381">
        <v>46100.06</v>
      </c>
      <c r="L205" s="476"/>
      <c r="M205" s="445">
        <f>8599+10000+1000+8000</f>
        <v>27599</v>
      </c>
      <c r="N205" s="365"/>
      <c r="O205" s="374"/>
    </row>
    <row r="206" spans="1:16" s="366" customFormat="1" ht="34.799999999999997" x14ac:dyDescent="0.3">
      <c r="A206" s="1375">
        <v>13</v>
      </c>
      <c r="B206" s="607" t="s">
        <v>1215</v>
      </c>
      <c r="C206" s="392"/>
      <c r="D206" s="370"/>
      <c r="E206" s="370"/>
      <c r="F206" s="370"/>
      <c r="G206" s="370"/>
      <c r="H206" s="370"/>
      <c r="I206" s="497"/>
      <c r="J206" s="371"/>
      <c r="K206" s="381"/>
      <c r="L206" s="476"/>
      <c r="M206" s="661"/>
      <c r="N206" s="365"/>
      <c r="O206" s="374"/>
    </row>
    <row r="207" spans="1:16" s="366" customFormat="1" ht="31.2" x14ac:dyDescent="0.3">
      <c r="A207" s="1376"/>
      <c r="B207" s="1377" t="s">
        <v>1216</v>
      </c>
      <c r="C207" s="395" t="s">
        <v>1141</v>
      </c>
      <c r="D207" s="592"/>
      <c r="E207" s="592"/>
      <c r="F207" s="592"/>
      <c r="G207" s="592"/>
      <c r="H207" s="592"/>
      <c r="I207" s="594" t="s">
        <v>1279</v>
      </c>
      <c r="J207" s="371"/>
      <c r="K207" s="422">
        <f>K208+K209</f>
        <v>573397.1</v>
      </c>
      <c r="L207" s="476"/>
      <c r="M207" s="422">
        <f>M208+M209</f>
        <v>480098.18999999989</v>
      </c>
      <c r="N207" s="365"/>
      <c r="O207" s="374" t="s">
        <v>151</v>
      </c>
    </row>
    <row r="208" spans="1:16" s="366" customFormat="1" ht="15.6" x14ac:dyDescent="0.3">
      <c r="A208" s="1376"/>
      <c r="B208" s="1377"/>
      <c r="C208" s="1388"/>
      <c r="D208" s="592"/>
      <c r="E208" s="592"/>
      <c r="F208" s="592"/>
      <c r="G208" s="592"/>
      <c r="H208" s="592"/>
      <c r="I208" s="1395"/>
      <c r="J208" s="371" t="s">
        <v>162</v>
      </c>
      <c r="K208" s="381">
        <f>539686.9-2.9</f>
        <v>539684</v>
      </c>
      <c r="L208" s="476"/>
      <c r="M208" s="424">
        <f>29652.04+8954.91+3932.34+57670.74+5700+18604.14+38547.65+11641.39+22413.32+78216.34+113.9+38264.52-113.9-113.9+40221.59+12146.92+29652.04+8954.91+35137.82+10611.63</f>
        <v>450208.39999999991</v>
      </c>
      <c r="N208" s="365"/>
      <c r="O208" s="374"/>
    </row>
    <row r="209" spans="1:15" s="366" customFormat="1" ht="15.6" x14ac:dyDescent="0.3">
      <c r="A209" s="1376"/>
      <c r="B209" s="1377"/>
      <c r="C209" s="1379"/>
      <c r="D209" s="592"/>
      <c r="E209" s="592"/>
      <c r="F209" s="592"/>
      <c r="G209" s="592"/>
      <c r="H209" s="592"/>
      <c r="I209" s="1393"/>
      <c r="J209" s="371" t="s">
        <v>586</v>
      </c>
      <c r="K209" s="381">
        <v>33713.1</v>
      </c>
      <c r="L209" s="476"/>
      <c r="M209" s="424">
        <f>1767.46+3423.81+1335.61+1731.41+1770+6770+1770+9551.5+1770</f>
        <v>29889.79</v>
      </c>
      <c r="N209" s="365"/>
      <c r="O209" s="374"/>
    </row>
    <row r="210" spans="1:15" s="366" customFormat="1" ht="62.4" x14ac:dyDescent="0.3">
      <c r="A210" s="1376"/>
      <c r="B210" s="608" t="s">
        <v>1217</v>
      </c>
      <c r="C210" s="395" t="s">
        <v>1142</v>
      </c>
      <c r="D210" s="592"/>
      <c r="E210" s="592"/>
      <c r="F210" s="592"/>
      <c r="G210" s="592"/>
      <c r="H210" s="592"/>
      <c r="I210" s="594" t="s">
        <v>1305</v>
      </c>
      <c r="J210" s="371" t="s">
        <v>613</v>
      </c>
      <c r="K210" s="422">
        <f>43977400-56.79-2398764.17</f>
        <v>41578579.039999999</v>
      </c>
      <c r="L210" s="476"/>
      <c r="M210" s="946">
        <f>2619427.54+595333.96+2415772.19+683972.58+2501762.64+714093.95+2735760.22+679286.64+2690562.84+672144.96+3701564.9+3550587.42+2766357.03+730749.04+2485074.28+812624.29+2478755.87+938191.88</f>
        <v>33772022.229999997</v>
      </c>
      <c r="N210" s="365"/>
      <c r="O210" s="1350" t="s">
        <v>968</v>
      </c>
    </row>
    <row r="211" spans="1:15" s="366" customFormat="1" ht="15.6" x14ac:dyDescent="0.3">
      <c r="A211" s="1376"/>
      <c r="B211" s="1377" t="s">
        <v>1218</v>
      </c>
      <c r="C211" s="395" t="s">
        <v>1105</v>
      </c>
      <c r="D211" s="592"/>
      <c r="E211" s="592"/>
      <c r="F211" s="592"/>
      <c r="G211" s="592"/>
      <c r="H211" s="592"/>
      <c r="I211" s="594" t="s">
        <v>1313</v>
      </c>
      <c r="J211" s="371"/>
      <c r="K211" s="422">
        <f>K212+K213</f>
        <v>155831249.56999999</v>
      </c>
      <c r="L211" s="476"/>
      <c r="M211" s="422">
        <f>M212+M213</f>
        <v>129131815.05999999</v>
      </c>
      <c r="N211" s="365"/>
      <c r="O211" s="1394"/>
    </row>
    <row r="212" spans="1:15" s="366" customFormat="1" ht="15.6" x14ac:dyDescent="0.3">
      <c r="A212" s="1376"/>
      <c r="B212" s="1377"/>
      <c r="C212" s="1388"/>
      <c r="D212" s="592"/>
      <c r="E212" s="592"/>
      <c r="F212" s="592"/>
      <c r="G212" s="592"/>
      <c r="H212" s="592"/>
      <c r="I212" s="1395"/>
      <c r="J212" s="371" t="s">
        <v>586</v>
      </c>
      <c r="K212" s="381"/>
      <c r="L212" s="476"/>
      <c r="M212" s="445"/>
      <c r="N212" s="365"/>
      <c r="O212" s="1394"/>
    </row>
    <row r="213" spans="1:15" s="366" customFormat="1" ht="15.6" x14ac:dyDescent="0.3">
      <c r="A213" s="1376"/>
      <c r="B213" s="1377"/>
      <c r="C213" s="1379"/>
      <c r="D213" s="592"/>
      <c r="E213" s="592"/>
      <c r="F213" s="592"/>
      <c r="G213" s="592"/>
      <c r="H213" s="592"/>
      <c r="I213" s="1393"/>
      <c r="J213" s="371" t="s">
        <v>613</v>
      </c>
      <c r="K213" s="381">
        <f>155831300-50.43</f>
        <v>155831249.56999999</v>
      </c>
      <c r="L213" s="476"/>
      <c r="M213" s="424">
        <f>9004508.92+591141.05+12556560.11+488552.18+11893748.58+540298.1+12499910.88+540211.56+690980.37+14512375.96+29462273.57+1904156.99+10441643.46+120603.79+531115.04+10735594.85+12092057.8+526081.85</f>
        <v>129131815.05999999</v>
      </c>
      <c r="N213" s="365"/>
      <c r="O213" s="1394"/>
    </row>
    <row r="214" spans="1:15" s="366" customFormat="1" ht="15.6" x14ac:dyDescent="0.3">
      <c r="A214" s="1376"/>
      <c r="B214" s="1377" t="s">
        <v>1368</v>
      </c>
      <c r="C214" s="1388" t="s">
        <v>1145</v>
      </c>
      <c r="D214" s="592"/>
      <c r="E214" s="592"/>
      <c r="F214" s="592"/>
      <c r="G214" s="592"/>
      <c r="H214" s="592"/>
      <c r="I214" s="1395" t="s">
        <v>1326</v>
      </c>
      <c r="J214" s="371"/>
      <c r="K214" s="422">
        <f>K216+K217+K215</f>
        <v>10826938.460000001</v>
      </c>
      <c r="L214" s="476"/>
      <c r="M214" s="422">
        <f>M216+M217+M215</f>
        <v>8537712.089999998</v>
      </c>
      <c r="N214" s="365"/>
      <c r="O214" s="1394"/>
    </row>
    <row r="215" spans="1:15" s="366" customFormat="1" ht="15.6" x14ac:dyDescent="0.3">
      <c r="A215" s="1376"/>
      <c r="B215" s="1377"/>
      <c r="C215" s="1405"/>
      <c r="D215" s="592"/>
      <c r="E215" s="592"/>
      <c r="F215" s="592"/>
      <c r="G215" s="592"/>
      <c r="H215" s="592"/>
      <c r="I215" s="1406"/>
      <c r="J215" s="371" t="s">
        <v>586</v>
      </c>
      <c r="K215" s="381">
        <v>50400</v>
      </c>
      <c r="L215" s="476"/>
      <c r="M215" s="740">
        <f>5615.36+5627.77</f>
        <v>11243.130000000001</v>
      </c>
      <c r="N215" s="365"/>
      <c r="O215" s="1394"/>
    </row>
    <row r="216" spans="1:15" s="366" customFormat="1" ht="15.6" x14ac:dyDescent="0.3">
      <c r="A216" s="1376"/>
      <c r="B216" s="1377"/>
      <c r="C216" s="1405"/>
      <c r="D216" s="592"/>
      <c r="E216" s="592"/>
      <c r="F216" s="592"/>
      <c r="G216" s="592"/>
      <c r="H216" s="592"/>
      <c r="I216" s="1406"/>
      <c r="J216" s="371" t="s">
        <v>764</v>
      </c>
      <c r="K216" s="381">
        <f>7075400+22.92-4825400-50400+1000000</f>
        <v>3199622.92</v>
      </c>
      <c r="L216" s="476"/>
      <c r="M216" s="424">
        <f>615180.58+275872.01+285664.98+562777.7+215247.82+221672.44+242467.16+282847.32</f>
        <v>2701730.01</v>
      </c>
      <c r="N216" s="365"/>
      <c r="O216" s="1394"/>
    </row>
    <row r="217" spans="1:15" s="366" customFormat="1" ht="15.6" x14ac:dyDescent="0.3">
      <c r="A217" s="1376"/>
      <c r="B217" s="1377"/>
      <c r="C217" s="1379"/>
      <c r="D217" s="592"/>
      <c r="E217" s="592"/>
      <c r="F217" s="592"/>
      <c r="G217" s="592"/>
      <c r="H217" s="592"/>
      <c r="I217" s="1393"/>
      <c r="J217" s="371" t="s">
        <v>613</v>
      </c>
      <c r="K217" s="381">
        <f>4825400+2751515.54</f>
        <v>7576915.54</v>
      </c>
      <c r="L217" s="476"/>
      <c r="M217" s="424">
        <f>1295117.99+274734.8+136154.6+189158.35+527701.61+166435.54+1007935.24+166769.69+695979.16+270763.3+315679.25+161141.26+420683.31+196484.85</f>
        <v>5824738.9499999983</v>
      </c>
      <c r="N217" s="365"/>
      <c r="O217" s="1394"/>
    </row>
    <row r="218" spans="1:15" s="366" customFormat="1" ht="46.8" hidden="1" x14ac:dyDescent="0.3">
      <c r="A218" s="1376"/>
      <c r="B218" s="608" t="s">
        <v>1220</v>
      </c>
      <c r="C218" s="1007" t="s">
        <v>1105</v>
      </c>
      <c r="D218" s="592"/>
      <c r="E218" s="592"/>
      <c r="F218" s="592"/>
      <c r="G218" s="592"/>
      <c r="H218" s="592"/>
      <c r="I218" s="610" t="s">
        <v>1189</v>
      </c>
      <c r="J218" s="371" t="s">
        <v>613</v>
      </c>
      <c r="K218" s="422"/>
      <c r="L218" s="476"/>
      <c r="M218" s="939"/>
      <c r="N218" s="365"/>
      <c r="O218" s="1394"/>
    </row>
    <row r="219" spans="1:15" s="366" customFormat="1" ht="46.8" x14ac:dyDescent="0.3">
      <c r="A219" s="1465"/>
      <c r="B219" s="748" t="s">
        <v>1420</v>
      </c>
      <c r="C219" s="1007" t="s">
        <v>1142</v>
      </c>
      <c r="D219" s="592"/>
      <c r="E219" s="592"/>
      <c r="F219" s="592"/>
      <c r="G219" s="592"/>
      <c r="H219" s="592"/>
      <c r="I219" s="610" t="s">
        <v>1419</v>
      </c>
      <c r="J219" s="371" t="s">
        <v>700</v>
      </c>
      <c r="K219" s="422">
        <v>2957120.27</v>
      </c>
      <c r="L219" s="476"/>
      <c r="M219" s="940">
        <v>2957120.27</v>
      </c>
      <c r="N219" s="365"/>
      <c r="O219" s="1466"/>
    </row>
    <row r="220" spans="1:15" s="366" customFormat="1" ht="15.6" x14ac:dyDescent="0.3">
      <c r="A220" s="1376"/>
      <c r="B220" s="1377" t="s">
        <v>1221</v>
      </c>
      <c r="C220" s="1007" t="s">
        <v>1143</v>
      </c>
      <c r="D220" s="592"/>
      <c r="E220" s="592"/>
      <c r="F220" s="592"/>
      <c r="G220" s="592"/>
      <c r="H220" s="592"/>
      <c r="I220" s="610" t="s">
        <v>1319</v>
      </c>
      <c r="J220" s="371"/>
      <c r="K220" s="422">
        <f>K222+K223+K221</f>
        <v>1566340</v>
      </c>
      <c r="L220" s="476"/>
      <c r="M220" s="422">
        <f>M222+M223+M221</f>
        <v>1566340</v>
      </c>
      <c r="N220" s="365"/>
      <c r="O220" s="1394"/>
    </row>
    <row r="221" spans="1:15" s="366" customFormat="1" ht="15.6" x14ac:dyDescent="0.3">
      <c r="A221" s="1376"/>
      <c r="B221" s="1377"/>
      <c r="C221" s="1007"/>
      <c r="D221" s="592"/>
      <c r="E221" s="592"/>
      <c r="F221" s="592"/>
      <c r="G221" s="592"/>
      <c r="H221" s="592"/>
      <c r="I221" s="610"/>
      <c r="J221" s="371" t="s">
        <v>586</v>
      </c>
      <c r="K221" s="381">
        <v>239030.39999999999</v>
      </c>
      <c r="L221" s="476"/>
      <c r="M221" s="740">
        <v>239030.39999999999</v>
      </c>
      <c r="N221" s="365"/>
      <c r="O221" s="1394"/>
    </row>
    <row r="222" spans="1:15" s="366" customFormat="1" ht="15.6" x14ac:dyDescent="0.3">
      <c r="A222" s="1376"/>
      <c r="B222" s="1377"/>
      <c r="C222" s="1007"/>
      <c r="D222" s="592"/>
      <c r="E222" s="592"/>
      <c r="F222" s="592"/>
      <c r="G222" s="592"/>
      <c r="H222" s="592"/>
      <c r="I222" s="610"/>
      <c r="J222" s="371" t="s">
        <v>764</v>
      </c>
      <c r="K222" s="381"/>
      <c r="L222" s="476"/>
      <c r="M222" s="445"/>
      <c r="N222" s="365"/>
      <c r="O222" s="1394"/>
    </row>
    <row r="223" spans="1:15" s="366" customFormat="1" ht="15.6" x14ac:dyDescent="0.3">
      <c r="A223" s="1376"/>
      <c r="B223" s="1377"/>
      <c r="C223" s="1007"/>
      <c r="D223" s="592"/>
      <c r="E223" s="592"/>
      <c r="F223" s="592"/>
      <c r="G223" s="592"/>
      <c r="H223" s="592"/>
      <c r="I223" s="610"/>
      <c r="J223" s="371" t="s">
        <v>613</v>
      </c>
      <c r="K223" s="381">
        <f>1361000+130+205210-239030.4</f>
        <v>1327309.6000000001</v>
      </c>
      <c r="L223" s="476"/>
      <c r="M223" s="445">
        <v>1327309.6000000001</v>
      </c>
      <c r="N223" s="365"/>
      <c r="O223" s="1394"/>
    </row>
    <row r="224" spans="1:15" s="366" customFormat="1" ht="46.8" x14ac:dyDescent="0.3">
      <c r="A224" s="1376"/>
      <c r="B224" s="748" t="s">
        <v>1396</v>
      </c>
      <c r="C224" s="550" t="s">
        <v>1398</v>
      </c>
      <c r="D224" s="592"/>
      <c r="E224" s="592"/>
      <c r="F224" s="592"/>
      <c r="G224" s="592"/>
      <c r="H224" s="592"/>
      <c r="I224" s="611" t="s">
        <v>1399</v>
      </c>
      <c r="J224" s="397" t="s">
        <v>613</v>
      </c>
      <c r="K224" s="612">
        <v>456000</v>
      </c>
      <c r="L224" s="476"/>
      <c r="M224" s="940"/>
      <c r="N224" s="365"/>
      <c r="O224" s="1394"/>
    </row>
    <row r="225" spans="1:64" s="713" customFormat="1" ht="46.8" x14ac:dyDescent="0.3">
      <c r="A225" s="1376"/>
      <c r="B225" s="608" t="s">
        <v>1223</v>
      </c>
      <c r="C225" s="550" t="s">
        <v>1142</v>
      </c>
      <c r="D225" s="592"/>
      <c r="E225" s="592"/>
      <c r="F225" s="592"/>
      <c r="G225" s="592"/>
      <c r="H225" s="592"/>
      <c r="I225" s="611" t="s">
        <v>1371</v>
      </c>
      <c r="J225" s="397" t="s">
        <v>700</v>
      </c>
      <c r="K225" s="612">
        <f>1929041.48+80226.97</f>
        <v>2009268.45</v>
      </c>
      <c r="L225" s="476"/>
      <c r="M225" s="940">
        <f>1929041.48+80226.97</f>
        <v>2009268.45</v>
      </c>
      <c r="N225" s="712"/>
      <c r="O225" s="1394"/>
      <c r="Q225" s="366"/>
      <c r="R225" s="366"/>
      <c r="S225" s="366"/>
      <c r="T225" s="366"/>
      <c r="U225" s="366"/>
      <c r="V225" s="366"/>
      <c r="W225" s="366"/>
      <c r="X225" s="366"/>
      <c r="Y225" s="366"/>
      <c r="Z225" s="366"/>
      <c r="AA225" s="366"/>
      <c r="AB225" s="366"/>
      <c r="AC225" s="366"/>
      <c r="AD225" s="366"/>
      <c r="AE225" s="366"/>
      <c r="AF225" s="366"/>
      <c r="AG225" s="366"/>
      <c r="AH225" s="366"/>
      <c r="AI225" s="366"/>
      <c r="AJ225" s="366"/>
      <c r="AK225" s="366"/>
      <c r="AL225" s="366"/>
      <c r="AM225" s="366"/>
      <c r="AN225" s="366"/>
      <c r="AO225" s="366"/>
      <c r="AP225" s="366"/>
      <c r="AQ225" s="366"/>
      <c r="AR225" s="366"/>
      <c r="AS225" s="366"/>
      <c r="AT225" s="366"/>
      <c r="AU225" s="366"/>
      <c r="AV225" s="366"/>
      <c r="AW225" s="366"/>
      <c r="AX225" s="366"/>
      <c r="AY225" s="366"/>
      <c r="AZ225" s="366"/>
      <c r="BA225" s="366"/>
      <c r="BB225" s="366"/>
      <c r="BC225" s="366"/>
      <c r="BD225" s="366"/>
      <c r="BE225" s="366"/>
      <c r="BF225" s="366"/>
      <c r="BG225" s="366"/>
      <c r="BH225" s="366"/>
      <c r="BI225" s="366"/>
      <c r="BJ225" s="366"/>
      <c r="BK225" s="366"/>
      <c r="BL225" s="366"/>
    </row>
    <row r="226" spans="1:64" s="366" customFormat="1" ht="46.8" hidden="1" x14ac:dyDescent="0.3">
      <c r="A226" s="1376"/>
      <c r="B226" s="608" t="s">
        <v>1224</v>
      </c>
      <c r="C226" s="550" t="s">
        <v>1105</v>
      </c>
      <c r="D226" s="592"/>
      <c r="E226" s="592"/>
      <c r="F226" s="592"/>
      <c r="G226" s="592"/>
      <c r="H226" s="592"/>
      <c r="I226" s="611" t="s">
        <v>1193</v>
      </c>
      <c r="J226" s="397" t="s">
        <v>613</v>
      </c>
      <c r="K226" s="612"/>
      <c r="L226" s="476"/>
      <c r="M226" s="940"/>
      <c r="N226" s="365"/>
      <c r="O226" s="1352"/>
    </row>
    <row r="227" spans="1:64" s="366" customFormat="1" ht="17.399999999999999" x14ac:dyDescent="0.3">
      <c r="A227" s="1365"/>
      <c r="B227" s="614" t="s">
        <v>483</v>
      </c>
      <c r="C227" s="615"/>
      <c r="D227" s="616"/>
      <c r="E227" s="616"/>
      <c r="F227" s="616"/>
      <c r="G227" s="616"/>
      <c r="H227" s="616"/>
      <c r="I227" s="617"/>
      <c r="J227" s="371"/>
      <c r="K227" s="422">
        <f>K207+K210+K211+K214+K218+K220+K224+K225+K226+K219</f>
        <v>215798892.88999999</v>
      </c>
      <c r="L227" s="625"/>
      <c r="M227" s="422">
        <f>M207+M210+M211+M214+M218+M220+M224+M225+M226+M219</f>
        <v>178454376.28999999</v>
      </c>
      <c r="N227" s="365"/>
      <c r="O227" s="619"/>
    </row>
    <row r="228" spans="1:64" s="366" customFormat="1" ht="36" x14ac:dyDescent="0.35">
      <c r="A228" s="1005">
        <v>13</v>
      </c>
      <c r="B228" s="620" t="s">
        <v>1164</v>
      </c>
      <c r="C228" s="395" t="s">
        <v>1109</v>
      </c>
      <c r="D228" s="592"/>
      <c r="E228" s="592"/>
      <c r="F228" s="592"/>
      <c r="G228" s="592"/>
      <c r="H228" s="592"/>
      <c r="I228" s="611"/>
      <c r="J228" s="397"/>
      <c r="K228" s="612">
        <f>K229+K230+K231</f>
        <v>0</v>
      </c>
      <c r="L228" s="625"/>
      <c r="M228" s="612"/>
      <c r="N228" s="365"/>
      <c r="O228" s="432" t="s">
        <v>151</v>
      </c>
    </row>
    <row r="229" spans="1:64" s="366" customFormat="1" ht="46.8" hidden="1" x14ac:dyDescent="0.3">
      <c r="A229" s="1005">
        <v>14</v>
      </c>
      <c r="B229" s="621" t="s">
        <v>1165</v>
      </c>
      <c r="C229" s="395" t="s">
        <v>1109</v>
      </c>
      <c r="D229" s="592"/>
      <c r="E229" s="592"/>
      <c r="F229" s="592"/>
      <c r="G229" s="592"/>
      <c r="H229" s="592"/>
      <c r="I229" s="611" t="s">
        <v>1166</v>
      </c>
      <c r="J229" s="397" t="s">
        <v>700</v>
      </c>
      <c r="K229" s="612"/>
      <c r="L229" s="625"/>
      <c r="M229" s="622"/>
      <c r="N229" s="365"/>
      <c r="O229" s="619"/>
    </row>
    <row r="230" spans="1:64" s="366" customFormat="1" ht="31.2" hidden="1" x14ac:dyDescent="0.3">
      <c r="A230" s="1005">
        <v>15</v>
      </c>
      <c r="B230" s="466" t="s">
        <v>1176</v>
      </c>
      <c r="C230" s="451" t="s">
        <v>1109</v>
      </c>
      <c r="I230" s="531" t="s">
        <v>1177</v>
      </c>
      <c r="J230" s="397" t="s">
        <v>700</v>
      </c>
      <c r="K230" s="612"/>
      <c r="L230" s="625"/>
      <c r="M230" s="622"/>
      <c r="N230" s="365"/>
      <c r="O230" s="619"/>
    </row>
    <row r="231" spans="1:64" s="366" customFormat="1" ht="15.6" hidden="1" x14ac:dyDescent="0.3">
      <c r="A231" s="1005">
        <v>16</v>
      </c>
      <c r="B231" s="521" t="s">
        <v>1207</v>
      </c>
      <c r="C231" s="451" t="s">
        <v>1111</v>
      </c>
      <c r="I231" s="531" t="s">
        <v>1208</v>
      </c>
      <c r="J231" s="397" t="s">
        <v>764</v>
      </c>
      <c r="K231" s="612"/>
      <c r="L231" s="625"/>
      <c r="M231" s="612"/>
      <c r="N231" s="365"/>
      <c r="O231" s="619"/>
    </row>
    <row r="232" spans="1:64" s="366" customFormat="1" ht="18" hidden="1" x14ac:dyDescent="0.35">
      <c r="A232" s="1005">
        <v>17</v>
      </c>
      <c r="B232" s="623" t="s">
        <v>322</v>
      </c>
      <c r="C232" s="451" t="s">
        <v>1159</v>
      </c>
      <c r="I232" s="531" t="s">
        <v>1178</v>
      </c>
      <c r="J232" s="397" t="s">
        <v>813</v>
      </c>
      <c r="K232" s="612"/>
      <c r="L232" s="625"/>
      <c r="M232" s="612"/>
      <c r="N232" s="365"/>
      <c r="O232" s="448" t="s">
        <v>1179</v>
      </c>
    </row>
    <row r="233" spans="1:64" s="366" customFormat="1" ht="46.8" hidden="1" x14ac:dyDescent="0.3">
      <c r="A233" s="1005">
        <v>18</v>
      </c>
      <c r="B233" s="466" t="s">
        <v>1199</v>
      </c>
      <c r="C233" s="451" t="s">
        <v>1103</v>
      </c>
      <c r="I233" s="531" t="s">
        <v>1200</v>
      </c>
      <c r="J233" s="397" t="s">
        <v>586</v>
      </c>
      <c r="K233" s="612"/>
      <c r="L233" s="625"/>
      <c r="M233" s="612"/>
      <c r="N233" s="365"/>
      <c r="O233" s="432" t="s">
        <v>151</v>
      </c>
    </row>
    <row r="234" spans="1:64" s="474" customFormat="1" ht="62.4" x14ac:dyDescent="0.3">
      <c r="A234" s="624">
        <v>14</v>
      </c>
      <c r="B234" s="423" t="s">
        <v>601</v>
      </c>
      <c r="C234" s="550" t="s">
        <v>1227</v>
      </c>
      <c r="I234" s="611" t="s">
        <v>1228</v>
      </c>
      <c r="J234" s="397" t="s">
        <v>586</v>
      </c>
      <c r="K234" s="612">
        <f>24200-13.73</f>
        <v>24186.27</v>
      </c>
      <c r="L234" s="625"/>
      <c r="M234" s="612">
        <v>10250</v>
      </c>
      <c r="N234" s="476"/>
      <c r="O234" s="432"/>
    </row>
    <row r="235" spans="1:64" s="474" customFormat="1" ht="31.2" x14ac:dyDescent="0.3">
      <c r="A235" s="624">
        <v>15</v>
      </c>
      <c r="B235" s="416" t="s">
        <v>1369</v>
      </c>
      <c r="C235" s="550" t="s">
        <v>1109</v>
      </c>
      <c r="I235" s="611" t="s">
        <v>1370</v>
      </c>
      <c r="J235" s="397" t="s">
        <v>700</v>
      </c>
      <c r="K235" s="612">
        <f>7065202.59+155395336</f>
        <v>162460538.59</v>
      </c>
      <c r="L235" s="625"/>
      <c r="M235" s="612">
        <f>2660770.7</f>
        <v>2660770.7000000002</v>
      </c>
      <c r="N235" s="476"/>
      <c r="O235" s="432"/>
    </row>
    <row r="236" spans="1:64" ht="21" x14ac:dyDescent="0.4">
      <c r="A236" s="410"/>
      <c r="B236" s="402" t="s">
        <v>1151</v>
      </c>
      <c r="C236" s="411"/>
      <c r="D236" s="411"/>
      <c r="E236" s="411"/>
      <c r="F236" s="411"/>
      <c r="G236" s="411"/>
      <c r="H236" s="411"/>
      <c r="I236" s="412"/>
      <c r="J236" s="413"/>
      <c r="K236" s="676">
        <f>K182+K188+K189+K191+K192+K193+K197+K198+K199+K202+K203+K227+K228+K230+K232+K233+K234+K200+K235+K201+K190+K196+K185</f>
        <v>497705872.30999994</v>
      </c>
      <c r="L236" s="408"/>
      <c r="M236" s="676">
        <f>M182+M188+M189+M191+M192+M193+M197+M198+M199+M202+M203+M227+M228+M230+M232+M233+M234+M200+M235+M201+M190+M196+M185</f>
        <v>286328179.01999998</v>
      </c>
      <c r="N236" s="354"/>
      <c r="O236" s="354"/>
    </row>
    <row r="237" spans="1:64" ht="46.8" x14ac:dyDescent="0.3">
      <c r="A237" s="444">
        <v>1</v>
      </c>
      <c r="B237" s="423" t="s">
        <v>513</v>
      </c>
      <c r="C237" s="1008" t="s">
        <v>1113</v>
      </c>
      <c r="D237" s="586"/>
      <c r="E237" s="586"/>
      <c r="F237" s="586"/>
      <c r="G237" s="586"/>
      <c r="H237" s="586"/>
      <c r="I237" s="587" t="s">
        <v>1291</v>
      </c>
      <c r="J237" s="834" t="s">
        <v>700</v>
      </c>
      <c r="K237" s="659">
        <f>4356000+1089000-101384</f>
        <v>5343616</v>
      </c>
      <c r="L237" s="474"/>
      <c r="M237" s="946">
        <f>195424+1705632+10432+850208</f>
        <v>2761696</v>
      </c>
      <c r="N237" s="366"/>
      <c r="O237" s="595" t="s">
        <v>151</v>
      </c>
    </row>
    <row r="238" spans="1:64" ht="15.6" x14ac:dyDescent="0.3">
      <c r="A238" s="1460">
        <v>2</v>
      </c>
      <c r="B238" s="1420" t="s">
        <v>1390</v>
      </c>
      <c r="C238" s="395" t="s">
        <v>1111</v>
      </c>
      <c r="D238" s="592"/>
      <c r="E238" s="592"/>
      <c r="F238" s="592"/>
      <c r="G238" s="592"/>
      <c r="H238" s="592"/>
      <c r="I238" s="397" t="s">
        <v>1391</v>
      </c>
      <c r="J238" s="397" t="s">
        <v>764</v>
      </c>
      <c r="K238" s="622">
        <f>400000-400000</f>
        <v>0</v>
      </c>
      <c r="L238" s="474"/>
      <c r="M238" s="939"/>
      <c r="N238" s="366"/>
      <c r="O238" s="595"/>
    </row>
    <row r="239" spans="1:64" ht="15.6" x14ac:dyDescent="0.3">
      <c r="A239" s="1419"/>
      <c r="B239" s="1421"/>
      <c r="C239" s="395" t="s">
        <v>1111</v>
      </c>
      <c r="D239" s="592"/>
      <c r="E239" s="592"/>
      <c r="F239" s="592"/>
      <c r="G239" s="592"/>
      <c r="H239" s="592"/>
      <c r="I239" s="397" t="s">
        <v>1406</v>
      </c>
      <c r="J239" s="397" t="s">
        <v>764</v>
      </c>
      <c r="K239" s="622">
        <v>400000</v>
      </c>
      <c r="L239" s="474"/>
      <c r="M239" s="939">
        <v>400000</v>
      </c>
      <c r="N239" s="366"/>
      <c r="O239" s="595"/>
    </row>
    <row r="240" spans="1:64" ht="36" x14ac:dyDescent="0.4">
      <c r="A240" s="444">
        <v>3</v>
      </c>
      <c r="B240" s="348" t="s">
        <v>1378</v>
      </c>
      <c r="C240" s="835" t="s">
        <v>1130</v>
      </c>
      <c r="I240" s="836" t="s">
        <v>1379</v>
      </c>
      <c r="J240" s="1015" t="s">
        <v>586</v>
      </c>
      <c r="K240" s="1016">
        <f>638410.08-95763.09+95763.09</f>
        <v>638410.07999999996</v>
      </c>
      <c r="L240" s="1017"/>
      <c r="M240" s="443">
        <f>3500+502150+13857.99</f>
        <v>519507.99</v>
      </c>
      <c r="N240" s="354"/>
      <c r="O240" s="342" t="s">
        <v>151</v>
      </c>
    </row>
    <row r="241" spans="1:15" ht="63.6" hidden="1" x14ac:dyDescent="0.4">
      <c r="A241" s="444">
        <v>2</v>
      </c>
      <c r="B241" s="115" t="s">
        <v>1210</v>
      </c>
      <c r="C241" s="351" t="s">
        <v>1105</v>
      </c>
      <c r="I241" s="357" t="s">
        <v>1211</v>
      </c>
      <c r="J241" s="415" t="s">
        <v>613</v>
      </c>
      <c r="K241" s="679"/>
      <c r="L241" s="1017"/>
      <c r="M241" s="440"/>
      <c r="N241" s="354"/>
      <c r="O241" s="342" t="s">
        <v>1152</v>
      </c>
    </row>
    <row r="242" spans="1:15" ht="46.8" x14ac:dyDescent="0.4">
      <c r="A242" s="444">
        <v>4</v>
      </c>
      <c r="B242" s="748" t="s">
        <v>1396</v>
      </c>
      <c r="C242" s="351" t="s">
        <v>1105</v>
      </c>
      <c r="I242" s="357" t="s">
        <v>1397</v>
      </c>
      <c r="J242" s="415" t="s">
        <v>613</v>
      </c>
      <c r="K242" s="679">
        <v>1064000</v>
      </c>
      <c r="L242" s="1017"/>
      <c r="M242" s="440">
        <v>541011.66</v>
      </c>
      <c r="N242" s="354"/>
      <c r="O242" s="342"/>
    </row>
    <row r="243" spans="1:15" ht="21" x14ac:dyDescent="0.4">
      <c r="A243" s="444"/>
      <c r="B243" s="115"/>
      <c r="C243" s="351"/>
      <c r="I243" s="357"/>
      <c r="J243" s="415"/>
      <c r="K243" s="679"/>
      <c r="L243" s="408"/>
      <c r="M243" s="440"/>
      <c r="N243" s="354"/>
      <c r="O243" s="342"/>
    </row>
    <row r="244" spans="1:15" ht="21" x14ac:dyDescent="0.4">
      <c r="A244" s="444"/>
      <c r="B244" s="115"/>
      <c r="C244" s="351"/>
      <c r="I244" s="357"/>
      <c r="J244" s="415"/>
      <c r="K244" s="679"/>
      <c r="L244" s="408"/>
      <c r="M244" s="440"/>
      <c r="N244" s="354"/>
      <c r="O244" s="342"/>
    </row>
    <row r="245" spans="1:15" ht="21" x14ac:dyDescent="0.4">
      <c r="A245" s="410"/>
      <c r="B245" s="402" t="s">
        <v>1212</v>
      </c>
      <c r="C245" s="411"/>
      <c r="D245" s="411"/>
      <c r="E245" s="411"/>
      <c r="F245" s="411"/>
      <c r="G245" s="411"/>
      <c r="H245" s="411"/>
      <c r="I245" s="413"/>
      <c r="J245" s="413"/>
      <c r="K245" s="680">
        <f>K237+K240+K238+K242+K239</f>
        <v>7446026.0800000001</v>
      </c>
      <c r="L245" s="408"/>
      <c r="M245" s="680">
        <f>M237+M240+M238+M242+M239</f>
        <v>4222215.6500000004</v>
      </c>
      <c r="N245" s="354"/>
      <c r="O245" s="354"/>
    </row>
    <row r="248" spans="1:15" ht="18" x14ac:dyDescent="0.35">
      <c r="A248" s="331" t="s">
        <v>1380</v>
      </c>
      <c r="B248" s="331"/>
      <c r="C248" s="331"/>
      <c r="D248" s="331"/>
      <c r="E248" s="331"/>
      <c r="F248" s="331"/>
      <c r="G248" s="331"/>
      <c r="H248" s="331"/>
      <c r="I248" s="355"/>
      <c r="J248" s="355"/>
      <c r="K248" s="681"/>
      <c r="L248" s="355"/>
      <c r="M248" s="331"/>
      <c r="N248" s="331"/>
      <c r="O248" s="331"/>
    </row>
    <row r="249" spans="1:15" ht="18" x14ac:dyDescent="0.35">
      <c r="A249" s="331" t="s">
        <v>1155</v>
      </c>
      <c r="B249" s="331"/>
      <c r="C249" s="331"/>
      <c r="D249" s="331"/>
      <c r="E249" s="331"/>
      <c r="F249" s="331"/>
      <c r="G249" s="331"/>
      <c r="H249" s="331"/>
      <c r="I249" s="355"/>
      <c r="J249" s="355"/>
      <c r="K249" s="681"/>
      <c r="L249" s="355"/>
      <c r="M249" s="331"/>
      <c r="N249" s="1391" t="s">
        <v>958</v>
      </c>
      <c r="O249" s="1391"/>
    </row>
    <row r="250" spans="1:15" ht="18" x14ac:dyDescent="0.35">
      <c r="A250" s="331"/>
      <c r="B250" s="331"/>
      <c r="C250" s="331"/>
      <c r="D250" s="331"/>
      <c r="E250" s="331"/>
      <c r="F250" s="331"/>
      <c r="G250" s="331"/>
      <c r="H250" s="331"/>
      <c r="I250" s="355"/>
      <c r="J250" s="355"/>
      <c r="K250" s="681"/>
      <c r="L250" s="355"/>
      <c r="M250" s="331"/>
      <c r="N250" s="331"/>
      <c r="O250" s="331"/>
    </row>
    <row r="251" spans="1:15" ht="18" x14ac:dyDescent="0.35">
      <c r="A251" s="331" t="s">
        <v>1156</v>
      </c>
      <c r="B251" s="331" t="s">
        <v>1414</v>
      </c>
      <c r="C251" s="331"/>
      <c r="D251" s="331"/>
      <c r="E251" s="331"/>
      <c r="F251" s="331"/>
      <c r="G251" s="331"/>
      <c r="H251" s="331"/>
      <c r="I251" s="355"/>
      <c r="J251" s="355"/>
      <c r="K251" s="681"/>
      <c r="L251" s="355"/>
      <c r="M251" s="331"/>
      <c r="N251" s="331"/>
      <c r="O251" s="331"/>
    </row>
    <row r="252" spans="1:15" ht="18" x14ac:dyDescent="0.35">
      <c r="A252" s="331"/>
      <c r="B252" s="331" t="s">
        <v>960</v>
      </c>
      <c r="C252" s="331"/>
      <c r="D252" s="331"/>
      <c r="E252" s="331"/>
      <c r="F252" s="331"/>
      <c r="G252" s="331"/>
      <c r="H252" s="331"/>
      <c r="I252" s="355"/>
      <c r="J252" s="355"/>
      <c r="K252" s="681"/>
      <c r="L252" s="355"/>
      <c r="M252" s="331"/>
      <c r="N252" s="331"/>
      <c r="O252" s="331"/>
    </row>
    <row r="254" spans="1:15" ht="15.6" x14ac:dyDescent="0.3">
      <c r="A254" s="420"/>
      <c r="B254" s="414"/>
      <c r="C254" s="417"/>
      <c r="D254" s="336"/>
      <c r="E254" s="336"/>
      <c r="F254" s="336"/>
      <c r="G254" s="336"/>
      <c r="H254" s="336"/>
      <c r="I254" s="418"/>
      <c r="J254" s="418"/>
      <c r="K254" s="367"/>
    </row>
    <row r="257" spans="2:13" ht="15.6" x14ac:dyDescent="0.3">
      <c r="B257" s="414"/>
      <c r="C257" s="417"/>
      <c r="D257" s="336"/>
      <c r="E257" s="336"/>
      <c r="F257" s="336"/>
      <c r="G257" s="336"/>
      <c r="H257" s="336"/>
      <c r="I257" s="418"/>
      <c r="J257" s="418"/>
      <c r="K257" s="582"/>
      <c r="L257" s="336"/>
      <c r="M257" s="336"/>
    </row>
    <row r="258" spans="2:13" x14ac:dyDescent="0.3">
      <c r="B258" s="336"/>
      <c r="C258" s="336"/>
      <c r="D258" s="336"/>
      <c r="E258" s="336"/>
      <c r="F258" s="336"/>
      <c r="G258" s="336"/>
      <c r="H258" s="336"/>
      <c r="I258" s="336"/>
      <c r="J258" s="336"/>
      <c r="K258" s="367"/>
      <c r="L258" s="336"/>
      <c r="M258" s="336"/>
    </row>
  </sheetData>
  <mergeCells count="132">
    <mergeCell ref="A238:A239"/>
    <mergeCell ref="B238:B239"/>
    <mergeCell ref="N249:O249"/>
    <mergeCell ref="A206:A227"/>
    <mergeCell ref="B207:B209"/>
    <mergeCell ref="C208:C209"/>
    <mergeCell ref="I208:I209"/>
    <mergeCell ref="O210:O226"/>
    <mergeCell ref="B211:B213"/>
    <mergeCell ref="C212:C213"/>
    <mergeCell ref="I212:I213"/>
    <mergeCell ref="B214:B217"/>
    <mergeCell ref="C214:C217"/>
    <mergeCell ref="I214:I217"/>
    <mergeCell ref="B220:B223"/>
    <mergeCell ref="A196:A197"/>
    <mergeCell ref="B196:B197"/>
    <mergeCell ref="C196:C197"/>
    <mergeCell ref="I196:I197"/>
    <mergeCell ref="A203:A205"/>
    <mergeCell ref="B203:B205"/>
    <mergeCell ref="B182:B184"/>
    <mergeCell ref="A190:A191"/>
    <mergeCell ref="C190:C191"/>
    <mergeCell ref="I190:I191"/>
    <mergeCell ref="A193:A195"/>
    <mergeCell ref="B193:B195"/>
    <mergeCell ref="C194:C195"/>
    <mergeCell ref="I194:I195"/>
    <mergeCell ref="B185:B187"/>
    <mergeCell ref="C185:C187"/>
    <mergeCell ref="I185:I187"/>
    <mergeCell ref="A149:A152"/>
    <mergeCell ref="B149:B152"/>
    <mergeCell ref="C150:C152"/>
    <mergeCell ref="I150:I152"/>
    <mergeCell ref="O155:O168"/>
    <mergeCell ref="B167:B169"/>
    <mergeCell ref="C167:C168"/>
    <mergeCell ref="I167:I169"/>
    <mergeCell ref="A140:A142"/>
    <mergeCell ref="B140:B142"/>
    <mergeCell ref="C140:C142"/>
    <mergeCell ref="I140:I142"/>
    <mergeCell ref="A145:A148"/>
    <mergeCell ref="B145:B148"/>
    <mergeCell ref="C146:C148"/>
    <mergeCell ref="I146:I148"/>
    <mergeCell ref="O119:O122"/>
    <mergeCell ref="O123:O124"/>
    <mergeCell ref="B124:B125"/>
    <mergeCell ref="I124:I125"/>
    <mergeCell ref="O129:O131"/>
    <mergeCell ref="A105:A108"/>
    <mergeCell ref="B105:B108"/>
    <mergeCell ref="O105:O116"/>
    <mergeCell ref="A109:A110"/>
    <mergeCell ref="B109:B110"/>
    <mergeCell ref="I109:I110"/>
    <mergeCell ref="O96:O99"/>
    <mergeCell ref="A101:A104"/>
    <mergeCell ref="B101:B104"/>
    <mergeCell ref="O102:O104"/>
    <mergeCell ref="C103:C104"/>
    <mergeCell ref="I103:I104"/>
    <mergeCell ref="A53:A54"/>
    <mergeCell ref="B53:B54"/>
    <mergeCell ref="I53:I54"/>
    <mergeCell ref="I60:I61"/>
    <mergeCell ref="O63:O66"/>
    <mergeCell ref="B65:B66"/>
    <mergeCell ref="O31:O32"/>
    <mergeCell ref="O37:O40"/>
    <mergeCell ref="O43:O46"/>
    <mergeCell ref="O49:O56"/>
    <mergeCell ref="B51:B52"/>
    <mergeCell ref="I51:I52"/>
    <mergeCell ref="O170:O172"/>
    <mergeCell ref="O176:O177"/>
    <mergeCell ref="A182:A184"/>
    <mergeCell ref="O133:O153"/>
    <mergeCell ref="O70:O71"/>
    <mergeCell ref="O74:O76"/>
    <mergeCell ref="O80:O83"/>
    <mergeCell ref="B86:B89"/>
    <mergeCell ref="O86:O94"/>
    <mergeCell ref="B91:B92"/>
    <mergeCell ref="I91:I92"/>
    <mergeCell ref="B94:B95"/>
    <mergeCell ref="C94:C95"/>
    <mergeCell ref="I94:I95"/>
    <mergeCell ref="A86:A89"/>
    <mergeCell ref="A91:A92"/>
    <mergeCell ref="A96:A99"/>
    <mergeCell ref="B96:B99"/>
    <mergeCell ref="A29:A30"/>
    <mergeCell ref="B29:B30"/>
    <mergeCell ref="I29:I30"/>
    <mergeCell ref="L17:L19"/>
    <mergeCell ref="M17:M20"/>
    <mergeCell ref="N17:N19"/>
    <mergeCell ref="O17:P17"/>
    <mergeCell ref="O18:O20"/>
    <mergeCell ref="P18:P20"/>
    <mergeCell ref="A17:A20"/>
    <mergeCell ref="B17:B20"/>
    <mergeCell ref="C17:C20"/>
    <mergeCell ref="I17:I20"/>
    <mergeCell ref="J17:J20"/>
    <mergeCell ref="K17:K20"/>
    <mergeCell ref="B22:B23"/>
    <mergeCell ref="C22:C23"/>
    <mergeCell ref="I22:I23"/>
    <mergeCell ref="O22:O29"/>
    <mergeCell ref="A5:B5"/>
    <mergeCell ref="A2:B2"/>
    <mergeCell ref="M2:O2"/>
    <mergeCell ref="A3:B3"/>
    <mergeCell ref="M3:O3"/>
    <mergeCell ref="A4:B4"/>
    <mergeCell ref="A14:O14"/>
    <mergeCell ref="A6:B6"/>
    <mergeCell ref="A7:B7"/>
    <mergeCell ref="A8:B8"/>
    <mergeCell ref="I8:O8"/>
    <mergeCell ref="A9:B9"/>
    <mergeCell ref="I9:O9"/>
    <mergeCell ref="A10:B10"/>
    <mergeCell ref="I10:O10"/>
    <mergeCell ref="A11:B11"/>
    <mergeCell ref="I11:O11"/>
    <mergeCell ref="A12:B12"/>
  </mergeCells>
  <hyperlinks>
    <hyperlink ref="A8" r:id="rId1" display="mailto:rfo-skv@mail.ru"/>
  </hyperlinks>
  <pageMargins left="0.70866141732283472" right="0.70866141732283472" top="0.74803149606299213" bottom="0.74803149606299213" header="0.31496062992125984" footer="0.31496062992125984"/>
  <pageSetup paperSize="9" scale="58" fitToHeight="0"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259"/>
  <sheetViews>
    <sheetView view="pageBreakPreview" zoomScaleNormal="100" zoomScaleSheetLayoutView="100" workbookViewId="0">
      <selection sqref="A1:XFD1048576"/>
    </sheetView>
  </sheetViews>
  <sheetFormatPr defaultRowHeight="14.4" x14ac:dyDescent="0.3"/>
  <cols>
    <col min="1" max="1" width="8.6640625" customWidth="1"/>
    <col min="2" max="2" width="75.6640625" customWidth="1"/>
    <col min="3" max="3" width="21" customWidth="1"/>
    <col min="4" max="7" width="9.109375" hidden="1" customWidth="1"/>
    <col min="8" max="8" width="5.44140625" hidden="1" customWidth="1"/>
    <col min="9" max="9" width="19.109375" customWidth="1"/>
    <col min="10" max="10" width="12" customWidth="1"/>
    <col min="11" max="11" width="23.5546875" style="366" customWidth="1"/>
    <col min="12" max="12" width="0.33203125" hidden="1" customWidth="1"/>
    <col min="13" max="13" width="26.88671875" customWidth="1"/>
    <col min="14" max="14" width="3" hidden="1" customWidth="1"/>
    <col min="15" max="15" width="37.109375" customWidth="1"/>
    <col min="16" max="16" width="25" hidden="1" customWidth="1"/>
  </cols>
  <sheetData>
    <row r="1" spans="1:15" ht="18" x14ac:dyDescent="0.35">
      <c r="A1" s="331"/>
      <c r="B1" s="1024"/>
      <c r="C1" s="330"/>
      <c r="D1" s="330"/>
      <c r="E1" s="1039"/>
      <c r="F1" s="331"/>
      <c r="G1" s="331"/>
      <c r="H1" s="331"/>
      <c r="I1" s="352"/>
      <c r="J1" s="352"/>
      <c r="K1" s="666"/>
      <c r="L1" s="352"/>
      <c r="M1" s="352"/>
      <c r="N1" s="352"/>
      <c r="O1" s="353"/>
    </row>
    <row r="2" spans="1:15" ht="18" x14ac:dyDescent="0.35">
      <c r="A2" s="1268" t="s">
        <v>1117</v>
      </c>
      <c r="B2" s="1268"/>
      <c r="C2" s="330"/>
      <c r="D2" s="330"/>
      <c r="E2" s="1039"/>
      <c r="F2" s="331"/>
      <c r="G2" s="331"/>
      <c r="H2" s="331"/>
      <c r="I2" s="352"/>
      <c r="J2" s="352"/>
      <c r="K2" s="666"/>
      <c r="L2" s="352" t="s">
        <v>1118</v>
      </c>
      <c r="M2" s="1330" t="s">
        <v>151</v>
      </c>
      <c r="N2" s="1330"/>
      <c r="O2" s="1330"/>
    </row>
    <row r="3" spans="1:15" ht="18" x14ac:dyDescent="0.35">
      <c r="A3" s="1268" t="s">
        <v>1119</v>
      </c>
      <c r="B3" s="1268"/>
      <c r="C3" s="330"/>
      <c r="D3" s="330"/>
      <c r="E3" s="1039"/>
      <c r="F3" s="331"/>
      <c r="G3" s="331"/>
      <c r="H3" s="331"/>
      <c r="I3" s="352"/>
      <c r="J3" s="352"/>
      <c r="K3" s="666"/>
      <c r="L3" s="352" t="s">
        <v>1120</v>
      </c>
      <c r="M3" s="1330" t="s">
        <v>1202</v>
      </c>
      <c r="N3" s="1330"/>
      <c r="O3" s="1330"/>
    </row>
    <row r="4" spans="1:15" ht="18" x14ac:dyDescent="0.35">
      <c r="A4" s="1353" t="s">
        <v>1121</v>
      </c>
      <c r="B4" s="1353"/>
      <c r="C4" s="330"/>
      <c r="D4" s="330"/>
      <c r="E4" s="1039"/>
      <c r="F4" s="331"/>
      <c r="G4" s="331"/>
      <c r="H4" s="331"/>
      <c r="I4" s="352"/>
      <c r="J4" s="352"/>
      <c r="K4" s="666"/>
      <c r="L4" s="352"/>
      <c r="M4" s="352"/>
      <c r="N4" s="352"/>
      <c r="O4" s="353"/>
    </row>
    <row r="5" spans="1:15" ht="18" x14ac:dyDescent="0.35">
      <c r="A5" s="1353" t="s">
        <v>1122</v>
      </c>
      <c r="B5" s="1353"/>
      <c r="C5" s="330"/>
      <c r="D5" s="330"/>
      <c r="E5" s="1039"/>
      <c r="F5" s="331"/>
      <c r="G5" s="331"/>
      <c r="H5" s="331"/>
      <c r="I5" s="352"/>
      <c r="J5" s="352"/>
      <c r="K5" s="666"/>
      <c r="L5" s="352"/>
      <c r="M5" s="352"/>
      <c r="N5" s="352"/>
      <c r="O5" s="353"/>
    </row>
    <row r="6" spans="1:15" ht="18" x14ac:dyDescent="0.35">
      <c r="A6" s="1268" t="s">
        <v>1123</v>
      </c>
      <c r="B6" s="1268"/>
      <c r="C6" s="330"/>
      <c r="D6" s="330"/>
      <c r="E6" s="1039"/>
      <c r="F6" s="331"/>
      <c r="G6" s="331"/>
      <c r="H6" s="331"/>
      <c r="I6" s="352"/>
      <c r="J6" s="352"/>
      <c r="K6" s="666"/>
      <c r="L6" s="352"/>
      <c r="M6" s="352"/>
      <c r="N6" s="352"/>
      <c r="O6" s="353"/>
    </row>
    <row r="7" spans="1:15" ht="18" x14ac:dyDescent="0.35">
      <c r="A7" s="1268" t="s">
        <v>1124</v>
      </c>
      <c r="B7" s="1268"/>
      <c r="C7" s="330"/>
      <c r="D7" s="330"/>
      <c r="E7" s="1039"/>
      <c r="F7" s="331"/>
      <c r="G7" s="331"/>
      <c r="H7" s="331"/>
      <c r="I7" s="352"/>
      <c r="J7" s="352"/>
      <c r="K7" s="666"/>
      <c r="L7" s="352"/>
      <c r="M7" s="352"/>
      <c r="N7" s="352"/>
      <c r="O7" s="353"/>
    </row>
    <row r="8" spans="1:15" ht="18" x14ac:dyDescent="0.35">
      <c r="A8" s="1309" t="s">
        <v>1125</v>
      </c>
      <c r="B8" s="1309"/>
      <c r="C8" s="330"/>
      <c r="D8" s="330"/>
      <c r="E8" s="1039"/>
      <c r="F8" s="331"/>
      <c r="G8" s="331"/>
      <c r="H8" s="331"/>
      <c r="I8" s="1310"/>
      <c r="J8" s="1310"/>
      <c r="K8" s="1310"/>
      <c r="L8" s="1310"/>
      <c r="M8" s="1310"/>
      <c r="N8" s="1310"/>
      <c r="O8" s="1310"/>
    </row>
    <row r="9" spans="1:15" ht="18" x14ac:dyDescent="0.35">
      <c r="A9" s="1268" t="s">
        <v>1126</v>
      </c>
      <c r="B9" s="1268"/>
      <c r="C9" s="330"/>
      <c r="D9" s="330"/>
      <c r="E9" s="1039"/>
      <c r="F9" s="331"/>
      <c r="G9" s="331"/>
      <c r="H9" s="331"/>
      <c r="I9" s="1310"/>
      <c r="J9" s="1310"/>
      <c r="K9" s="1310"/>
      <c r="L9" s="1310"/>
      <c r="M9" s="1310"/>
      <c r="N9" s="1310"/>
      <c r="O9" s="1310"/>
    </row>
    <row r="10" spans="1:15" ht="18" x14ac:dyDescent="0.35">
      <c r="A10" s="1268" t="s">
        <v>1127</v>
      </c>
      <c r="B10" s="1268"/>
      <c r="C10" s="330"/>
      <c r="D10" s="330"/>
      <c r="E10" s="1039"/>
      <c r="F10" s="331"/>
      <c r="G10" s="331"/>
      <c r="H10" s="331"/>
      <c r="I10" s="1310"/>
      <c r="J10" s="1310"/>
      <c r="K10" s="1310"/>
      <c r="L10" s="1310"/>
      <c r="M10" s="1310"/>
      <c r="N10" s="1310"/>
      <c r="O10" s="1310"/>
    </row>
    <row r="11" spans="1:15" ht="18" x14ac:dyDescent="0.35">
      <c r="A11" s="1268" t="s">
        <v>1426</v>
      </c>
      <c r="B11" s="1268"/>
      <c r="C11" s="330"/>
      <c r="D11" s="330"/>
      <c r="E11" s="1039"/>
      <c r="F11" s="331"/>
      <c r="G11" s="331"/>
      <c r="H11" s="331"/>
      <c r="I11" s="1310"/>
      <c r="J11" s="1310"/>
      <c r="K11" s="1310"/>
      <c r="L11" s="1310"/>
      <c r="M11" s="1310"/>
      <c r="N11" s="1310"/>
      <c r="O11" s="1310"/>
    </row>
    <row r="12" spans="1:15" ht="18" x14ac:dyDescent="0.35">
      <c r="A12" s="1268" t="s">
        <v>1128</v>
      </c>
      <c r="B12" s="1268"/>
      <c r="C12" s="330"/>
      <c r="D12" s="330"/>
      <c r="E12" s="1039"/>
      <c r="F12" s="331"/>
      <c r="G12" s="331"/>
      <c r="H12" s="331"/>
      <c r="I12" s="1037"/>
      <c r="J12" s="1037"/>
      <c r="K12" s="667"/>
      <c r="L12" s="1037"/>
      <c r="M12" s="1037"/>
      <c r="N12" s="1037"/>
      <c r="O12" s="1037"/>
    </row>
    <row r="13" spans="1:15" ht="18" x14ac:dyDescent="0.35">
      <c r="A13" s="331"/>
      <c r="B13" s="330"/>
      <c r="C13" s="330"/>
      <c r="D13" s="330"/>
      <c r="E13" s="1039"/>
      <c r="F13" s="331"/>
      <c r="G13" s="331"/>
      <c r="H13" s="331"/>
      <c r="I13" s="352"/>
      <c r="J13" s="352"/>
      <c r="K13" s="666"/>
      <c r="L13" s="352"/>
      <c r="M13" s="352"/>
      <c r="N13" s="352"/>
      <c r="O13" s="353"/>
    </row>
    <row r="14" spans="1:15" ht="18" x14ac:dyDescent="0.35">
      <c r="A14" s="1315" t="s">
        <v>1335</v>
      </c>
      <c r="B14" s="1315"/>
      <c r="C14" s="1315"/>
      <c r="D14" s="1315"/>
      <c r="E14" s="1315"/>
      <c r="F14" s="1315"/>
      <c r="G14" s="1315"/>
      <c r="H14" s="1315"/>
      <c r="I14" s="1315"/>
      <c r="J14" s="1315"/>
      <c r="K14" s="1315"/>
      <c r="L14" s="1315"/>
      <c r="M14" s="1315"/>
      <c r="N14" s="1315"/>
      <c r="O14" s="1315"/>
    </row>
    <row r="15" spans="1:15" ht="18" x14ac:dyDescent="0.35">
      <c r="A15" s="331"/>
      <c r="B15" s="330"/>
      <c r="C15" s="330"/>
      <c r="D15" s="330"/>
      <c r="E15" s="1039"/>
      <c r="F15" s="331"/>
      <c r="G15" s="331"/>
      <c r="H15" s="331"/>
      <c r="I15" s="352"/>
      <c r="J15" s="352"/>
      <c r="K15" s="666"/>
      <c r="L15" s="352"/>
      <c r="M15" s="352"/>
      <c r="N15" s="352"/>
      <c r="O15" s="1047" t="s">
        <v>478</v>
      </c>
    </row>
    <row r="17" spans="1:16" ht="18.75" customHeight="1" x14ac:dyDescent="0.35">
      <c r="A17" s="1313" t="s">
        <v>407</v>
      </c>
      <c r="B17" s="1269" t="s">
        <v>479</v>
      </c>
      <c r="C17" s="1274" t="s">
        <v>281</v>
      </c>
      <c r="D17" s="333"/>
      <c r="E17" s="1038"/>
      <c r="F17" s="334"/>
      <c r="G17" s="335"/>
      <c r="H17" s="335"/>
      <c r="I17" s="1277" t="s">
        <v>1085</v>
      </c>
      <c r="J17" s="1277" t="s">
        <v>510</v>
      </c>
      <c r="K17" s="1401" t="s">
        <v>1350</v>
      </c>
      <c r="L17" s="1271" t="s">
        <v>1079</v>
      </c>
      <c r="M17" s="1270" t="s">
        <v>1425</v>
      </c>
      <c r="N17" s="1270" t="s">
        <v>1080</v>
      </c>
      <c r="O17" s="1311" t="s">
        <v>480</v>
      </c>
      <c r="P17" s="1311"/>
    </row>
    <row r="18" spans="1:16" ht="18" x14ac:dyDescent="0.35">
      <c r="A18" s="1313"/>
      <c r="B18" s="1269"/>
      <c r="C18" s="1399"/>
      <c r="D18" s="333"/>
      <c r="E18" s="1038"/>
      <c r="F18" s="334"/>
      <c r="G18" s="335"/>
      <c r="H18" s="335"/>
      <c r="I18" s="1400"/>
      <c r="J18" s="1400"/>
      <c r="K18" s="1401"/>
      <c r="L18" s="1426"/>
      <c r="M18" s="1270"/>
      <c r="N18" s="1270"/>
      <c r="O18" s="1270" t="s">
        <v>481</v>
      </c>
      <c r="P18" s="1312"/>
    </row>
    <row r="19" spans="1:16" ht="18" x14ac:dyDescent="0.35">
      <c r="A19" s="1313"/>
      <c r="B19" s="1269"/>
      <c r="C19" s="1399"/>
      <c r="D19" s="333"/>
      <c r="E19" s="1038"/>
      <c r="F19" s="335"/>
      <c r="G19" s="335"/>
      <c r="H19" s="335"/>
      <c r="I19" s="1400"/>
      <c r="J19" s="1400"/>
      <c r="K19" s="1401"/>
      <c r="L19" s="1273"/>
      <c r="M19" s="1270"/>
      <c r="N19" s="1270"/>
      <c r="O19" s="1270"/>
      <c r="P19" s="1312"/>
    </row>
    <row r="20" spans="1:16" ht="18" x14ac:dyDescent="0.35">
      <c r="A20" s="1314"/>
      <c r="B20" s="1398"/>
      <c r="C20" s="1399"/>
      <c r="D20" s="332"/>
      <c r="E20" s="1026"/>
      <c r="F20" s="344"/>
      <c r="G20" s="344"/>
      <c r="H20" s="344"/>
      <c r="I20" s="1400"/>
      <c r="J20" s="1400"/>
      <c r="K20" s="1402"/>
      <c r="L20" s="1025"/>
      <c r="M20" s="1271"/>
      <c r="N20" s="1025"/>
      <c r="O20" s="1271"/>
      <c r="P20" s="1312"/>
    </row>
    <row r="21" spans="1:16" s="336" customFormat="1" ht="42" customHeight="1" x14ac:dyDescent="0.35">
      <c r="A21" s="347">
        <v>1</v>
      </c>
      <c r="B21" s="343" t="s">
        <v>1081</v>
      </c>
      <c r="C21" s="346"/>
      <c r="D21" s="664"/>
      <c r="E21" s="338"/>
      <c r="F21" s="339"/>
      <c r="G21" s="339"/>
      <c r="H21" s="339"/>
      <c r="I21" s="345" t="s">
        <v>1337</v>
      </c>
      <c r="J21" s="498"/>
      <c r="K21" s="668">
        <f>K22+K25+K26+K27+K28+K29+K31+K32+K33+K30+K34+K23+K24</f>
        <v>1415802</v>
      </c>
      <c r="L21" s="340"/>
      <c r="M21" s="668">
        <f>M22+M25+M26+M27+M28+M29+M31+M32+M33+M30+M34+M23+M24</f>
        <v>549302</v>
      </c>
      <c r="N21" s="341"/>
      <c r="O21" s="342" t="s">
        <v>151</v>
      </c>
      <c r="P21" s="663"/>
    </row>
    <row r="22" spans="1:16" s="366" customFormat="1" ht="31.5" customHeight="1" x14ac:dyDescent="0.3">
      <c r="A22" s="1042"/>
      <c r="B22" s="1396" t="s">
        <v>627</v>
      </c>
      <c r="C22" s="1397" t="s">
        <v>1086</v>
      </c>
      <c r="D22" s="524"/>
      <c r="E22" s="524"/>
      <c r="F22" s="524"/>
      <c r="G22" s="524"/>
      <c r="H22" s="524"/>
      <c r="I22" s="1374" t="s">
        <v>1239</v>
      </c>
      <c r="J22" s="662" t="s">
        <v>586</v>
      </c>
      <c r="K22" s="553">
        <f>73140-73140</f>
        <v>0</v>
      </c>
      <c r="L22" s="474"/>
      <c r="M22" s="739"/>
      <c r="N22" s="489"/>
      <c r="O22" s="1335" t="s">
        <v>151</v>
      </c>
      <c r="P22" s="662"/>
    </row>
    <row r="23" spans="1:16" s="366" customFormat="1" ht="15.75" hidden="1" customHeight="1" x14ac:dyDescent="0.3">
      <c r="A23" s="1042"/>
      <c r="B23" s="1396"/>
      <c r="C23" s="1397"/>
      <c r="D23" s="524"/>
      <c r="E23" s="524"/>
      <c r="F23" s="524"/>
      <c r="G23" s="524"/>
      <c r="H23" s="524"/>
      <c r="I23" s="1374"/>
      <c r="J23" s="564" t="s">
        <v>528</v>
      </c>
      <c r="K23" s="1059"/>
      <c r="L23" s="474"/>
      <c r="M23" s="1060"/>
      <c r="N23" s="489"/>
      <c r="O23" s="1335"/>
      <c r="P23" s="363"/>
    </row>
    <row r="24" spans="1:16" s="366" customFormat="1" ht="24" customHeight="1" x14ac:dyDescent="0.3">
      <c r="A24" s="1328"/>
      <c r="B24" s="1475" t="s">
        <v>630</v>
      </c>
      <c r="C24" s="1476" t="s">
        <v>1086</v>
      </c>
      <c r="D24" s="365"/>
      <c r="E24" s="365"/>
      <c r="F24" s="365"/>
      <c r="G24" s="365"/>
      <c r="H24" s="365"/>
      <c r="I24" s="1477" t="s">
        <v>1240</v>
      </c>
      <c r="J24" s="363" t="s">
        <v>586</v>
      </c>
      <c r="K24" s="982">
        <f>106000+14000-120000</f>
        <v>0</v>
      </c>
      <c r="L24" s="476"/>
      <c r="M24" s="445"/>
      <c r="N24" s="489"/>
      <c r="O24" s="1335"/>
      <c r="P24" s="363"/>
    </row>
    <row r="25" spans="1:16" s="366" customFormat="1" ht="27" customHeight="1" x14ac:dyDescent="0.3">
      <c r="A25" s="1329"/>
      <c r="B25" s="1294"/>
      <c r="C25" s="1404"/>
      <c r="D25" s="365"/>
      <c r="E25" s="365"/>
      <c r="F25" s="365"/>
      <c r="G25" s="365"/>
      <c r="H25" s="365"/>
      <c r="I25" s="1306"/>
      <c r="J25" s="363" t="s">
        <v>528</v>
      </c>
      <c r="K25" s="982">
        <v>120000</v>
      </c>
      <c r="L25" s="474"/>
      <c r="M25" s="739">
        <v>120000</v>
      </c>
      <c r="N25" s="365"/>
      <c r="O25" s="1335"/>
      <c r="P25" s="363"/>
    </row>
    <row r="26" spans="1:16" s="366" customFormat="1" ht="46.5" customHeight="1" x14ac:dyDescent="0.3">
      <c r="A26" s="388"/>
      <c r="B26" s="527" t="s">
        <v>633</v>
      </c>
      <c r="C26" s="1049" t="s">
        <v>1086</v>
      </c>
      <c r="I26" s="1061" t="s">
        <v>1241</v>
      </c>
      <c r="J26" s="662" t="s">
        <v>586</v>
      </c>
      <c r="K26" s="464">
        <f>181000-80000-14000-87000</f>
        <v>0</v>
      </c>
      <c r="L26" s="474"/>
      <c r="M26" s="445"/>
      <c r="N26" s="365"/>
      <c r="O26" s="1335"/>
      <c r="P26" s="363"/>
    </row>
    <row r="27" spans="1:16" s="366" customFormat="1" ht="33.75" customHeight="1" x14ac:dyDescent="0.3">
      <c r="A27" s="388"/>
      <c r="B27" s="527" t="s">
        <v>636</v>
      </c>
      <c r="C27" s="451" t="s">
        <v>1087</v>
      </c>
      <c r="I27" s="528" t="s">
        <v>1242</v>
      </c>
      <c r="J27" s="363" t="s">
        <v>586</v>
      </c>
      <c r="K27" s="464">
        <f>25000-15000-10000</f>
        <v>0</v>
      </c>
      <c r="L27" s="474"/>
      <c r="M27" s="445"/>
      <c r="N27" s="365"/>
      <c r="O27" s="1335"/>
      <c r="P27" s="363"/>
    </row>
    <row r="28" spans="1:16" s="366" customFormat="1" ht="35.25" customHeight="1" x14ac:dyDescent="0.3">
      <c r="A28" s="388"/>
      <c r="B28" s="527" t="s">
        <v>639</v>
      </c>
      <c r="C28" s="451" t="s">
        <v>1086</v>
      </c>
      <c r="I28" s="528" t="s">
        <v>1243</v>
      </c>
      <c r="J28" s="363" t="s">
        <v>586</v>
      </c>
      <c r="K28" s="457">
        <f>30000-30000</f>
        <v>0</v>
      </c>
      <c r="L28" s="474"/>
      <c r="M28" s="445"/>
      <c r="N28" s="365"/>
      <c r="O28" s="1335"/>
      <c r="P28" s="363"/>
    </row>
    <row r="29" spans="1:16" s="366" customFormat="1" ht="30.75" customHeight="1" x14ac:dyDescent="0.3">
      <c r="A29" s="388"/>
      <c r="B29" s="527" t="s">
        <v>642</v>
      </c>
      <c r="C29" s="451" t="s">
        <v>1087</v>
      </c>
      <c r="I29" s="528" t="s">
        <v>1244</v>
      </c>
      <c r="J29" s="363" t="s">
        <v>586</v>
      </c>
      <c r="K29" s="457">
        <f>30000-30000</f>
        <v>0</v>
      </c>
      <c r="L29" s="474"/>
      <c r="M29" s="445"/>
      <c r="N29" s="365"/>
      <c r="O29" s="1335"/>
      <c r="P29" s="363"/>
    </row>
    <row r="30" spans="1:16" s="366" customFormat="1" ht="30.75" customHeight="1" x14ac:dyDescent="0.3">
      <c r="A30" s="1425"/>
      <c r="B30" s="1293" t="s">
        <v>607</v>
      </c>
      <c r="C30" s="451" t="s">
        <v>1088</v>
      </c>
      <c r="I30" s="1334" t="s">
        <v>1232</v>
      </c>
      <c r="J30" s="363" t="s">
        <v>586</v>
      </c>
      <c r="K30" s="372">
        <v>800000</v>
      </c>
      <c r="L30" s="474"/>
      <c r="M30" s="445"/>
      <c r="N30" s="365"/>
      <c r="O30" s="1287"/>
      <c r="P30" s="363"/>
    </row>
    <row r="31" spans="1:16" s="366" customFormat="1" ht="50.25" hidden="1" customHeight="1" x14ac:dyDescent="0.3">
      <c r="A31" s="1329"/>
      <c r="B31" s="1294"/>
      <c r="C31" s="451" t="s">
        <v>1159</v>
      </c>
      <c r="I31" s="1285"/>
      <c r="J31" s="363" t="s">
        <v>813</v>
      </c>
      <c r="K31" s="372"/>
      <c r="L31" s="474"/>
      <c r="M31" s="445"/>
      <c r="N31" s="365"/>
      <c r="O31" s="529" t="s">
        <v>1179</v>
      </c>
      <c r="P31" s="363"/>
    </row>
    <row r="32" spans="1:16" s="366" customFormat="1" ht="50.25" customHeight="1" x14ac:dyDescent="0.3">
      <c r="A32" s="1051"/>
      <c r="B32" s="527" t="s">
        <v>1264</v>
      </c>
      <c r="C32" s="451" t="s">
        <v>1103</v>
      </c>
      <c r="I32" s="531" t="s">
        <v>1263</v>
      </c>
      <c r="J32" s="389" t="s">
        <v>586</v>
      </c>
      <c r="K32" s="669">
        <f>500000+3500000+1429771+788425+1000000+1000000-340368.47-400700.66-6981324.87</f>
        <v>495802</v>
      </c>
      <c r="L32" s="474"/>
      <c r="M32" s="554">
        <f>3591524.87+3785602+10050+23450-6981324.87</f>
        <v>429302</v>
      </c>
      <c r="N32" s="365"/>
      <c r="O32" s="1427" t="s">
        <v>151</v>
      </c>
      <c r="P32" s="389"/>
    </row>
    <row r="33" spans="1:16" s="366" customFormat="1" ht="30.75" hidden="1" customHeight="1" x14ac:dyDescent="0.3">
      <c r="A33" s="1051"/>
      <c r="B33" s="534" t="s">
        <v>1168</v>
      </c>
      <c r="C33" s="451" t="s">
        <v>1130</v>
      </c>
      <c r="I33" s="531" t="s">
        <v>1169</v>
      </c>
      <c r="J33" s="389" t="s">
        <v>586</v>
      </c>
      <c r="K33" s="740"/>
      <c r="L33" s="474"/>
      <c r="M33" s="661"/>
      <c r="N33" s="365"/>
      <c r="O33" s="1287"/>
      <c r="P33" s="389"/>
    </row>
    <row r="34" spans="1:16" s="366" customFormat="1" ht="49.5" hidden="1" customHeight="1" x14ac:dyDescent="0.3">
      <c r="A34" s="1051"/>
      <c r="B34" s="521" t="s">
        <v>1201</v>
      </c>
      <c r="C34" s="451"/>
      <c r="I34" s="531"/>
      <c r="J34" s="389"/>
      <c r="K34" s="612">
        <v>0</v>
      </c>
      <c r="L34" s="474"/>
      <c r="M34" s="661"/>
      <c r="N34" s="365"/>
      <c r="O34" s="1030"/>
      <c r="P34" s="389"/>
    </row>
    <row r="35" spans="1:16" s="366" customFormat="1" ht="44.25" customHeight="1" x14ac:dyDescent="0.35">
      <c r="A35" s="1052">
        <v>2</v>
      </c>
      <c r="B35" s="538" t="s">
        <v>1082</v>
      </c>
      <c r="C35" s="539"/>
      <c r="D35" s="540"/>
      <c r="E35" s="540"/>
      <c r="F35" s="540"/>
      <c r="G35" s="540"/>
      <c r="H35" s="540"/>
      <c r="I35" s="541" t="s">
        <v>1336</v>
      </c>
      <c r="J35" s="542"/>
      <c r="K35" s="543">
        <f>K36</f>
        <v>53000</v>
      </c>
      <c r="L35" s="741"/>
      <c r="M35" s="543">
        <f>M36</f>
        <v>6732</v>
      </c>
      <c r="N35" s="448"/>
      <c r="O35" s="432" t="s">
        <v>151</v>
      </c>
      <c r="P35" s="544"/>
    </row>
    <row r="36" spans="1:16" s="366" customFormat="1" ht="42.75" customHeight="1" x14ac:dyDescent="0.3">
      <c r="A36" s="388"/>
      <c r="B36" s="459" t="s">
        <v>765</v>
      </c>
      <c r="C36" s="545" t="s">
        <v>1089</v>
      </c>
      <c r="I36" s="452" t="s">
        <v>1288</v>
      </c>
      <c r="J36" s="363" t="s">
        <v>586</v>
      </c>
      <c r="K36" s="457">
        <v>53000</v>
      </c>
      <c r="L36" s="474"/>
      <c r="M36" s="445">
        <v>6732</v>
      </c>
      <c r="N36" s="365"/>
      <c r="O36" s="450"/>
      <c r="P36" s="546"/>
    </row>
    <row r="37" spans="1:16" s="366" customFormat="1" ht="52.8" x14ac:dyDescent="0.35">
      <c r="A37" s="1052">
        <v>3</v>
      </c>
      <c r="B37" s="447" t="s">
        <v>1092</v>
      </c>
      <c r="C37" s="448"/>
      <c r="D37" s="448"/>
      <c r="E37" s="448"/>
      <c r="F37" s="448"/>
      <c r="G37" s="448"/>
      <c r="H37" s="547"/>
      <c r="I37" s="429" t="s">
        <v>1338</v>
      </c>
      <c r="J37" s="430"/>
      <c r="K37" s="449">
        <f>K38+K39+K40+K41+K44+K45+K46+K42+K47+K43</f>
        <v>11577686.620000001</v>
      </c>
      <c r="L37" s="470"/>
      <c r="M37" s="449">
        <f>M38+M39+M40+M41+M44+M45+M46+M42+M47+M43</f>
        <v>9938622.9299999997</v>
      </c>
      <c r="N37" s="448"/>
      <c r="O37" s="432" t="s">
        <v>1096</v>
      </c>
      <c r="P37" s="365"/>
    </row>
    <row r="38" spans="1:16" s="474" customFormat="1" ht="31.2" x14ac:dyDescent="0.35">
      <c r="A38" s="467"/>
      <c r="B38" s="549" t="s">
        <v>1231</v>
      </c>
      <c r="C38" s="550" t="s">
        <v>1093</v>
      </c>
      <c r="D38" s="476"/>
      <c r="E38" s="476"/>
      <c r="F38" s="476"/>
      <c r="G38" s="476"/>
      <c r="H38" s="551"/>
      <c r="I38" s="552" t="s">
        <v>1225</v>
      </c>
      <c r="J38" s="371" t="s">
        <v>586</v>
      </c>
      <c r="K38" s="553">
        <f>106000-250</f>
        <v>105750</v>
      </c>
      <c r="L38" s="470"/>
      <c r="M38" s="554">
        <v>105750</v>
      </c>
      <c r="N38" s="470"/>
      <c r="O38" s="1280" t="s">
        <v>151</v>
      </c>
      <c r="P38" s="476"/>
    </row>
    <row r="39" spans="1:16" s="366" customFormat="1" ht="31.2" x14ac:dyDescent="0.35">
      <c r="A39" s="1052"/>
      <c r="B39" s="459" t="s">
        <v>1281</v>
      </c>
      <c r="C39" s="451" t="s">
        <v>1094</v>
      </c>
      <c r="D39" s="365"/>
      <c r="E39" s="365"/>
      <c r="F39" s="365"/>
      <c r="G39" s="365"/>
      <c r="H39" s="365"/>
      <c r="I39" s="452" t="s">
        <v>1280</v>
      </c>
      <c r="J39" s="363" t="s">
        <v>586</v>
      </c>
      <c r="K39" s="457">
        <f>53000-53000</f>
        <v>0</v>
      </c>
      <c r="L39" s="470"/>
      <c r="M39" s="554"/>
      <c r="N39" s="448"/>
      <c r="O39" s="1281"/>
      <c r="P39" s="365"/>
    </row>
    <row r="40" spans="1:16" s="366" customFormat="1" ht="31.2" x14ac:dyDescent="0.35">
      <c r="A40" s="1052"/>
      <c r="B40" s="459" t="s">
        <v>1283</v>
      </c>
      <c r="C40" s="451" t="s">
        <v>1094</v>
      </c>
      <c r="D40" s="365"/>
      <c r="E40" s="365"/>
      <c r="F40" s="365"/>
      <c r="G40" s="365"/>
      <c r="H40" s="365"/>
      <c r="I40" s="452" t="s">
        <v>1282</v>
      </c>
      <c r="J40" s="363" t="s">
        <v>586</v>
      </c>
      <c r="K40" s="457">
        <f>106000-106000</f>
        <v>0</v>
      </c>
      <c r="L40" s="470"/>
      <c r="M40" s="554"/>
      <c r="N40" s="448"/>
      <c r="O40" s="1281"/>
      <c r="P40" s="365"/>
    </row>
    <row r="41" spans="1:16" s="366" customFormat="1" ht="18" x14ac:dyDescent="0.35">
      <c r="A41" s="1052"/>
      <c r="B41" s="459" t="s">
        <v>751</v>
      </c>
      <c r="C41" s="451" t="s">
        <v>1094</v>
      </c>
      <c r="D41" s="365"/>
      <c r="E41" s="365"/>
      <c r="F41" s="365"/>
      <c r="G41" s="365"/>
      <c r="H41" s="365"/>
      <c r="I41" s="452" t="s">
        <v>1286</v>
      </c>
      <c r="J41" s="363" t="s">
        <v>586</v>
      </c>
      <c r="K41" s="457">
        <f>212000-212000</f>
        <v>0</v>
      </c>
      <c r="L41" s="470"/>
      <c r="M41" s="554"/>
      <c r="N41" s="448"/>
      <c r="O41" s="1283"/>
      <c r="P41" s="365"/>
    </row>
    <row r="42" spans="1:16" s="366" customFormat="1" ht="62.4" hidden="1" x14ac:dyDescent="0.35">
      <c r="A42" s="1052"/>
      <c r="B42" s="478" t="s">
        <v>1181</v>
      </c>
      <c r="C42" s="451" t="s">
        <v>1180</v>
      </c>
      <c r="D42" s="365"/>
      <c r="E42" s="365"/>
      <c r="F42" s="365"/>
      <c r="G42" s="365"/>
      <c r="H42" s="555"/>
      <c r="I42" s="452" t="s">
        <v>752</v>
      </c>
      <c r="J42" s="363" t="s">
        <v>813</v>
      </c>
      <c r="K42" s="457"/>
      <c r="L42" s="470"/>
      <c r="M42" s="554"/>
      <c r="N42" s="448"/>
      <c r="O42" s="529" t="s">
        <v>1179</v>
      </c>
      <c r="P42" s="365"/>
    </row>
    <row r="43" spans="1:16" s="366" customFormat="1" ht="31.2" x14ac:dyDescent="0.35">
      <c r="A43" s="1052"/>
      <c r="B43" s="478" t="s">
        <v>748</v>
      </c>
      <c r="C43" s="451" t="s">
        <v>1284</v>
      </c>
      <c r="D43" s="365"/>
      <c r="E43" s="365"/>
      <c r="F43" s="365"/>
      <c r="G43" s="365"/>
      <c r="H43" s="555"/>
      <c r="I43" s="452" t="s">
        <v>1285</v>
      </c>
      <c r="J43" s="363" t="s">
        <v>586</v>
      </c>
      <c r="K43" s="457">
        <v>100000</v>
      </c>
      <c r="L43" s="470"/>
      <c r="M43" s="554"/>
      <c r="N43" s="448"/>
      <c r="O43" s="556" t="s">
        <v>151</v>
      </c>
      <c r="P43" s="365"/>
    </row>
    <row r="44" spans="1:16" s="366" customFormat="1" ht="31.2" x14ac:dyDescent="0.35">
      <c r="A44" s="1052"/>
      <c r="B44" s="459" t="s">
        <v>918</v>
      </c>
      <c r="C44" s="451" t="s">
        <v>1095</v>
      </c>
      <c r="D44" s="448"/>
      <c r="E44" s="448"/>
      <c r="F44" s="448"/>
      <c r="G44" s="448"/>
      <c r="H44" s="547"/>
      <c r="I44" s="452" t="s">
        <v>1332</v>
      </c>
      <c r="J44" s="363" t="s">
        <v>613</v>
      </c>
      <c r="K44" s="457">
        <v>4819591.7</v>
      </c>
      <c r="L44" s="470"/>
      <c r="M44" s="569">
        <f>315426.44+431192.12+330694.17+459187.93+413932.84+335326+451818.86+499231+312060.68+328119.57+386375.53</f>
        <v>4263365.1399999997</v>
      </c>
      <c r="N44" s="448"/>
      <c r="O44" s="1288" t="s">
        <v>1097</v>
      </c>
      <c r="P44" s="365"/>
    </row>
    <row r="45" spans="1:16" s="366" customFormat="1" ht="18" x14ac:dyDescent="0.35">
      <c r="A45" s="1052"/>
      <c r="B45" s="459" t="s">
        <v>921</v>
      </c>
      <c r="C45" s="451" t="s">
        <v>1095</v>
      </c>
      <c r="D45" s="448"/>
      <c r="E45" s="448"/>
      <c r="F45" s="448"/>
      <c r="G45" s="448"/>
      <c r="H45" s="547"/>
      <c r="I45" s="452" t="s">
        <v>1333</v>
      </c>
      <c r="J45" s="363" t="s">
        <v>613</v>
      </c>
      <c r="K45" s="457">
        <f>2775762.7+47577.97-450000</f>
        <v>2373340.6700000004</v>
      </c>
      <c r="L45" s="470"/>
      <c r="M45" s="569">
        <f>141775.76+314481.03+172468.79+169088.79+163666.25+150093.37+198856.11+212818.77+106517.88+258408.58+128137.23</f>
        <v>2016312.56</v>
      </c>
      <c r="N45" s="448"/>
      <c r="O45" s="1317"/>
      <c r="P45" s="365"/>
    </row>
    <row r="46" spans="1:16" s="366" customFormat="1" ht="18" x14ac:dyDescent="0.35">
      <c r="A46" s="1052"/>
      <c r="B46" s="459" t="s">
        <v>924</v>
      </c>
      <c r="C46" s="451" t="s">
        <v>1095</v>
      </c>
      <c r="D46" s="365"/>
      <c r="E46" s="365"/>
      <c r="F46" s="365"/>
      <c r="G46" s="365"/>
      <c r="H46" s="365"/>
      <c r="I46" s="452" t="s">
        <v>1334</v>
      </c>
      <c r="J46" s="363" t="s">
        <v>613</v>
      </c>
      <c r="K46" s="372">
        <f>4419004.25+800000-1040000</f>
        <v>4179004.25</v>
      </c>
      <c r="L46" s="470"/>
      <c r="M46" s="569">
        <f>240001.74+477497.23+367908.22+120949+287606.76+427107.66+193114.77+308152.38+365265.28+199039.47+281189.1+285363.62</f>
        <v>3553195.2300000004</v>
      </c>
      <c r="N46" s="448"/>
      <c r="O46" s="1317"/>
      <c r="P46" s="365"/>
    </row>
    <row r="47" spans="1:16" s="366" customFormat="1" ht="53.25" hidden="1" customHeight="1" x14ac:dyDescent="0.35">
      <c r="A47" s="1052"/>
      <c r="B47" s="521" t="s">
        <v>926</v>
      </c>
      <c r="C47" s="451" t="s">
        <v>1095</v>
      </c>
      <c r="D47" s="365"/>
      <c r="E47" s="365"/>
      <c r="F47" s="365"/>
      <c r="G47" s="365"/>
      <c r="H47" s="365"/>
      <c r="I47" s="484" t="s">
        <v>1194</v>
      </c>
      <c r="J47" s="389" t="s">
        <v>613</v>
      </c>
      <c r="K47" s="559"/>
      <c r="L47" s="470"/>
      <c r="M47" s="554"/>
      <c r="N47" s="448"/>
      <c r="O47" s="1290"/>
      <c r="P47" s="365"/>
    </row>
    <row r="48" spans="1:16" s="366" customFormat="1" ht="52.8" x14ac:dyDescent="0.35">
      <c r="A48" s="1052">
        <v>4</v>
      </c>
      <c r="B48" s="447" t="s">
        <v>1098</v>
      </c>
      <c r="C48" s="557"/>
      <c r="D48" s="448"/>
      <c r="E48" s="448"/>
      <c r="F48" s="448"/>
      <c r="G48" s="448"/>
      <c r="H48" s="448"/>
      <c r="I48" s="429" t="s">
        <v>1339</v>
      </c>
      <c r="J48" s="430"/>
      <c r="K48" s="449">
        <f>K50+K51+K52+K57+K54+K58+K56+K59+K49+K53+K55</f>
        <v>1990449.21</v>
      </c>
      <c r="L48" s="470"/>
      <c r="M48" s="449">
        <f>M50+M51+M52+M57+M54+M58+M56+M59+M49+M53+M55</f>
        <v>1170260.67</v>
      </c>
      <c r="N48" s="448"/>
      <c r="O48" s="432" t="s">
        <v>1160</v>
      </c>
      <c r="P48" s="365"/>
    </row>
    <row r="49" spans="1:16" s="366" customFormat="1" ht="31.8" x14ac:dyDescent="0.35">
      <c r="A49" s="1052"/>
      <c r="B49" s="558" t="s">
        <v>1249</v>
      </c>
      <c r="C49" s="451" t="s">
        <v>1099</v>
      </c>
      <c r="D49" s="365"/>
      <c r="E49" s="365"/>
      <c r="F49" s="365"/>
      <c r="G49" s="365"/>
      <c r="H49" s="365"/>
      <c r="I49" s="452" t="s">
        <v>1250</v>
      </c>
      <c r="J49" s="389" t="s">
        <v>586</v>
      </c>
      <c r="K49" s="661">
        <f>100000-78000-22000</f>
        <v>0</v>
      </c>
      <c r="L49" s="476"/>
      <c r="M49" s="445"/>
      <c r="N49" s="448"/>
      <c r="O49" s="520"/>
      <c r="P49" s="365"/>
    </row>
    <row r="50" spans="1:16" s="366" customFormat="1" ht="15.6" x14ac:dyDescent="0.3">
      <c r="A50" s="388"/>
      <c r="B50" s="459" t="s">
        <v>651</v>
      </c>
      <c r="C50" s="451" t="s">
        <v>1099</v>
      </c>
      <c r="D50" s="365"/>
      <c r="E50" s="365"/>
      <c r="F50" s="365"/>
      <c r="G50" s="365"/>
      <c r="H50" s="365"/>
      <c r="I50" s="452" t="s">
        <v>1248</v>
      </c>
      <c r="J50" s="389" t="s">
        <v>586</v>
      </c>
      <c r="K50" s="661">
        <f>564980-34980</f>
        <v>530000</v>
      </c>
      <c r="L50" s="476"/>
      <c r="M50" s="445">
        <v>530000</v>
      </c>
      <c r="N50" s="365"/>
      <c r="O50" s="1318"/>
      <c r="P50" s="365"/>
    </row>
    <row r="51" spans="1:16" s="366" customFormat="1" ht="31.2" hidden="1" x14ac:dyDescent="0.3">
      <c r="A51" s="388"/>
      <c r="B51" s="423" t="s">
        <v>1027</v>
      </c>
      <c r="C51" s="451" t="s">
        <v>1101</v>
      </c>
      <c r="D51" s="365"/>
      <c r="E51" s="365"/>
      <c r="F51" s="365"/>
      <c r="G51" s="365"/>
      <c r="H51" s="365"/>
      <c r="I51" s="452" t="s">
        <v>1100</v>
      </c>
      <c r="J51" s="363" t="s">
        <v>586</v>
      </c>
      <c r="K51" s="457">
        <f>100000-50000-50000</f>
        <v>0</v>
      </c>
      <c r="L51" s="476"/>
      <c r="M51" s="445"/>
      <c r="N51" s="365"/>
      <c r="O51" s="1320"/>
      <c r="P51" s="365"/>
    </row>
    <row r="52" spans="1:16" s="366" customFormat="1" ht="42.75" customHeight="1" x14ac:dyDescent="0.3">
      <c r="A52" s="388"/>
      <c r="B52" s="1293" t="s">
        <v>1376</v>
      </c>
      <c r="C52" s="451" t="s">
        <v>1101</v>
      </c>
      <c r="D52" s="365"/>
      <c r="E52" s="365"/>
      <c r="F52" s="365"/>
      <c r="G52" s="365"/>
      <c r="H52" s="365"/>
      <c r="I52" s="1295" t="s">
        <v>1266</v>
      </c>
      <c r="J52" s="363" t="s">
        <v>586</v>
      </c>
      <c r="K52" s="457">
        <f>800000-800000+279990</f>
        <v>279990</v>
      </c>
      <c r="L52" s="476"/>
      <c r="M52" s="445">
        <f>69880+69880</f>
        <v>139760</v>
      </c>
      <c r="N52" s="365"/>
      <c r="O52" s="1320"/>
      <c r="P52" s="365"/>
    </row>
    <row r="53" spans="1:16" s="366" customFormat="1" ht="42.75" customHeight="1" x14ac:dyDescent="0.3">
      <c r="A53" s="388"/>
      <c r="B53" s="1294"/>
      <c r="C53" s="451" t="s">
        <v>1377</v>
      </c>
      <c r="D53" s="365"/>
      <c r="E53" s="365"/>
      <c r="F53" s="365"/>
      <c r="G53" s="365"/>
      <c r="H53" s="365"/>
      <c r="I53" s="1296"/>
      <c r="J53" s="363" t="s">
        <v>813</v>
      </c>
      <c r="K53" s="457">
        <f>800000-279990</f>
        <v>520010</v>
      </c>
      <c r="L53" s="476"/>
      <c r="M53" s="445">
        <f>32500+90312+97956+24200+155532.67</f>
        <v>400500.67000000004</v>
      </c>
      <c r="N53" s="365"/>
      <c r="O53" s="1320"/>
      <c r="P53" s="367"/>
    </row>
    <row r="54" spans="1:16" s="366" customFormat="1" ht="15.6" x14ac:dyDescent="0.3">
      <c r="A54" s="1443"/>
      <c r="B54" s="1297" t="s">
        <v>706</v>
      </c>
      <c r="C54" s="451" t="s">
        <v>1101</v>
      </c>
      <c r="D54" s="365"/>
      <c r="E54" s="365"/>
      <c r="F54" s="365"/>
      <c r="G54" s="365"/>
      <c r="H54" s="365"/>
      <c r="I54" s="1295" t="s">
        <v>1267</v>
      </c>
      <c r="J54" s="363" t="s">
        <v>586</v>
      </c>
      <c r="K54" s="457">
        <f>380449.21-380449.21</f>
        <v>0</v>
      </c>
      <c r="L54" s="476"/>
      <c r="M54" s="445"/>
      <c r="N54" s="365"/>
      <c r="O54" s="1320"/>
      <c r="P54" s="367"/>
    </row>
    <row r="55" spans="1:16" s="366" customFormat="1" ht="15.6" x14ac:dyDescent="0.3">
      <c r="A55" s="1308"/>
      <c r="B55" s="1299"/>
      <c r="C55" s="451" t="s">
        <v>1377</v>
      </c>
      <c r="D55" s="365"/>
      <c r="E55" s="365"/>
      <c r="F55" s="365"/>
      <c r="G55" s="365"/>
      <c r="H55" s="365"/>
      <c r="I55" s="1296"/>
      <c r="J55" s="363" t="s">
        <v>813</v>
      </c>
      <c r="K55" s="457">
        <v>580449.21</v>
      </c>
      <c r="L55" s="476"/>
      <c r="M55" s="445">
        <v>20000</v>
      </c>
      <c r="N55" s="365"/>
      <c r="O55" s="1467"/>
      <c r="P55" s="367"/>
    </row>
    <row r="56" spans="1:16" s="366" customFormat="1" ht="15.6" x14ac:dyDescent="0.3">
      <c r="A56" s="388"/>
      <c r="B56" s="423" t="s">
        <v>1362</v>
      </c>
      <c r="C56" s="451" t="s">
        <v>1101</v>
      </c>
      <c r="D56" s="365"/>
      <c r="E56" s="365"/>
      <c r="F56" s="365"/>
      <c r="G56" s="365"/>
      <c r="H56" s="365"/>
      <c r="I56" s="452" t="s">
        <v>1363</v>
      </c>
      <c r="J56" s="363" t="s">
        <v>586</v>
      </c>
      <c r="K56" s="457">
        <v>78000</v>
      </c>
      <c r="L56" s="476"/>
      <c r="M56" s="445">
        <v>78000</v>
      </c>
      <c r="N56" s="365"/>
      <c r="O56" s="1320"/>
      <c r="P56" s="367"/>
    </row>
    <row r="57" spans="1:16" s="366" customFormat="1" ht="31.2" hidden="1" x14ac:dyDescent="0.3">
      <c r="A57" s="388"/>
      <c r="B57" s="459" t="s">
        <v>1158</v>
      </c>
      <c r="C57" s="451" t="s">
        <v>1159</v>
      </c>
      <c r="D57" s="365"/>
      <c r="E57" s="365"/>
      <c r="F57" s="365"/>
      <c r="G57" s="365"/>
      <c r="H57" s="365"/>
      <c r="I57" s="480" t="s">
        <v>707</v>
      </c>
      <c r="J57" s="363" t="s">
        <v>813</v>
      </c>
      <c r="K57" s="372"/>
      <c r="L57" s="476"/>
      <c r="M57" s="445"/>
      <c r="N57" s="365"/>
      <c r="O57" s="1321"/>
    </row>
    <row r="58" spans="1:16" s="366" customFormat="1" ht="31.2" x14ac:dyDescent="0.3">
      <c r="A58" s="388"/>
      <c r="B58" s="459" t="s">
        <v>1237</v>
      </c>
      <c r="C58" s="451" t="s">
        <v>1170</v>
      </c>
      <c r="D58" s="365"/>
      <c r="E58" s="365"/>
      <c r="F58" s="365"/>
      <c r="G58" s="365"/>
      <c r="H58" s="365"/>
      <c r="I58" s="389" t="s">
        <v>1238</v>
      </c>
      <c r="J58" s="389" t="s">
        <v>586</v>
      </c>
      <c r="K58" s="559">
        <f>214402.11-212402.11</f>
        <v>2000</v>
      </c>
      <c r="L58" s="476"/>
      <c r="M58" s="445">
        <v>2000</v>
      </c>
      <c r="N58" s="365"/>
      <c r="O58" s="1040"/>
    </row>
    <row r="59" spans="1:16" s="366" customFormat="1" ht="46.8" hidden="1" x14ac:dyDescent="0.3">
      <c r="A59" s="388"/>
      <c r="B59" s="521" t="s">
        <v>1195</v>
      </c>
      <c r="C59" s="451" t="s">
        <v>1101</v>
      </c>
      <c r="D59" s="365"/>
      <c r="E59" s="365"/>
      <c r="F59" s="365"/>
      <c r="G59" s="365"/>
      <c r="H59" s="365"/>
      <c r="I59" s="484" t="s">
        <v>1196</v>
      </c>
      <c r="J59" s="389" t="s">
        <v>586</v>
      </c>
      <c r="K59" s="559"/>
      <c r="L59" s="476"/>
      <c r="M59" s="661"/>
      <c r="N59" s="365"/>
      <c r="O59" s="1040"/>
    </row>
    <row r="60" spans="1:16" s="366" customFormat="1" ht="54" x14ac:dyDescent="0.35">
      <c r="A60" s="1052">
        <v>5</v>
      </c>
      <c r="B60" s="447" t="s">
        <v>1102</v>
      </c>
      <c r="C60" s="448"/>
      <c r="D60" s="448"/>
      <c r="E60" s="448"/>
      <c r="F60" s="448"/>
      <c r="G60" s="448"/>
      <c r="H60" s="448"/>
      <c r="I60" s="429" t="s">
        <v>1340</v>
      </c>
      <c r="J60" s="430"/>
      <c r="K60" s="449">
        <f>K64+K65+K67+K62+K61+K63+K66</f>
        <v>23617073.73</v>
      </c>
      <c r="L60" s="470"/>
      <c r="M60" s="449">
        <f>M64+M65+M67+M62+M61+M63+M66</f>
        <v>12961716.809999999</v>
      </c>
      <c r="N60" s="448"/>
      <c r="O60" s="432" t="s">
        <v>1183</v>
      </c>
    </row>
    <row r="61" spans="1:16" s="366" customFormat="1" ht="26.25" customHeight="1" x14ac:dyDescent="0.35">
      <c r="A61" s="1052"/>
      <c r="B61" s="660" t="s">
        <v>1197</v>
      </c>
      <c r="C61" s="451" t="s">
        <v>1103</v>
      </c>
      <c r="D61" s="448"/>
      <c r="E61" s="448"/>
      <c r="F61" s="448"/>
      <c r="G61" s="448"/>
      <c r="H61" s="448"/>
      <c r="I61" s="1334" t="s">
        <v>1364</v>
      </c>
      <c r="J61" s="389" t="s">
        <v>586</v>
      </c>
      <c r="K61" s="464">
        <f>5385000-924000+1504587.33-1780000-240000-135921.51+869552.77+6463288.07+6981324.87</f>
        <v>18123831.530000001</v>
      </c>
      <c r="L61" s="742"/>
      <c r="M61" s="496">
        <f>85000+150096.77+460670.11+260000+7410159.88</f>
        <v>8365926.7599999998</v>
      </c>
      <c r="N61" s="448"/>
      <c r="O61" s="454" t="s">
        <v>151</v>
      </c>
    </row>
    <row r="62" spans="1:16" s="366" customFormat="1" ht="62.4" x14ac:dyDescent="0.35">
      <c r="A62" s="1052"/>
      <c r="B62" s="455" t="s">
        <v>1184</v>
      </c>
      <c r="C62" s="451" t="s">
        <v>1400</v>
      </c>
      <c r="D62" s="448"/>
      <c r="E62" s="448"/>
      <c r="F62" s="448"/>
      <c r="G62" s="448"/>
      <c r="H62" s="448"/>
      <c r="I62" s="1296"/>
      <c r="J62" s="430">
        <v>500</v>
      </c>
      <c r="K62" s="457">
        <f>924000+780000+383767.3+190000</f>
        <v>2277767.2999999998</v>
      </c>
      <c r="L62" s="470"/>
      <c r="M62" s="457">
        <f>924000+780000+143767.3+240000+190000</f>
        <v>2277767.2999999998</v>
      </c>
      <c r="N62" s="448"/>
      <c r="O62" s="456" t="s">
        <v>1179</v>
      </c>
    </row>
    <row r="63" spans="1:16" s="366" customFormat="1" ht="47.4" x14ac:dyDescent="0.35">
      <c r="A63" s="1052"/>
      <c r="B63" s="831" t="s">
        <v>1402</v>
      </c>
      <c r="C63" s="451" t="s">
        <v>1400</v>
      </c>
      <c r="D63" s="448"/>
      <c r="E63" s="448"/>
      <c r="F63" s="448"/>
      <c r="G63" s="448"/>
      <c r="H63" s="448"/>
      <c r="I63" s="452" t="s">
        <v>1401</v>
      </c>
      <c r="J63" s="430">
        <v>500</v>
      </c>
      <c r="K63" s="457">
        <f>340000+400000</f>
        <v>740000</v>
      </c>
      <c r="L63" s="470"/>
      <c r="M63" s="582">
        <f>340000+80000</f>
        <v>420000</v>
      </c>
      <c r="N63" s="448"/>
      <c r="O63" s="1027"/>
    </row>
    <row r="64" spans="1:16" s="366" customFormat="1" ht="31.2" hidden="1" x14ac:dyDescent="0.3">
      <c r="A64" s="388"/>
      <c r="B64" s="459" t="s">
        <v>822</v>
      </c>
      <c r="C64" s="451" t="s">
        <v>1105</v>
      </c>
      <c r="D64" s="365"/>
      <c r="E64" s="365"/>
      <c r="F64" s="365"/>
      <c r="G64" s="365"/>
      <c r="H64" s="365"/>
      <c r="I64" s="452" t="s">
        <v>823</v>
      </c>
      <c r="J64" s="363" t="s">
        <v>613</v>
      </c>
      <c r="K64" s="457"/>
      <c r="L64" s="476"/>
      <c r="M64" s="445"/>
      <c r="N64" s="365"/>
      <c r="O64" s="1322" t="s">
        <v>968</v>
      </c>
    </row>
    <row r="65" spans="1:16" s="366" customFormat="1" ht="15.6" hidden="1" x14ac:dyDescent="0.3">
      <c r="A65" s="460"/>
      <c r="B65" s="459" t="s">
        <v>825</v>
      </c>
      <c r="C65" s="451" t="s">
        <v>1105</v>
      </c>
      <c r="D65" s="461"/>
      <c r="E65" s="461"/>
      <c r="F65" s="461"/>
      <c r="G65" s="461"/>
      <c r="H65" s="461"/>
      <c r="I65" s="452" t="s">
        <v>826</v>
      </c>
      <c r="J65" s="363" t="s">
        <v>613</v>
      </c>
      <c r="K65" s="457"/>
      <c r="L65" s="476"/>
      <c r="M65" s="445"/>
      <c r="N65" s="461"/>
      <c r="O65" s="1323"/>
      <c r="P65" s="462"/>
    </row>
    <row r="66" spans="1:16" s="366" customFormat="1" ht="15.6" x14ac:dyDescent="0.3">
      <c r="A66" s="1483"/>
      <c r="B66" s="1293" t="s">
        <v>828</v>
      </c>
      <c r="C66" s="451" t="s">
        <v>1142</v>
      </c>
      <c r="D66" s="365"/>
      <c r="E66" s="365"/>
      <c r="F66" s="365"/>
      <c r="G66" s="365"/>
      <c r="H66" s="365"/>
      <c r="I66" s="452" t="s">
        <v>1306</v>
      </c>
      <c r="J66" s="363" t="s">
        <v>613</v>
      </c>
      <c r="K66" s="457">
        <v>681008.52</v>
      </c>
      <c r="L66" s="476"/>
      <c r="M66" s="445">
        <f>248004.2+433004.32</f>
        <v>681008.52</v>
      </c>
      <c r="N66" s="461"/>
      <c r="O66" s="1323"/>
      <c r="P66" s="462"/>
    </row>
    <row r="67" spans="1:16" s="366" customFormat="1" ht="15.6" x14ac:dyDescent="0.3">
      <c r="A67" s="1484"/>
      <c r="B67" s="1415"/>
      <c r="C67" s="451" t="s">
        <v>1105</v>
      </c>
      <c r="D67" s="365"/>
      <c r="E67" s="365"/>
      <c r="F67" s="365"/>
      <c r="G67" s="365"/>
      <c r="H67" s="365"/>
      <c r="I67" s="452" t="s">
        <v>1306</v>
      </c>
      <c r="J67" s="363" t="s">
        <v>613</v>
      </c>
      <c r="K67" s="464">
        <f>3500000-681008.52-900000-124525.1</f>
        <v>1794466.38</v>
      </c>
      <c r="L67" s="476"/>
      <c r="M67" s="445">
        <f>198938.15+894441.74+123634.34</f>
        <v>1217014.23</v>
      </c>
      <c r="N67" s="365"/>
      <c r="O67" s="1324"/>
    </row>
    <row r="68" spans="1:16" s="366" customFormat="1" ht="54" x14ac:dyDescent="0.35">
      <c r="A68" s="1052">
        <v>6</v>
      </c>
      <c r="B68" s="447" t="s">
        <v>1106</v>
      </c>
      <c r="C68" s="557"/>
      <c r="D68" s="448"/>
      <c r="E68" s="448"/>
      <c r="F68" s="448"/>
      <c r="G68" s="448"/>
      <c r="H68" s="448"/>
      <c r="I68" s="429" t="s">
        <v>1341</v>
      </c>
      <c r="J68" s="430"/>
      <c r="K68" s="449">
        <f>K69</f>
        <v>50000</v>
      </c>
      <c r="L68" s="470"/>
      <c r="M68" s="449">
        <f>M69</f>
        <v>49999.990000000005</v>
      </c>
      <c r="N68" s="448"/>
      <c r="O68" s="432" t="s">
        <v>151</v>
      </c>
    </row>
    <row r="69" spans="1:16" s="366" customFormat="1" ht="31.2" x14ac:dyDescent="0.3">
      <c r="A69" s="561"/>
      <c r="B69" s="459" t="s">
        <v>728</v>
      </c>
      <c r="C69" s="387" t="s">
        <v>1107</v>
      </c>
      <c r="D69" s="562"/>
      <c r="E69" s="562"/>
      <c r="F69" s="562"/>
      <c r="G69" s="562"/>
      <c r="H69" s="562"/>
      <c r="I69" s="452" t="s">
        <v>1273</v>
      </c>
      <c r="J69" s="363" t="s">
        <v>586</v>
      </c>
      <c r="K69" s="457">
        <v>50000</v>
      </c>
      <c r="L69" s="476"/>
      <c r="M69" s="445">
        <f>23000+26999.99</f>
        <v>49999.990000000005</v>
      </c>
      <c r="N69" s="365"/>
      <c r="O69" s="563"/>
    </row>
    <row r="70" spans="1:16" s="474" customFormat="1" ht="36" x14ac:dyDescent="0.35">
      <c r="A70" s="467">
        <v>7</v>
      </c>
      <c r="B70" s="468" t="s">
        <v>1108</v>
      </c>
      <c r="C70" s="469"/>
      <c r="D70" s="470"/>
      <c r="E70" s="470"/>
      <c r="F70" s="470"/>
      <c r="G70" s="470"/>
      <c r="H70" s="470"/>
      <c r="I70" s="471" t="s">
        <v>1342</v>
      </c>
      <c r="J70" s="472"/>
      <c r="K70" s="473">
        <f>K71+K72+K73</f>
        <v>26551599.059999999</v>
      </c>
      <c r="L70" s="470"/>
      <c r="M70" s="473">
        <f>M71+M72+M73</f>
        <v>2065343.3</v>
      </c>
      <c r="N70" s="470"/>
      <c r="O70" s="432" t="s">
        <v>151</v>
      </c>
    </row>
    <row r="71" spans="1:16" s="474" customFormat="1" ht="46.8" x14ac:dyDescent="0.3">
      <c r="A71" s="475"/>
      <c r="B71" s="423" t="s">
        <v>697</v>
      </c>
      <c r="C71" s="395" t="s">
        <v>1109</v>
      </c>
      <c r="D71" s="476"/>
      <c r="E71" s="476"/>
      <c r="F71" s="476"/>
      <c r="G71" s="476"/>
      <c r="H71" s="476"/>
      <c r="I71" s="477" t="s">
        <v>1262</v>
      </c>
      <c r="J71" s="371" t="s">
        <v>700</v>
      </c>
      <c r="K71" s="457">
        <v>2500000</v>
      </c>
      <c r="L71" s="476"/>
      <c r="M71" s="445">
        <f>1065343.3-1065343.3</f>
        <v>0</v>
      </c>
      <c r="N71" s="476"/>
      <c r="O71" s="1325"/>
    </row>
    <row r="72" spans="1:16" s="366" customFormat="1" ht="31.2" x14ac:dyDescent="0.3">
      <c r="A72" s="388"/>
      <c r="B72" s="459" t="s">
        <v>768</v>
      </c>
      <c r="C72" s="387" t="s">
        <v>1111</v>
      </c>
      <c r="D72" s="365"/>
      <c r="E72" s="365"/>
      <c r="F72" s="365"/>
      <c r="G72" s="365"/>
      <c r="H72" s="365"/>
      <c r="I72" s="452" t="s">
        <v>1289</v>
      </c>
      <c r="J72" s="363" t="s">
        <v>764</v>
      </c>
      <c r="K72" s="457">
        <v>1000000</v>
      </c>
      <c r="L72" s="476"/>
      <c r="M72" s="445">
        <v>1000000</v>
      </c>
      <c r="N72" s="365"/>
      <c r="O72" s="1326"/>
    </row>
    <row r="73" spans="1:16" s="366" customFormat="1" ht="46.8" x14ac:dyDescent="0.3">
      <c r="A73" s="388"/>
      <c r="B73" s="423" t="s">
        <v>1360</v>
      </c>
      <c r="C73" s="387" t="s">
        <v>1109</v>
      </c>
      <c r="D73" s="365"/>
      <c r="E73" s="365"/>
      <c r="F73" s="365"/>
      <c r="G73" s="365"/>
      <c r="H73" s="365"/>
      <c r="I73" s="452" t="s">
        <v>1359</v>
      </c>
      <c r="J73" s="363" t="s">
        <v>700</v>
      </c>
      <c r="K73" s="457">
        <f>18304436.83+5535587.23-788425</f>
        <v>23051599.059999999</v>
      </c>
      <c r="L73" s="476"/>
      <c r="M73" s="743">
        <v>1065343.3</v>
      </c>
      <c r="N73" s="365"/>
      <c r="O73" s="1041"/>
    </row>
    <row r="74" spans="1:16" s="366" customFormat="1" ht="35.4" x14ac:dyDescent="0.35">
      <c r="A74" s="425">
        <v>8</v>
      </c>
      <c r="B74" s="437" t="s">
        <v>561</v>
      </c>
      <c r="C74" s="427"/>
      <c r="D74" s="428"/>
      <c r="E74" s="428"/>
      <c r="F74" s="428"/>
      <c r="G74" s="428"/>
      <c r="H74" s="428"/>
      <c r="I74" s="429" t="s">
        <v>1343</v>
      </c>
      <c r="J74" s="430"/>
      <c r="K74" s="744">
        <f>K75+K76+K77+K78+K79</f>
        <v>187534</v>
      </c>
      <c r="L74" s="568"/>
      <c r="M74" s="744">
        <f>M75+M76+M77+M78+M79</f>
        <v>86901.5</v>
      </c>
      <c r="N74" s="428"/>
      <c r="O74" s="432" t="s">
        <v>151</v>
      </c>
    </row>
    <row r="75" spans="1:16" s="366" customFormat="1" ht="31.2" x14ac:dyDescent="0.3">
      <c r="A75" s="388"/>
      <c r="B75" s="459" t="s">
        <v>684</v>
      </c>
      <c r="C75" s="387" t="s">
        <v>1114</v>
      </c>
      <c r="D75" s="365"/>
      <c r="E75" s="365"/>
      <c r="F75" s="365"/>
      <c r="G75" s="365"/>
      <c r="H75" s="365"/>
      <c r="I75" s="452" t="s">
        <v>1259</v>
      </c>
      <c r="J75" s="363" t="s">
        <v>528</v>
      </c>
      <c r="K75" s="464">
        <f>106000+75000</f>
        <v>181000</v>
      </c>
      <c r="L75" s="476"/>
      <c r="M75" s="445">
        <v>80367.5</v>
      </c>
      <c r="N75" s="365"/>
      <c r="O75" s="1325"/>
    </row>
    <row r="76" spans="1:16" s="366" customFormat="1" ht="62.4" x14ac:dyDescent="0.3">
      <c r="A76" s="388"/>
      <c r="B76" s="459" t="s">
        <v>687</v>
      </c>
      <c r="C76" s="387" t="s">
        <v>1114</v>
      </c>
      <c r="D76" s="365"/>
      <c r="E76" s="365"/>
      <c r="F76" s="365"/>
      <c r="G76" s="365"/>
      <c r="H76" s="365"/>
      <c r="I76" s="452" t="s">
        <v>1260</v>
      </c>
      <c r="J76" s="363" t="s">
        <v>528</v>
      </c>
      <c r="K76" s="464">
        <f>53000-53000</f>
        <v>0</v>
      </c>
      <c r="L76" s="476"/>
      <c r="M76" s="445"/>
      <c r="N76" s="365"/>
      <c r="O76" s="1432"/>
    </row>
    <row r="77" spans="1:16" s="366" customFormat="1" ht="31.2" x14ac:dyDescent="0.3">
      <c r="A77" s="388"/>
      <c r="B77" s="459" t="s">
        <v>690</v>
      </c>
      <c r="C77" s="1034" t="s">
        <v>1114</v>
      </c>
      <c r="D77" s="482"/>
      <c r="E77" s="482"/>
      <c r="F77" s="482"/>
      <c r="G77" s="482"/>
      <c r="H77" s="482"/>
      <c r="I77" s="480" t="s">
        <v>1261</v>
      </c>
      <c r="J77" s="564" t="s">
        <v>586</v>
      </c>
      <c r="K77" s="650">
        <f>24000-17466</f>
        <v>6534</v>
      </c>
      <c r="L77" s="476"/>
      <c r="M77" s="445">
        <v>6534</v>
      </c>
      <c r="N77" s="365"/>
      <c r="O77" s="1326"/>
    </row>
    <row r="78" spans="1:16" s="366" customFormat="1" ht="31.2" x14ac:dyDescent="0.3">
      <c r="A78" s="388"/>
      <c r="B78" s="565" t="s">
        <v>1171</v>
      </c>
      <c r="C78" s="387" t="s">
        <v>1172</v>
      </c>
      <c r="D78" s="365"/>
      <c r="E78" s="365"/>
      <c r="F78" s="365"/>
      <c r="G78" s="365"/>
      <c r="H78" s="365"/>
      <c r="I78" s="389" t="s">
        <v>1246</v>
      </c>
      <c r="J78" s="389" t="s">
        <v>528</v>
      </c>
      <c r="K78" s="669">
        <f>31800-31800</f>
        <v>0</v>
      </c>
      <c r="L78" s="476"/>
      <c r="M78" s="445"/>
      <c r="N78" s="365"/>
      <c r="O78" s="1041"/>
    </row>
    <row r="79" spans="1:16" s="366" customFormat="1" ht="62.4" x14ac:dyDescent="0.3">
      <c r="A79" s="388"/>
      <c r="B79" s="565" t="s">
        <v>1173</v>
      </c>
      <c r="C79" s="387" t="s">
        <v>1172</v>
      </c>
      <c r="D79" s="365"/>
      <c r="E79" s="365"/>
      <c r="F79" s="365"/>
      <c r="G79" s="365"/>
      <c r="H79" s="365"/>
      <c r="I79" s="389" t="s">
        <v>1247</v>
      </c>
      <c r="J79" s="389" t="s">
        <v>528</v>
      </c>
      <c r="K79" s="559">
        <f>19080-19080</f>
        <v>0</v>
      </c>
      <c r="L79" s="476"/>
      <c r="M79" s="445"/>
      <c r="N79" s="365"/>
      <c r="O79" s="1041"/>
    </row>
    <row r="80" spans="1:16" s="366" customFormat="1" ht="36" x14ac:dyDescent="0.35">
      <c r="A80" s="1052">
        <v>9</v>
      </c>
      <c r="B80" s="566" t="s">
        <v>560</v>
      </c>
      <c r="C80" s="365"/>
      <c r="D80" s="365"/>
      <c r="E80" s="365"/>
      <c r="F80" s="365"/>
      <c r="G80" s="365"/>
      <c r="H80" s="365"/>
      <c r="I80" s="429" t="s">
        <v>1344</v>
      </c>
      <c r="J80" s="430"/>
      <c r="K80" s="473">
        <f>K81+K82+K83+K84+K85</f>
        <v>5798058.5099999998</v>
      </c>
      <c r="L80" s="476"/>
      <c r="M80" s="473">
        <f>M81+M82+M83+M84+M85</f>
        <v>1727424.09</v>
      </c>
      <c r="N80" s="365"/>
      <c r="O80" s="432" t="s">
        <v>151</v>
      </c>
    </row>
    <row r="81" spans="1:15" s="366" customFormat="1" ht="18" x14ac:dyDescent="0.35">
      <c r="A81" s="1052"/>
      <c r="B81" s="459" t="s">
        <v>787</v>
      </c>
      <c r="C81" s="387" t="s">
        <v>1116</v>
      </c>
      <c r="D81" s="365"/>
      <c r="E81" s="365"/>
      <c r="F81" s="365"/>
      <c r="G81" s="365"/>
      <c r="H81" s="365"/>
      <c r="I81" s="452" t="s">
        <v>1295</v>
      </c>
      <c r="J81" s="363" t="s">
        <v>586</v>
      </c>
      <c r="K81" s="464">
        <f>476999-100000</f>
        <v>376999</v>
      </c>
      <c r="L81" s="476"/>
      <c r="M81" s="445">
        <f>10146.64+26907+37893.28+15554.98+10789.64+16346.64+39510+630.21+35170.99+6286.64</f>
        <v>199236.02</v>
      </c>
      <c r="N81" s="365"/>
      <c r="O81" s="1325"/>
    </row>
    <row r="82" spans="1:15" s="366" customFormat="1" ht="15.6" x14ac:dyDescent="0.3">
      <c r="A82" s="388"/>
      <c r="B82" s="534" t="s">
        <v>781</v>
      </c>
      <c r="C82" s="387" t="s">
        <v>1115</v>
      </c>
      <c r="D82" s="365"/>
      <c r="E82" s="365"/>
      <c r="F82" s="365"/>
      <c r="G82" s="365"/>
      <c r="H82" s="365"/>
      <c r="I82" s="452" t="s">
        <v>1293</v>
      </c>
      <c r="J82" s="363" t="s">
        <v>586</v>
      </c>
      <c r="K82" s="464">
        <f>450000+928700-300000</f>
        <v>1078700</v>
      </c>
      <c r="L82" s="476"/>
      <c r="M82" s="445">
        <f>635000.01+98350</f>
        <v>733350.01</v>
      </c>
      <c r="N82" s="365"/>
      <c r="O82" s="1432"/>
    </row>
    <row r="83" spans="1:15" s="366" customFormat="1" ht="15.6" x14ac:dyDescent="0.3">
      <c r="A83" s="388"/>
      <c r="B83" s="459" t="s">
        <v>790</v>
      </c>
      <c r="C83" s="387" t="s">
        <v>1116</v>
      </c>
      <c r="D83" s="365"/>
      <c r="E83" s="365"/>
      <c r="F83" s="365"/>
      <c r="G83" s="365"/>
      <c r="H83" s="365"/>
      <c r="I83" s="452" t="s">
        <v>1296</v>
      </c>
      <c r="J83" s="363" t="s">
        <v>586</v>
      </c>
      <c r="K83" s="464">
        <f>529999-100000</f>
        <v>429999</v>
      </c>
      <c r="L83" s="476"/>
      <c r="M83" s="445">
        <f>189150-107882+28785.7+126022.27+15811.89+41200+60097.4+50946.8</f>
        <v>404132.06</v>
      </c>
      <c r="N83" s="365"/>
      <c r="O83" s="1432"/>
    </row>
    <row r="84" spans="1:15" s="366" customFormat="1" ht="31.2" x14ac:dyDescent="0.3">
      <c r="A84" s="388"/>
      <c r="B84" s="459" t="s">
        <v>784</v>
      </c>
      <c r="C84" s="387" t="s">
        <v>1115</v>
      </c>
      <c r="D84" s="365"/>
      <c r="E84" s="365"/>
      <c r="F84" s="365"/>
      <c r="G84" s="365"/>
      <c r="H84" s="365"/>
      <c r="I84" s="452" t="s">
        <v>1294</v>
      </c>
      <c r="J84" s="363" t="s">
        <v>586</v>
      </c>
      <c r="K84" s="464">
        <f>100000-50000-50000</f>
        <v>0</v>
      </c>
      <c r="L84" s="476"/>
      <c r="M84" s="445"/>
      <c r="N84" s="365"/>
      <c r="O84" s="1326"/>
    </row>
    <row r="85" spans="1:15" s="366" customFormat="1" ht="31.2" x14ac:dyDescent="0.3">
      <c r="A85" s="388"/>
      <c r="B85" s="521" t="s">
        <v>1297</v>
      </c>
      <c r="C85" s="387" t="s">
        <v>1116</v>
      </c>
      <c r="D85" s="365"/>
      <c r="E85" s="365"/>
      <c r="F85" s="365"/>
      <c r="G85" s="365"/>
      <c r="H85" s="365"/>
      <c r="I85" s="452" t="s">
        <v>1298</v>
      </c>
      <c r="J85" s="363" t="s">
        <v>700</v>
      </c>
      <c r="K85" s="457">
        <f>6000000-152000-1210622-633767.3-91250.19</f>
        <v>3912360.5100000002</v>
      </c>
      <c r="L85" s="476"/>
      <c r="M85" s="445">
        <f>290887+99819</f>
        <v>390706</v>
      </c>
      <c r="N85" s="365"/>
      <c r="O85" s="1041"/>
    </row>
    <row r="86" spans="1:15" s="366" customFormat="1" ht="70.2" x14ac:dyDescent="0.35">
      <c r="A86" s="1052">
        <v>10</v>
      </c>
      <c r="B86" s="447" t="s">
        <v>562</v>
      </c>
      <c r="C86" s="365"/>
      <c r="D86" s="365"/>
      <c r="E86" s="365"/>
      <c r="F86" s="365"/>
      <c r="G86" s="365"/>
      <c r="H86" s="365"/>
      <c r="I86" s="429" t="s">
        <v>1345</v>
      </c>
      <c r="J86" s="430"/>
      <c r="K86" s="473">
        <f>K87+K91+K94+K95+K97+K103+K106+K113+K115+K117+K116+K114+K118+K96+K112+K111+K93+K102+K92</f>
        <v>83429268.120000005</v>
      </c>
      <c r="L86" s="476"/>
      <c r="M86" s="473">
        <f>M87+M91+M94+M95+M97+M103+M106+M113+M115+M117+M116+M114+M118+M96+M112+M111+M93+M102+M92</f>
        <v>71288182.939999998</v>
      </c>
      <c r="N86" s="365"/>
      <c r="O86" s="432" t="s">
        <v>1135</v>
      </c>
    </row>
    <row r="87" spans="1:15" s="366" customFormat="1" ht="15.6" x14ac:dyDescent="0.3">
      <c r="A87" s="1428"/>
      <c r="B87" s="1346" t="s">
        <v>796</v>
      </c>
      <c r="C87" s="387" t="s">
        <v>1131</v>
      </c>
      <c r="D87" s="388"/>
      <c r="E87" s="388"/>
      <c r="F87" s="388"/>
      <c r="G87" s="388"/>
      <c r="H87" s="388"/>
      <c r="I87" s="389" t="s">
        <v>1299</v>
      </c>
      <c r="J87" s="363"/>
      <c r="K87" s="457">
        <f>K88+K89+K90</f>
        <v>10462254.289999999</v>
      </c>
      <c r="L87" s="476"/>
      <c r="M87" s="457">
        <f>M88+M89+M90</f>
        <v>8975310.7199999988</v>
      </c>
      <c r="N87" s="365"/>
      <c r="O87" s="1350" t="s">
        <v>1136</v>
      </c>
    </row>
    <row r="88" spans="1:15" s="366" customFormat="1" ht="15.6" x14ac:dyDescent="0.3">
      <c r="A88" s="1429"/>
      <c r="B88" s="1430"/>
      <c r="C88" s="887"/>
      <c r="D88" s="386"/>
      <c r="E88" s="386"/>
      <c r="F88" s="386"/>
      <c r="G88" s="386"/>
      <c r="H88" s="386"/>
      <c r="I88" s="888"/>
      <c r="J88" s="363" t="s">
        <v>162</v>
      </c>
      <c r="K88" s="457">
        <v>9687260.6099999994</v>
      </c>
      <c r="L88" s="476"/>
      <c r="M88" s="445">
        <f>524429.57+75+158298.21+536955.67+75+192902.57+568054.78+75+162342.28+648114.12+75+198805.22+573128.6+2476.7+169380.03+1012284.12+1094285.75+362322.37+3991+106547.75+533877.68+75+153615+674763.5+75+195898.49+593342.25+75+185246</f>
        <v>8651586.6600000001</v>
      </c>
      <c r="N88" s="365"/>
      <c r="O88" s="1431"/>
    </row>
    <row r="89" spans="1:15" s="366" customFormat="1" ht="15.6" x14ac:dyDescent="0.3">
      <c r="A89" s="1429"/>
      <c r="B89" s="1430"/>
      <c r="C89" s="887"/>
      <c r="D89" s="362"/>
      <c r="E89" s="362"/>
      <c r="F89" s="362"/>
      <c r="G89" s="362"/>
      <c r="H89" s="362"/>
      <c r="I89" s="888"/>
      <c r="J89" s="363" t="s">
        <v>586</v>
      </c>
      <c r="K89" s="457">
        <f>847600-84606.32</f>
        <v>762993.67999999993</v>
      </c>
      <c r="L89" s="476"/>
      <c r="M89" s="445">
        <f>815.14+20591.29+30465.97+12189.2+28272.17+30034.85+19269.7+57149.1+19560.63+73044.36+31507.45</f>
        <v>322899.86000000004</v>
      </c>
      <c r="N89" s="365"/>
      <c r="O89" s="1431"/>
    </row>
    <row r="90" spans="1:15" s="366" customFormat="1" ht="15.6" x14ac:dyDescent="0.3">
      <c r="A90" s="1345"/>
      <c r="B90" s="1299"/>
      <c r="C90" s="384"/>
      <c r="D90" s="362"/>
      <c r="E90" s="362"/>
      <c r="F90" s="362"/>
      <c r="G90" s="362"/>
      <c r="H90" s="362"/>
      <c r="I90" s="385"/>
      <c r="J90" s="363" t="s">
        <v>528</v>
      </c>
      <c r="K90" s="457">
        <v>12000</v>
      </c>
      <c r="L90" s="476"/>
      <c r="M90" s="445">
        <f>800+24.2</f>
        <v>824.2</v>
      </c>
      <c r="N90" s="365"/>
      <c r="O90" s="1431"/>
    </row>
    <row r="91" spans="1:15" s="366" customFormat="1" ht="78" x14ac:dyDescent="0.35">
      <c r="A91" s="1052"/>
      <c r="B91" s="478" t="s">
        <v>810</v>
      </c>
      <c r="C91" s="387" t="s">
        <v>1133</v>
      </c>
      <c r="D91" s="365"/>
      <c r="E91" s="365"/>
      <c r="F91" s="365"/>
      <c r="G91" s="365"/>
      <c r="H91" s="365"/>
      <c r="I91" s="452" t="s">
        <v>1302</v>
      </c>
      <c r="J91" s="363" t="s">
        <v>813</v>
      </c>
      <c r="K91" s="457">
        <v>18000000</v>
      </c>
      <c r="L91" s="476"/>
      <c r="M91" s="445">
        <f>2126908+1469292+2403796+1499999+1499999+1499999+1499999+1499999+1499999+1499999</f>
        <v>16499989</v>
      </c>
      <c r="N91" s="365"/>
      <c r="O91" s="1431"/>
    </row>
    <row r="92" spans="1:15" s="366" customFormat="1" ht="27" customHeight="1" x14ac:dyDescent="0.3">
      <c r="A92" s="1461"/>
      <c r="B92" s="1463" t="s">
        <v>1405</v>
      </c>
      <c r="C92" s="387" t="s">
        <v>1418</v>
      </c>
      <c r="D92" s="365"/>
      <c r="E92" s="365"/>
      <c r="F92" s="365"/>
      <c r="G92" s="365"/>
      <c r="H92" s="365"/>
      <c r="I92" s="1295" t="s">
        <v>1404</v>
      </c>
      <c r="J92" s="363" t="s">
        <v>813</v>
      </c>
      <c r="K92" s="457">
        <v>100000</v>
      </c>
      <c r="L92" s="476"/>
      <c r="M92" s="445">
        <v>100000</v>
      </c>
      <c r="N92" s="365"/>
      <c r="O92" s="1466"/>
    </row>
    <row r="93" spans="1:15" s="366" customFormat="1" ht="34.5" customHeight="1" x14ac:dyDescent="0.3">
      <c r="A93" s="1462"/>
      <c r="B93" s="1464"/>
      <c r="C93" s="387" t="s">
        <v>1403</v>
      </c>
      <c r="D93" s="365"/>
      <c r="E93" s="365"/>
      <c r="F93" s="365"/>
      <c r="G93" s="365"/>
      <c r="H93" s="365"/>
      <c r="I93" s="1296"/>
      <c r="J93" s="363" t="s">
        <v>813</v>
      </c>
      <c r="K93" s="457">
        <f>150000+210466.03</f>
        <v>360466.03</v>
      </c>
      <c r="L93" s="476"/>
      <c r="M93" s="445">
        <f>150000+210466.03</f>
        <v>360466.03</v>
      </c>
      <c r="N93" s="365"/>
      <c r="O93" s="1431"/>
    </row>
    <row r="94" spans="1:15" s="366" customFormat="1" ht="31.2" x14ac:dyDescent="0.35">
      <c r="A94" s="1052"/>
      <c r="B94" s="459" t="s">
        <v>805</v>
      </c>
      <c r="C94" s="387" t="s">
        <v>1132</v>
      </c>
      <c r="D94" s="365"/>
      <c r="E94" s="365"/>
      <c r="F94" s="365"/>
      <c r="G94" s="365"/>
      <c r="H94" s="365"/>
      <c r="I94" s="452" t="s">
        <v>1301</v>
      </c>
      <c r="J94" s="363" t="s">
        <v>808</v>
      </c>
      <c r="K94" s="457">
        <f>51963.84-51963.84</f>
        <v>0</v>
      </c>
      <c r="L94" s="476"/>
      <c r="M94" s="445"/>
      <c r="N94" s="365"/>
      <c r="O94" s="1431"/>
    </row>
    <row r="95" spans="1:15" s="366" customFormat="1" ht="18" x14ac:dyDescent="0.35">
      <c r="A95" s="889"/>
      <c r="B95" s="1297" t="s">
        <v>801</v>
      </c>
      <c r="C95" s="1372" t="s">
        <v>1131</v>
      </c>
      <c r="D95" s="890"/>
      <c r="E95" s="890"/>
      <c r="F95" s="890"/>
      <c r="G95" s="890"/>
      <c r="H95" s="890"/>
      <c r="I95" s="1295" t="s">
        <v>1300</v>
      </c>
      <c r="J95" s="363" t="s">
        <v>162</v>
      </c>
      <c r="K95" s="457">
        <f>600000+10000</f>
        <v>610000</v>
      </c>
      <c r="L95" s="476"/>
      <c r="M95" s="445">
        <f>30041.46+9072.51+32340.46+8828.94+38624.73+10544.55+33976.9+10661.72+35118.46+8201.31+38242.77+59610.06+68927.73+20816.17+7544.56+7211.4+39053.46+11794.15+30041.46+9072.51</f>
        <v>509725.31000000006</v>
      </c>
      <c r="N95" s="365"/>
      <c r="O95" s="1352"/>
    </row>
    <row r="96" spans="1:15" s="366" customFormat="1" ht="30.75" customHeight="1" x14ac:dyDescent="0.35">
      <c r="A96" s="494"/>
      <c r="B96" s="1299"/>
      <c r="C96" s="1348"/>
      <c r="D96" s="890"/>
      <c r="E96" s="890"/>
      <c r="F96" s="890"/>
      <c r="G96" s="890"/>
      <c r="H96" s="890"/>
      <c r="I96" s="1285"/>
      <c r="J96" s="363" t="s">
        <v>586</v>
      </c>
      <c r="K96" s="457"/>
      <c r="L96" s="476"/>
      <c r="M96" s="745"/>
      <c r="N96" s="365"/>
      <c r="O96" s="1048"/>
    </row>
    <row r="97" spans="1:15" s="366" customFormat="1" ht="15.6" x14ac:dyDescent="0.3">
      <c r="A97" s="1428"/>
      <c r="B97" s="1297" t="s">
        <v>904</v>
      </c>
      <c r="C97" s="387" t="s">
        <v>1134</v>
      </c>
      <c r="D97" s="388"/>
      <c r="E97" s="388"/>
      <c r="F97" s="388"/>
      <c r="G97" s="388"/>
      <c r="H97" s="388"/>
      <c r="I97" s="389" t="s">
        <v>1328</v>
      </c>
      <c r="J97" s="363"/>
      <c r="K97" s="457">
        <f>K98+K99+K100</f>
        <v>5332603.96</v>
      </c>
      <c r="L97" s="476"/>
      <c r="M97" s="457">
        <f>M98+M99+M100</f>
        <v>4611916.1399999997</v>
      </c>
      <c r="N97" s="365"/>
      <c r="O97" s="1288" t="s">
        <v>1097</v>
      </c>
    </row>
    <row r="98" spans="1:15" s="366" customFormat="1" ht="15.6" x14ac:dyDescent="0.3">
      <c r="A98" s="1429"/>
      <c r="B98" s="1430"/>
      <c r="C98" s="887"/>
      <c r="D98" s="386"/>
      <c r="E98" s="386"/>
      <c r="F98" s="386"/>
      <c r="G98" s="386"/>
      <c r="H98" s="386"/>
      <c r="I98" s="888"/>
      <c r="J98" s="363" t="s">
        <v>162</v>
      </c>
      <c r="K98" s="457">
        <v>5094348.96</v>
      </c>
      <c r="L98" s="476"/>
      <c r="M98" s="445">
        <f>267156.78+80681.33+323666.55+97747.31+286809.24+85408.41+372193.19+370.8+103763+293452.7+87623.72+368354.62+545951.71+242026.78+6525.8+73092.09+312056.18+12392.9+93032.97+294232.7+87650.27+270920.35+81817.95-120</f>
        <v>4386807.3499999996</v>
      </c>
      <c r="N98" s="365"/>
      <c r="O98" s="1441"/>
    </row>
    <row r="99" spans="1:15" s="366" customFormat="1" ht="15.6" x14ac:dyDescent="0.3">
      <c r="A99" s="1429"/>
      <c r="B99" s="1430"/>
      <c r="C99" s="887"/>
      <c r="D99" s="362"/>
      <c r="E99" s="362"/>
      <c r="F99" s="362"/>
      <c r="G99" s="362"/>
      <c r="H99" s="362"/>
      <c r="I99" s="888"/>
      <c r="J99" s="363" t="s">
        <v>586</v>
      </c>
      <c r="K99" s="457">
        <f>237874-2000-1000</f>
        <v>234874</v>
      </c>
      <c r="L99" s="476"/>
      <c r="M99" s="445">
        <f>2490+14256+5500+20000+10000+32261.6+4000+73944.71+59656.48</f>
        <v>222108.79</v>
      </c>
      <c r="N99" s="365"/>
      <c r="O99" s="1441"/>
    </row>
    <row r="100" spans="1:15" s="366" customFormat="1" ht="15.6" x14ac:dyDescent="0.3">
      <c r="A100" s="1345"/>
      <c r="B100" s="1299"/>
      <c r="C100" s="384"/>
      <c r="D100" s="362"/>
      <c r="E100" s="362"/>
      <c r="F100" s="362"/>
      <c r="G100" s="362"/>
      <c r="H100" s="362"/>
      <c r="I100" s="852"/>
      <c r="J100" s="363" t="s">
        <v>528</v>
      </c>
      <c r="K100" s="457">
        <f>381+2000+1000</f>
        <v>3381</v>
      </c>
      <c r="L100" s="476"/>
      <c r="M100" s="445">
        <f>2000+1000</f>
        <v>3000</v>
      </c>
      <c r="N100" s="365"/>
      <c r="O100" s="1290"/>
    </row>
    <row r="101" spans="1:15" s="366" customFormat="1" ht="18" hidden="1" x14ac:dyDescent="0.35">
      <c r="A101" s="891"/>
      <c r="B101" s="1033"/>
      <c r="C101" s="850"/>
      <c r="D101" s="851"/>
      <c r="E101" s="851"/>
      <c r="F101" s="851"/>
      <c r="G101" s="851"/>
      <c r="H101" s="851"/>
      <c r="I101" s="852"/>
      <c r="J101" s="564"/>
      <c r="K101" s="372"/>
      <c r="L101" s="932"/>
      <c r="M101" s="745"/>
      <c r="N101" s="365"/>
      <c r="O101" s="856"/>
    </row>
    <row r="102" spans="1:15" s="366" customFormat="1" ht="31.2" x14ac:dyDescent="0.3">
      <c r="A102" s="1442"/>
      <c r="B102" s="1408" t="s">
        <v>909</v>
      </c>
      <c r="C102" s="855" t="s">
        <v>1411</v>
      </c>
      <c r="D102" s="362"/>
      <c r="E102" s="362"/>
      <c r="F102" s="362"/>
      <c r="G102" s="362"/>
      <c r="H102" s="362"/>
      <c r="I102" s="389" t="s">
        <v>1329</v>
      </c>
      <c r="J102" s="363" t="s">
        <v>586</v>
      </c>
      <c r="K102" s="848">
        <f>200000+257000</f>
        <v>457000</v>
      </c>
      <c r="L102" s="476"/>
      <c r="M102" s="678">
        <v>300100.53999999998</v>
      </c>
      <c r="N102" s="365"/>
      <c r="O102" s="856" t="s">
        <v>151</v>
      </c>
    </row>
    <row r="103" spans="1:15" s="366" customFormat="1" ht="15.6" x14ac:dyDescent="0.3">
      <c r="A103" s="1442"/>
      <c r="B103" s="1408"/>
      <c r="C103" s="853" t="s">
        <v>1134</v>
      </c>
      <c r="D103" s="854"/>
      <c r="E103" s="854"/>
      <c r="F103" s="854"/>
      <c r="G103" s="854"/>
      <c r="H103" s="854"/>
      <c r="I103" s="1036" t="s">
        <v>1329</v>
      </c>
      <c r="J103" s="662"/>
      <c r="K103" s="553">
        <f>K104+K105</f>
        <v>3591989.5300000003</v>
      </c>
      <c r="L103" s="933"/>
      <c r="M103" s="553">
        <f>M104+M105</f>
        <v>1883030.79</v>
      </c>
      <c r="N103" s="365"/>
      <c r="O103" s="1288" t="s">
        <v>1097</v>
      </c>
    </row>
    <row r="104" spans="1:15" s="366" customFormat="1" ht="15.6" x14ac:dyDescent="0.3">
      <c r="A104" s="1442"/>
      <c r="B104" s="1408"/>
      <c r="C104" s="1303"/>
      <c r="D104" s="482"/>
      <c r="E104" s="482"/>
      <c r="F104" s="482"/>
      <c r="G104" s="482"/>
      <c r="H104" s="482"/>
      <c r="I104" s="1305"/>
      <c r="J104" s="363" t="s">
        <v>586</v>
      </c>
      <c r="K104" s="372">
        <f>810750.26+771343.92+219062+1472707.35+300000-30000</f>
        <v>3543863.5300000003</v>
      </c>
      <c r="L104" s="476"/>
      <c r="M104" s="445">
        <f>26103.04+260144.02+193989.2+163893.5+435030.02+144610.14+58497.8+68416.08+196431.79+157882.58+177182.62</f>
        <v>1882180.79</v>
      </c>
      <c r="N104" s="365"/>
      <c r="O104" s="1317"/>
    </row>
    <row r="105" spans="1:15" s="366" customFormat="1" ht="15.6" x14ac:dyDescent="0.3">
      <c r="A105" s="1442"/>
      <c r="B105" s="1408"/>
      <c r="C105" s="1304"/>
      <c r="D105" s="482"/>
      <c r="E105" s="482"/>
      <c r="F105" s="482"/>
      <c r="G105" s="482"/>
      <c r="H105" s="482"/>
      <c r="I105" s="1306"/>
      <c r="J105" s="363" t="s">
        <v>528</v>
      </c>
      <c r="K105" s="372">
        <f>18126+30000</f>
        <v>48126</v>
      </c>
      <c r="L105" s="476"/>
      <c r="M105" s="445">
        <v>850</v>
      </c>
      <c r="N105" s="365"/>
      <c r="O105" s="1290"/>
    </row>
    <row r="106" spans="1:15" s="474" customFormat="1" ht="15.6" x14ac:dyDescent="0.3">
      <c r="A106" s="1433"/>
      <c r="B106" s="1434" t="s">
        <v>1230</v>
      </c>
      <c r="C106" s="395" t="s">
        <v>1093</v>
      </c>
      <c r="D106" s="475"/>
      <c r="E106" s="475"/>
      <c r="F106" s="475"/>
      <c r="G106" s="475"/>
      <c r="H106" s="475"/>
      <c r="I106" s="397" t="s">
        <v>1226</v>
      </c>
      <c r="J106" s="371"/>
      <c r="K106" s="372">
        <f>K107+K108+K109</f>
        <v>28501970.560000002</v>
      </c>
      <c r="L106" s="476"/>
      <c r="M106" s="372">
        <f>M107+M108+M109</f>
        <v>24696004.010000002</v>
      </c>
      <c r="N106" s="476"/>
      <c r="O106" s="1280" t="s">
        <v>151</v>
      </c>
    </row>
    <row r="107" spans="1:15" s="474" customFormat="1" ht="15.6" x14ac:dyDescent="0.3">
      <c r="A107" s="1433"/>
      <c r="B107" s="1434"/>
      <c r="C107" s="892"/>
      <c r="D107" s="517"/>
      <c r="E107" s="517"/>
      <c r="F107" s="517"/>
      <c r="G107" s="517"/>
      <c r="H107" s="517"/>
      <c r="I107" s="893"/>
      <c r="J107" s="371" t="s">
        <v>162</v>
      </c>
      <c r="K107" s="372">
        <f>24557419.37-365566-80593.54</f>
        <v>24111259.830000002</v>
      </c>
      <c r="L107" s="476"/>
      <c r="M107" s="445">
        <f>1217872.51+88843.54+627345.62+1042801.37+36724.5+434017.63+1452587.28+18150+467538.72+1868313.96+17423.5+199936.57+1685104.01-72964.54+667346.52+2026170.98+2707229+1213020.31+5719.4+384756.79+608037.09+48655.2+1526188.87+1252207.2+27519.54+461355.57+1195154.11+31906.1+423285.39</f>
        <v>21662246.740000002</v>
      </c>
      <c r="N107" s="476"/>
      <c r="O107" s="1435"/>
    </row>
    <row r="108" spans="1:15" s="474" customFormat="1" ht="15.6" x14ac:dyDescent="0.3">
      <c r="A108" s="1433"/>
      <c r="B108" s="1434"/>
      <c r="C108" s="892"/>
      <c r="D108" s="518"/>
      <c r="E108" s="518"/>
      <c r="F108" s="518"/>
      <c r="G108" s="518"/>
      <c r="H108" s="518"/>
      <c r="I108" s="893"/>
      <c r="J108" s="371" t="s">
        <v>586</v>
      </c>
      <c r="K108" s="372">
        <f>3678500+365566+80593.54</f>
        <v>4124659.54</v>
      </c>
      <c r="L108" s="476"/>
      <c r="M108" s="445">
        <f>101785.52+235044.2+480428.05+313585.37+311743.82+225066.21+183478.32+428902.15+91332.07+250513.65+372687.91</f>
        <v>2994567.27</v>
      </c>
      <c r="N108" s="476"/>
      <c r="O108" s="1435"/>
    </row>
    <row r="109" spans="1:15" s="474" customFormat="1" ht="15.6" x14ac:dyDescent="0.3">
      <c r="A109" s="1359"/>
      <c r="B109" s="1362"/>
      <c r="C109" s="392"/>
      <c r="D109" s="518"/>
      <c r="E109" s="518"/>
      <c r="F109" s="518"/>
      <c r="G109" s="518"/>
      <c r="H109" s="518"/>
      <c r="I109" s="393"/>
      <c r="J109" s="371" t="s">
        <v>528</v>
      </c>
      <c r="K109" s="372">
        <v>266051.19</v>
      </c>
      <c r="L109" s="476"/>
      <c r="M109" s="445">
        <f>3197+6613+19753+3014+6613</f>
        <v>39190</v>
      </c>
      <c r="N109" s="476"/>
      <c r="O109" s="1435"/>
    </row>
    <row r="110" spans="1:15" s="474" customFormat="1" ht="15.6" x14ac:dyDescent="0.3">
      <c r="A110" s="1436"/>
      <c r="B110" s="1437" t="s">
        <v>1383</v>
      </c>
      <c r="C110" s="1034" t="s">
        <v>1134</v>
      </c>
      <c r="D110" s="518"/>
      <c r="E110" s="518"/>
      <c r="F110" s="518"/>
      <c r="G110" s="518"/>
      <c r="H110" s="518"/>
      <c r="I110" s="1439" t="s">
        <v>1384</v>
      </c>
      <c r="J110" s="371" t="s">
        <v>586</v>
      </c>
      <c r="K110" s="372"/>
      <c r="L110" s="476"/>
      <c r="M110" s="445"/>
      <c r="N110" s="476"/>
      <c r="O110" s="1435"/>
    </row>
    <row r="111" spans="1:15" s="474" customFormat="1" ht="15.6" x14ac:dyDescent="0.3">
      <c r="A111" s="1359"/>
      <c r="B111" s="1438"/>
      <c r="C111" s="1034" t="s">
        <v>1130</v>
      </c>
      <c r="D111" s="518"/>
      <c r="E111" s="518"/>
      <c r="F111" s="518"/>
      <c r="G111" s="518"/>
      <c r="H111" s="518"/>
      <c r="I111" s="1440"/>
      <c r="J111" s="371" t="s">
        <v>528</v>
      </c>
      <c r="K111" s="372">
        <f>494846.92+10000+100000</f>
        <v>604846.91999999993</v>
      </c>
      <c r="L111" s="476"/>
      <c r="M111" s="445">
        <f>6000+304037.52+120048.92+1458.05</f>
        <v>431544.49</v>
      </c>
      <c r="N111" s="476"/>
      <c r="O111" s="1435"/>
    </row>
    <row r="112" spans="1:15" s="474" customFormat="1" ht="31.2" x14ac:dyDescent="0.3">
      <c r="A112" s="708"/>
      <c r="B112" s="709" t="s">
        <v>1353</v>
      </c>
      <c r="C112" s="395" t="s">
        <v>1130</v>
      </c>
      <c r="D112" s="475"/>
      <c r="E112" s="475"/>
      <c r="F112" s="475"/>
      <c r="G112" s="475"/>
      <c r="H112" s="475"/>
      <c r="I112" s="397" t="s">
        <v>1354</v>
      </c>
      <c r="J112" s="371" t="s">
        <v>528</v>
      </c>
      <c r="K112" s="372">
        <v>400000</v>
      </c>
      <c r="L112" s="476"/>
      <c r="M112" s="445">
        <v>320747.28000000003</v>
      </c>
      <c r="N112" s="476"/>
      <c r="O112" s="1435"/>
    </row>
    <row r="113" spans="1:15" s="366" customFormat="1" ht="46.8" x14ac:dyDescent="0.3">
      <c r="A113" s="388"/>
      <c r="B113" s="459" t="s">
        <v>610</v>
      </c>
      <c r="C113" s="387" t="s">
        <v>1130</v>
      </c>
      <c r="D113" s="365"/>
      <c r="E113" s="365"/>
      <c r="F113" s="365"/>
      <c r="G113" s="365"/>
      <c r="H113" s="365"/>
      <c r="I113" s="452" t="s">
        <v>1233</v>
      </c>
      <c r="J113" s="363" t="s">
        <v>613</v>
      </c>
      <c r="K113" s="457">
        <f>11822578.16+2851340.67</f>
        <v>14673918.83</v>
      </c>
      <c r="L113" s="476"/>
      <c r="M113" s="445">
        <f>582207.78+1087559.96+1228848.09+1469746.84+1031323.13+1145567.72+1672440.16+1232477.82+845373.83+1286072.8+1017730.5</f>
        <v>12599348.630000001</v>
      </c>
      <c r="N113" s="365"/>
      <c r="O113" s="1435"/>
    </row>
    <row r="114" spans="1:15" s="366" customFormat="1" ht="15.6" hidden="1" x14ac:dyDescent="0.3">
      <c r="A114" s="388"/>
      <c r="B114" s="459" t="s">
        <v>1174</v>
      </c>
      <c r="C114" s="387" t="s">
        <v>1130</v>
      </c>
      <c r="D114" s="365"/>
      <c r="E114" s="365"/>
      <c r="F114" s="365"/>
      <c r="G114" s="365"/>
      <c r="H114" s="365"/>
      <c r="I114" s="452" t="s">
        <v>1175</v>
      </c>
      <c r="J114" s="363" t="s">
        <v>528</v>
      </c>
      <c r="K114" s="457"/>
      <c r="L114" s="476"/>
      <c r="M114" s="445"/>
      <c r="N114" s="365"/>
      <c r="O114" s="1435"/>
    </row>
    <row r="115" spans="1:15" s="474" customFormat="1" ht="15.6" x14ac:dyDescent="0.3">
      <c r="A115" s="475"/>
      <c r="B115" s="423" t="s">
        <v>604</v>
      </c>
      <c r="C115" s="395" t="s">
        <v>1129</v>
      </c>
      <c r="D115" s="476"/>
      <c r="E115" s="476"/>
      <c r="F115" s="476"/>
      <c r="G115" s="476"/>
      <c r="H115" s="476"/>
      <c r="I115" s="477" t="s">
        <v>1229</v>
      </c>
      <c r="J115" s="371" t="s">
        <v>528</v>
      </c>
      <c r="K115" s="457">
        <v>334218</v>
      </c>
      <c r="L115" s="476"/>
      <c r="M115" s="445"/>
      <c r="N115" s="476"/>
      <c r="O115" s="1435"/>
    </row>
    <row r="116" spans="1:15" s="366" customFormat="1" ht="31.2" x14ac:dyDescent="0.3">
      <c r="A116" s="388"/>
      <c r="B116" s="459" t="s">
        <v>771</v>
      </c>
      <c r="C116" s="387" t="s">
        <v>1111</v>
      </c>
      <c r="D116" s="365"/>
      <c r="E116" s="365"/>
      <c r="F116" s="365"/>
      <c r="G116" s="365"/>
      <c r="H116" s="365"/>
      <c r="I116" s="452" t="s">
        <v>1290</v>
      </c>
      <c r="J116" s="363" t="s">
        <v>586</v>
      </c>
      <c r="K116" s="457">
        <f>50000-50000</f>
        <v>0</v>
      </c>
      <c r="L116" s="476"/>
      <c r="M116" s="445"/>
      <c r="N116" s="365"/>
      <c r="O116" s="1435"/>
    </row>
    <row r="117" spans="1:15" s="366" customFormat="1" ht="62.4" hidden="1" x14ac:dyDescent="0.3">
      <c r="A117" s="388"/>
      <c r="B117" s="483" t="s">
        <v>1187</v>
      </c>
      <c r="C117" s="387" t="s">
        <v>1161</v>
      </c>
      <c r="D117" s="365"/>
      <c r="E117" s="365"/>
      <c r="F117" s="365"/>
      <c r="G117" s="365"/>
      <c r="H117" s="365"/>
      <c r="I117" s="452" t="s">
        <v>1162</v>
      </c>
      <c r="J117" s="363" t="s">
        <v>528</v>
      </c>
      <c r="K117" s="372"/>
      <c r="L117" s="476"/>
      <c r="M117" s="445"/>
      <c r="N117" s="365"/>
      <c r="O117" s="1283"/>
    </row>
    <row r="118" spans="1:15" s="366" customFormat="1" ht="62.4" hidden="1" x14ac:dyDescent="0.3">
      <c r="A118" s="388"/>
      <c r="B118" s="423" t="s">
        <v>1188</v>
      </c>
      <c r="C118" s="387" t="s">
        <v>1185</v>
      </c>
      <c r="D118" s="365"/>
      <c r="E118" s="365"/>
      <c r="F118" s="365"/>
      <c r="G118" s="365"/>
      <c r="H118" s="365"/>
      <c r="I118" s="484" t="s">
        <v>1186</v>
      </c>
      <c r="J118" s="389" t="s">
        <v>528</v>
      </c>
      <c r="K118" s="559"/>
      <c r="L118" s="476"/>
      <c r="M118" s="661"/>
      <c r="N118" s="365"/>
      <c r="O118" s="1029" t="s">
        <v>968</v>
      </c>
    </row>
    <row r="119" spans="1:15" s="366" customFormat="1" ht="72" x14ac:dyDescent="0.35">
      <c r="A119" s="425">
        <v>11</v>
      </c>
      <c r="B119" s="435" t="s">
        <v>563</v>
      </c>
      <c r="C119" s="428"/>
      <c r="D119" s="428"/>
      <c r="E119" s="428"/>
      <c r="F119" s="428"/>
      <c r="G119" s="428"/>
      <c r="H119" s="428"/>
      <c r="I119" s="429" t="s">
        <v>1346</v>
      </c>
      <c r="J119" s="430"/>
      <c r="K119" s="473">
        <f>K120+K121+K122+K123+K124+K125+K127+K128+K126</f>
        <v>4617315.99</v>
      </c>
      <c r="L119" s="568"/>
      <c r="M119" s="473">
        <f>M120+M121+M122+M123+M124+M125+M127+M128+M126</f>
        <v>2122076.8199999998</v>
      </c>
      <c r="N119" s="428"/>
      <c r="O119" s="432" t="s">
        <v>1147</v>
      </c>
    </row>
    <row r="120" spans="1:15" s="366" customFormat="1" ht="46.8" x14ac:dyDescent="0.35">
      <c r="A120" s="425"/>
      <c r="B120" s="459" t="s">
        <v>618</v>
      </c>
      <c r="C120" s="387" t="s">
        <v>1137</v>
      </c>
      <c r="D120" s="428"/>
      <c r="E120" s="428"/>
      <c r="F120" s="428"/>
      <c r="G120" s="428"/>
      <c r="H120" s="428"/>
      <c r="I120" s="452" t="s">
        <v>1235</v>
      </c>
      <c r="J120" s="363" t="s">
        <v>586</v>
      </c>
      <c r="K120" s="457">
        <f>515000-250000-100000</f>
        <v>165000</v>
      </c>
      <c r="L120" s="568"/>
      <c r="M120" s="569">
        <f>30000-25141+5000-500+19092+1800+5000</f>
        <v>35251</v>
      </c>
      <c r="N120" s="428"/>
      <c r="O120" s="1288" t="s">
        <v>151</v>
      </c>
    </row>
    <row r="121" spans="1:15" s="366" customFormat="1" ht="18" x14ac:dyDescent="0.35">
      <c r="A121" s="425"/>
      <c r="B121" s="459" t="s">
        <v>621</v>
      </c>
      <c r="C121" s="387" t="s">
        <v>1137</v>
      </c>
      <c r="D121" s="428"/>
      <c r="E121" s="428"/>
      <c r="F121" s="428"/>
      <c r="G121" s="428"/>
      <c r="H121" s="428"/>
      <c r="I121" s="452" t="s">
        <v>1236</v>
      </c>
      <c r="J121" s="363" t="s">
        <v>586</v>
      </c>
      <c r="K121" s="457">
        <f>212500+250000</f>
        <v>462500</v>
      </c>
      <c r="L121" s="568"/>
      <c r="M121" s="569">
        <v>20531.04</v>
      </c>
      <c r="N121" s="428"/>
      <c r="O121" s="1454"/>
    </row>
    <row r="122" spans="1:15" s="366" customFormat="1" ht="31.2" x14ac:dyDescent="0.35">
      <c r="A122" s="425"/>
      <c r="B122" s="459" t="s">
        <v>731</v>
      </c>
      <c r="C122" s="387" t="s">
        <v>1107</v>
      </c>
      <c r="D122" s="428"/>
      <c r="E122" s="428"/>
      <c r="F122" s="428"/>
      <c r="G122" s="428"/>
      <c r="H122" s="428"/>
      <c r="I122" s="452" t="s">
        <v>1274</v>
      </c>
      <c r="J122" s="363" t="s">
        <v>586</v>
      </c>
      <c r="K122" s="457">
        <f>50000-50000</f>
        <v>0</v>
      </c>
      <c r="L122" s="568"/>
      <c r="M122" s="569"/>
      <c r="N122" s="428"/>
      <c r="O122" s="1454"/>
    </row>
    <row r="123" spans="1:15" s="515" customFormat="1" ht="31.2" x14ac:dyDescent="0.35">
      <c r="A123" s="567"/>
      <c r="B123" s="423" t="s">
        <v>736</v>
      </c>
      <c r="C123" s="395" t="s">
        <v>1107</v>
      </c>
      <c r="D123" s="568"/>
      <c r="E123" s="568"/>
      <c r="F123" s="568"/>
      <c r="G123" s="568"/>
      <c r="H123" s="568"/>
      <c r="I123" s="477" t="s">
        <v>1275</v>
      </c>
      <c r="J123" s="371" t="s">
        <v>586</v>
      </c>
      <c r="K123" s="457">
        <f>53000-53000</f>
        <v>0</v>
      </c>
      <c r="L123" s="568"/>
      <c r="M123" s="569"/>
      <c r="N123" s="570"/>
      <c r="O123" s="1290"/>
    </row>
    <row r="124" spans="1:15" s="366" customFormat="1" ht="31.2" x14ac:dyDescent="0.35">
      <c r="A124" s="425"/>
      <c r="B124" s="459" t="s">
        <v>834</v>
      </c>
      <c r="C124" s="387" t="s">
        <v>1105</v>
      </c>
      <c r="D124" s="428"/>
      <c r="E124" s="428"/>
      <c r="F124" s="428"/>
      <c r="G124" s="428"/>
      <c r="H124" s="428"/>
      <c r="I124" s="452" t="s">
        <v>1308</v>
      </c>
      <c r="J124" s="363" t="s">
        <v>613</v>
      </c>
      <c r="K124" s="464">
        <f>1650000-600000+112440</f>
        <v>1162440</v>
      </c>
      <c r="L124" s="568"/>
      <c r="M124" s="569">
        <f>102182.2+139939</f>
        <v>242121.2</v>
      </c>
      <c r="N124" s="428"/>
      <c r="O124" s="1291" t="s">
        <v>968</v>
      </c>
    </row>
    <row r="125" spans="1:15" s="366" customFormat="1" ht="18" x14ac:dyDescent="0.35">
      <c r="A125" s="1481"/>
      <c r="B125" s="1293" t="s">
        <v>831</v>
      </c>
      <c r="C125" s="387" t="s">
        <v>1105</v>
      </c>
      <c r="D125" s="428"/>
      <c r="E125" s="428"/>
      <c r="F125" s="428"/>
      <c r="G125" s="428"/>
      <c r="H125" s="428"/>
      <c r="I125" s="1295" t="s">
        <v>1307</v>
      </c>
      <c r="J125" s="363" t="s">
        <v>613</v>
      </c>
      <c r="K125" s="464">
        <f>300000-300000+115057</f>
        <v>115057</v>
      </c>
      <c r="L125" s="568"/>
      <c r="M125" s="569"/>
      <c r="N125" s="428"/>
      <c r="O125" s="1292"/>
    </row>
    <row r="126" spans="1:15" s="366" customFormat="1" ht="18" x14ac:dyDescent="0.35">
      <c r="A126" s="1482"/>
      <c r="B126" s="1294"/>
      <c r="C126" s="387" t="s">
        <v>1142</v>
      </c>
      <c r="D126" s="428"/>
      <c r="E126" s="428"/>
      <c r="F126" s="428"/>
      <c r="G126" s="428"/>
      <c r="H126" s="428"/>
      <c r="I126" s="1296"/>
      <c r="J126" s="363" t="s">
        <v>613</v>
      </c>
      <c r="K126" s="650">
        <v>184569</v>
      </c>
      <c r="L126" s="568"/>
      <c r="M126" s="569"/>
      <c r="N126" s="428"/>
      <c r="O126" s="1032"/>
    </row>
    <row r="127" spans="1:15" s="366" customFormat="1" ht="31.2" x14ac:dyDescent="0.35">
      <c r="A127" s="425"/>
      <c r="B127" s="459" t="s">
        <v>912</v>
      </c>
      <c r="C127" s="387" t="s">
        <v>1138</v>
      </c>
      <c r="D127" s="428"/>
      <c r="E127" s="428"/>
      <c r="F127" s="428"/>
      <c r="G127" s="428"/>
      <c r="H127" s="428"/>
      <c r="I127" s="452" t="s">
        <v>1421</v>
      </c>
      <c r="J127" s="363" t="s">
        <v>613</v>
      </c>
      <c r="K127" s="372">
        <v>2497749.9900000002</v>
      </c>
      <c r="L127" s="568"/>
      <c r="M127" s="569">
        <f>156868.34+144625.25+188115.22+194249.18+207874.54+133937.95+184909.36+164178.67+150574.29+142095+132992.78</f>
        <v>1800420.5799999998</v>
      </c>
      <c r="N127" s="428"/>
      <c r="O127" s="495" t="s">
        <v>1097</v>
      </c>
    </row>
    <row r="128" spans="1:15" s="366" customFormat="1" ht="46.8" x14ac:dyDescent="0.35">
      <c r="A128" s="425"/>
      <c r="B128" s="521" t="s">
        <v>1198</v>
      </c>
      <c r="C128" s="387" t="s">
        <v>1107</v>
      </c>
      <c r="D128" s="428"/>
      <c r="E128" s="428"/>
      <c r="F128" s="428"/>
      <c r="G128" s="428"/>
      <c r="H128" s="428"/>
      <c r="I128" s="484" t="s">
        <v>1276</v>
      </c>
      <c r="J128" s="389" t="s">
        <v>586</v>
      </c>
      <c r="K128" s="559">
        <v>30000</v>
      </c>
      <c r="L128" s="568"/>
      <c r="M128" s="554">
        <f>22843+910</f>
        <v>23753</v>
      </c>
      <c r="N128" s="428"/>
      <c r="O128" s="495"/>
    </row>
    <row r="129" spans="1:15" s="366" customFormat="1" ht="52.8" x14ac:dyDescent="0.35">
      <c r="A129" s="425">
        <v>12</v>
      </c>
      <c r="B129" s="435" t="s">
        <v>558</v>
      </c>
      <c r="C129" s="428"/>
      <c r="D129" s="428"/>
      <c r="E129" s="428"/>
      <c r="F129" s="428"/>
      <c r="G129" s="428"/>
      <c r="H129" s="428"/>
      <c r="I129" s="429" t="s">
        <v>1347</v>
      </c>
      <c r="J129" s="430"/>
      <c r="K129" s="473">
        <f>K130+K131+K132+K133+K134+K135+K136+K137+K138+K139+K140+K143+K144+K145+K146+K150+K154+K142+K141</f>
        <v>202485823.97</v>
      </c>
      <c r="L129" s="568"/>
      <c r="M129" s="473">
        <f>M130+M131+M132+M133+M134+M135+M136+M137+M138+M139+M140+M143+M144+M145+M146+M150+M154+M142+M141</f>
        <v>145621624.53999996</v>
      </c>
      <c r="N129" s="428"/>
      <c r="O129" s="432" t="s">
        <v>1147</v>
      </c>
    </row>
    <row r="130" spans="1:15" s="366" customFormat="1" ht="18" hidden="1" x14ac:dyDescent="0.35">
      <c r="A130" s="425"/>
      <c r="B130" s="423" t="s">
        <v>1153</v>
      </c>
      <c r="C130" s="387" t="s">
        <v>1139</v>
      </c>
      <c r="D130" s="428"/>
      <c r="E130" s="428"/>
      <c r="F130" s="428"/>
      <c r="G130" s="428"/>
      <c r="H130" s="428"/>
      <c r="I130" s="452" t="s">
        <v>818</v>
      </c>
      <c r="J130" s="363" t="s">
        <v>586</v>
      </c>
      <c r="K130" s="457">
        <v>0</v>
      </c>
      <c r="L130" s="568"/>
      <c r="M130" s="569"/>
      <c r="N130" s="428"/>
      <c r="O130" s="1288" t="s">
        <v>151</v>
      </c>
    </row>
    <row r="131" spans="1:15" s="366" customFormat="1" ht="18" x14ac:dyDescent="0.35">
      <c r="A131" s="425"/>
      <c r="B131" s="459" t="s">
        <v>725</v>
      </c>
      <c r="C131" s="387" t="s">
        <v>1140</v>
      </c>
      <c r="D131" s="428"/>
      <c r="E131" s="428"/>
      <c r="F131" s="428"/>
      <c r="G131" s="428"/>
      <c r="H131" s="428"/>
      <c r="I131" s="452" t="s">
        <v>1272</v>
      </c>
      <c r="J131" s="363" t="s">
        <v>586</v>
      </c>
      <c r="K131" s="464">
        <f>8000000-3198629.6</f>
        <v>4801370.4000000004</v>
      </c>
      <c r="L131" s="568"/>
      <c r="M131" s="569"/>
      <c r="N131" s="428"/>
      <c r="O131" s="1454"/>
    </row>
    <row r="132" spans="1:15" s="366" customFormat="1" ht="31.2" x14ac:dyDescent="0.35">
      <c r="A132" s="425"/>
      <c r="B132" s="459" t="s">
        <v>1278</v>
      </c>
      <c r="C132" s="387" t="s">
        <v>1107</v>
      </c>
      <c r="D132" s="428"/>
      <c r="E132" s="428"/>
      <c r="F132" s="428"/>
      <c r="G132" s="428"/>
      <c r="H132" s="428"/>
      <c r="I132" s="452" t="s">
        <v>1277</v>
      </c>
      <c r="J132" s="363" t="s">
        <v>586</v>
      </c>
      <c r="K132" s="457">
        <f>114734.4+167128.87+82871.13</f>
        <v>364734.4</v>
      </c>
      <c r="L132" s="568"/>
      <c r="M132" s="569">
        <f>1100+10234+53656.71+9000+36200+22007.39+11200+77620.52+30036.56+54400</f>
        <v>305455.18</v>
      </c>
      <c r="N132" s="428"/>
      <c r="O132" s="1290"/>
    </row>
    <row r="133" spans="1:15" s="366" customFormat="1" ht="31.2" x14ac:dyDescent="0.35">
      <c r="A133" s="425"/>
      <c r="B133" s="459" t="s">
        <v>915</v>
      </c>
      <c r="C133" s="387" t="s">
        <v>1146</v>
      </c>
      <c r="D133" s="428"/>
      <c r="E133" s="428"/>
      <c r="F133" s="428"/>
      <c r="G133" s="428"/>
      <c r="H133" s="428"/>
      <c r="I133" s="452" t="s">
        <v>1331</v>
      </c>
      <c r="J133" s="363" t="s">
        <v>613</v>
      </c>
      <c r="K133" s="457">
        <f>7636834.56-2600000</f>
        <v>5036834.5599999996</v>
      </c>
      <c r="L133" s="568"/>
      <c r="M133" s="569">
        <f>363230.85+492151.88+489303.4+384974.99+579918.09+351555.26+109310.48+95389.44+243833.74+435192.45+394627.3</f>
        <v>3939487.88</v>
      </c>
      <c r="N133" s="428"/>
      <c r="O133" s="1031" t="s">
        <v>1097</v>
      </c>
    </row>
    <row r="134" spans="1:15" s="366" customFormat="1" ht="18" x14ac:dyDescent="0.35">
      <c r="A134" s="425"/>
      <c r="B134" s="459" t="s">
        <v>817</v>
      </c>
      <c r="C134" s="387" t="s">
        <v>1142</v>
      </c>
      <c r="D134" s="428"/>
      <c r="E134" s="428"/>
      <c r="F134" s="428"/>
      <c r="G134" s="428"/>
      <c r="H134" s="428"/>
      <c r="I134" s="452" t="s">
        <v>1304</v>
      </c>
      <c r="J134" s="363" t="s">
        <v>613</v>
      </c>
      <c r="K134" s="464">
        <f>3282185.35+8200000+626310-670513.03</f>
        <v>11437982.32</v>
      </c>
      <c r="L134" s="568"/>
      <c r="M134" s="569">
        <f>585817.49+80129.95+50000+99000+28788+34320+428496.66+658353.26+38351.62+111484+141153.77+91081+99795.6+151087.13+11835.7</f>
        <v>2609694.1800000002</v>
      </c>
      <c r="N134" s="428"/>
      <c r="O134" s="1288" t="s">
        <v>968</v>
      </c>
    </row>
    <row r="135" spans="1:15" s="366" customFormat="1" ht="31.2" x14ac:dyDescent="0.35">
      <c r="A135" s="425"/>
      <c r="B135" s="459" t="s">
        <v>814</v>
      </c>
      <c r="C135" s="387" t="s">
        <v>1142</v>
      </c>
      <c r="D135" s="428"/>
      <c r="E135" s="428"/>
      <c r="F135" s="428"/>
      <c r="G135" s="428"/>
      <c r="H135" s="428"/>
      <c r="I135" s="452" t="s">
        <v>1303</v>
      </c>
      <c r="J135" s="363" t="s">
        <v>613</v>
      </c>
      <c r="K135" s="457">
        <f>34085991.49+3149000+14433000+1500000-1500000+68250+28437.5</f>
        <v>51764678.990000002</v>
      </c>
      <c r="L135" s="568"/>
      <c r="M135" s="569">
        <f>2356160.12+452255.67+3660357.99+873532.27+21680+65980+4123273.33+883777.74+3586455.13+32990+710340.32+10840+3262742.11+26482.5+604256.74+10840+3477644.88+3290226.26+2350102.51+28482.5+577377.86+10840+2481480.7+26482.5+408573.45+10840+2437722.35+26482.5+699917.16+19279.5+1810378.39+26482.5+316284.09+16527.5</f>
        <v>38697088.569999993</v>
      </c>
      <c r="N135" s="428"/>
      <c r="O135" s="1454"/>
    </row>
    <row r="136" spans="1:15" s="366" customFormat="1" ht="31.2" x14ac:dyDescent="0.35">
      <c r="A136" s="425"/>
      <c r="B136" s="459" t="s">
        <v>837</v>
      </c>
      <c r="C136" s="387" t="s">
        <v>1105</v>
      </c>
      <c r="D136" s="428"/>
      <c r="E136" s="428"/>
      <c r="F136" s="428"/>
      <c r="G136" s="428"/>
      <c r="H136" s="428"/>
      <c r="I136" s="452" t="s">
        <v>1309</v>
      </c>
      <c r="J136" s="363" t="s">
        <v>613</v>
      </c>
      <c r="K136" s="464">
        <f>95155748.66+5078000-14769460.99-500000+500000-1606687.5-710000</f>
        <v>83147600.170000002</v>
      </c>
      <c r="L136" s="568"/>
      <c r="M136" s="569">
        <f>4290134.18+215001.81+6724002.5+346703.2+245656.77+23755+8882268.11+288534.14+6866405.26+180487+233607.5+11877.5+5549070.62+172487+196307.64+11877.5+4720390.26+4403226.67+3892303.24+168487+137633.55+11877.5+3392806.53+166487+244046.56+11877.5+5270188.11+166487+189872.89+11877.5+4411825.94+211081.5+37685.07</f>
        <v>61686329.549999997</v>
      </c>
      <c r="N136" s="428"/>
      <c r="O136" s="1454"/>
    </row>
    <row r="137" spans="1:15" s="366" customFormat="1" ht="31.2" x14ac:dyDescent="0.35">
      <c r="A137" s="425"/>
      <c r="B137" s="459" t="s">
        <v>840</v>
      </c>
      <c r="C137" s="387" t="s">
        <v>1105</v>
      </c>
      <c r="D137" s="428"/>
      <c r="E137" s="428"/>
      <c r="F137" s="428"/>
      <c r="G137" s="428"/>
      <c r="H137" s="428"/>
      <c r="I137" s="452" t="s">
        <v>1310</v>
      </c>
      <c r="J137" s="363" t="s">
        <v>613</v>
      </c>
      <c r="K137" s="464">
        <f>6355514.52+25000-1001029.83+710000</f>
        <v>6089484.6899999995</v>
      </c>
      <c r="L137" s="568"/>
      <c r="M137" s="569">
        <f>588256.75+563774.2+525742.9+562037.94+1160756.67+98257.09+266848.78+67029.97+514141.86+580024.92</f>
        <v>4926871.08</v>
      </c>
      <c r="N137" s="428"/>
      <c r="O137" s="1454"/>
    </row>
    <row r="138" spans="1:15" s="366" customFormat="1" ht="18" x14ac:dyDescent="0.35">
      <c r="A138" s="425"/>
      <c r="B138" s="459" t="s">
        <v>725</v>
      </c>
      <c r="C138" s="387" t="s">
        <v>1105</v>
      </c>
      <c r="D138" s="428"/>
      <c r="E138" s="428"/>
      <c r="F138" s="428"/>
      <c r="G138" s="428"/>
      <c r="H138" s="428"/>
      <c r="I138" s="452" t="s">
        <v>1272</v>
      </c>
      <c r="J138" s="363" t="s">
        <v>613</v>
      </c>
      <c r="K138" s="464">
        <f>17174500+1467814.65-500000-1500000-5499600+1200000+387560</f>
        <v>12730274.649999999</v>
      </c>
      <c r="L138" s="568"/>
      <c r="M138" s="569">
        <f>2307366.72+54716.15+53834+411162.21+250477+1245413.01+1771690.14+1798610.19+2057112.68-77022.02+830235.6</f>
        <v>10703595.68</v>
      </c>
      <c r="N138" s="428"/>
      <c r="O138" s="1454"/>
    </row>
    <row r="139" spans="1:15" s="366" customFormat="1" ht="15.6" x14ac:dyDescent="0.3">
      <c r="A139" s="388"/>
      <c r="B139" s="459" t="s">
        <v>844</v>
      </c>
      <c r="C139" s="387" t="s">
        <v>1105</v>
      </c>
      <c r="D139" s="365"/>
      <c r="E139" s="365"/>
      <c r="F139" s="365"/>
      <c r="G139" s="365"/>
      <c r="H139" s="365"/>
      <c r="I139" s="452" t="s">
        <v>1311</v>
      </c>
      <c r="J139" s="363" t="s">
        <v>613</v>
      </c>
      <c r="K139" s="457">
        <f>483000-15016</f>
        <v>467984</v>
      </c>
      <c r="L139" s="476"/>
      <c r="M139" s="569">
        <f>36608.7+1260.6+102660.8+14382.7</f>
        <v>154912.80000000002</v>
      </c>
      <c r="N139" s="365"/>
      <c r="O139" s="1454"/>
    </row>
    <row r="140" spans="1:15" s="366" customFormat="1" ht="46.8" x14ac:dyDescent="0.3">
      <c r="A140" s="388"/>
      <c r="B140" s="459" t="s">
        <v>847</v>
      </c>
      <c r="C140" s="387" t="s">
        <v>1105</v>
      </c>
      <c r="D140" s="365"/>
      <c r="E140" s="365"/>
      <c r="F140" s="365"/>
      <c r="G140" s="365"/>
      <c r="H140" s="365"/>
      <c r="I140" s="452" t="s">
        <v>1312</v>
      </c>
      <c r="J140" s="363" t="s">
        <v>613</v>
      </c>
      <c r="K140" s="457">
        <f>50000-670</f>
        <v>49330</v>
      </c>
      <c r="L140" s="476"/>
      <c r="M140" s="569">
        <v>49330</v>
      </c>
      <c r="N140" s="365"/>
      <c r="O140" s="1454"/>
    </row>
    <row r="141" spans="1:15" s="366" customFormat="1" ht="15.6" x14ac:dyDescent="0.3">
      <c r="A141" s="1443"/>
      <c r="B141" s="1297" t="s">
        <v>864</v>
      </c>
      <c r="C141" s="1303" t="s">
        <v>1143</v>
      </c>
      <c r="D141" s="365"/>
      <c r="E141" s="365"/>
      <c r="F141" s="365"/>
      <c r="G141" s="365"/>
      <c r="H141" s="365"/>
      <c r="I141" s="1355" t="s">
        <v>1317</v>
      </c>
      <c r="J141" s="363" t="s">
        <v>586</v>
      </c>
      <c r="K141" s="457">
        <f>100000+5000</f>
        <v>105000</v>
      </c>
      <c r="L141" s="476"/>
      <c r="M141" s="569">
        <f>24500+7000+73500</f>
        <v>105000</v>
      </c>
      <c r="N141" s="365"/>
      <c r="O141" s="1454"/>
    </row>
    <row r="142" spans="1:15" s="366" customFormat="1" ht="15.6" x14ac:dyDescent="0.3">
      <c r="A142" s="1444"/>
      <c r="B142" s="1445"/>
      <c r="C142" s="1446"/>
      <c r="D142" s="365"/>
      <c r="E142" s="365"/>
      <c r="F142" s="365"/>
      <c r="G142" s="365"/>
      <c r="H142" s="365"/>
      <c r="I142" s="1447"/>
      <c r="J142" s="363" t="s">
        <v>764</v>
      </c>
      <c r="K142" s="457"/>
      <c r="L142" s="476"/>
      <c r="M142" s="569"/>
      <c r="N142" s="365"/>
      <c r="O142" s="1317"/>
    </row>
    <row r="143" spans="1:15" s="366" customFormat="1" ht="15.6" x14ac:dyDescent="0.3">
      <c r="A143" s="1308"/>
      <c r="B143" s="1299"/>
      <c r="C143" s="1304"/>
      <c r="D143" s="365"/>
      <c r="E143" s="365"/>
      <c r="F143" s="365"/>
      <c r="G143" s="365"/>
      <c r="H143" s="365"/>
      <c r="I143" s="1356"/>
      <c r="J143" s="363" t="s">
        <v>613</v>
      </c>
      <c r="K143" s="464">
        <f>1900000+500000-5000-587.87</f>
        <v>2394412.13</v>
      </c>
      <c r="L143" s="476"/>
      <c r="M143" s="569">
        <f>405934.4+14760+30982.8+707149.6+842145.33+186638+106832+99970</f>
        <v>2394412.13</v>
      </c>
      <c r="N143" s="365"/>
      <c r="O143" s="1317"/>
    </row>
    <row r="144" spans="1:15" s="366" customFormat="1" ht="31.2" x14ac:dyDescent="0.3">
      <c r="A144" s="388"/>
      <c r="B144" s="459" t="s">
        <v>867</v>
      </c>
      <c r="C144" s="387" t="s">
        <v>1143</v>
      </c>
      <c r="D144" s="365"/>
      <c r="E144" s="365"/>
      <c r="F144" s="365"/>
      <c r="G144" s="365"/>
      <c r="H144" s="365"/>
      <c r="I144" s="452" t="s">
        <v>1318</v>
      </c>
      <c r="J144" s="363" t="s">
        <v>613</v>
      </c>
      <c r="K144" s="457">
        <f>100000-100000</f>
        <v>0</v>
      </c>
      <c r="L144" s="476"/>
      <c r="M144" s="569"/>
      <c r="N144" s="365"/>
      <c r="O144" s="1317"/>
    </row>
    <row r="145" spans="1:15" s="366" customFormat="1" ht="15.6" hidden="1" x14ac:dyDescent="0.3">
      <c r="A145" s="388"/>
      <c r="B145" s="459" t="s">
        <v>870</v>
      </c>
      <c r="C145" s="1034" t="s">
        <v>1143</v>
      </c>
      <c r="D145" s="482"/>
      <c r="E145" s="482"/>
      <c r="F145" s="482"/>
      <c r="G145" s="482"/>
      <c r="H145" s="482"/>
      <c r="I145" s="480" t="s">
        <v>871</v>
      </c>
      <c r="J145" s="363" t="s">
        <v>613</v>
      </c>
      <c r="K145" s="457">
        <v>0</v>
      </c>
      <c r="L145" s="476"/>
      <c r="M145" s="569"/>
      <c r="N145" s="365"/>
      <c r="O145" s="1317"/>
    </row>
    <row r="146" spans="1:15" s="366" customFormat="1" ht="15.6" x14ac:dyDescent="0.3">
      <c r="A146" s="1443"/>
      <c r="B146" s="1297" t="s">
        <v>877</v>
      </c>
      <c r="C146" s="387" t="s">
        <v>1144</v>
      </c>
      <c r="D146" s="388"/>
      <c r="E146" s="388"/>
      <c r="F146" s="388"/>
      <c r="G146" s="388"/>
      <c r="H146" s="388"/>
      <c r="I146" s="389" t="s">
        <v>1320</v>
      </c>
      <c r="J146" s="363"/>
      <c r="K146" s="457">
        <f>K147+K148+K149</f>
        <v>5523184.1100000003</v>
      </c>
      <c r="L146" s="476"/>
      <c r="M146" s="457">
        <f>M147+M148+M149</f>
        <v>4591794.8899999997</v>
      </c>
      <c r="N146" s="365"/>
      <c r="O146" s="1317"/>
    </row>
    <row r="147" spans="1:15" s="366" customFormat="1" ht="15.6" x14ac:dyDescent="0.3">
      <c r="A147" s="1444"/>
      <c r="B147" s="1445"/>
      <c r="C147" s="1448"/>
      <c r="D147" s="386"/>
      <c r="E147" s="386"/>
      <c r="F147" s="386"/>
      <c r="G147" s="386"/>
      <c r="H147" s="386"/>
      <c r="I147" s="1451"/>
      <c r="J147" s="363" t="s">
        <v>162</v>
      </c>
      <c r="K147" s="464">
        <f>5429984.11-23000</f>
        <v>5406984.1100000003</v>
      </c>
      <c r="L147" s="476"/>
      <c r="M147" s="569">
        <f>267903.28+3600+367432.83+1840+187591.01+312722.84+1715+86278.38+380556.18+112813.98+282694.46+9938.7+47519.41+707646.03+634171.59+228372.57+2300+67107.36+225315.45+400+85950.76+261516.03+5476+71393.87+63000+6795+86757.67</f>
        <v>4508808.3999999994</v>
      </c>
      <c r="N147" s="365"/>
      <c r="O147" s="1317"/>
    </row>
    <row r="148" spans="1:15" s="366" customFormat="1" ht="15.6" x14ac:dyDescent="0.3">
      <c r="A148" s="1444"/>
      <c r="B148" s="1445"/>
      <c r="C148" s="1449"/>
      <c r="D148" s="362"/>
      <c r="E148" s="362"/>
      <c r="F148" s="362"/>
      <c r="G148" s="362"/>
      <c r="H148" s="362"/>
      <c r="I148" s="1452"/>
      <c r="J148" s="363" t="s">
        <v>586</v>
      </c>
      <c r="K148" s="464">
        <f>93200-33+23000</f>
        <v>116167</v>
      </c>
      <c r="L148" s="476"/>
      <c r="M148" s="569">
        <f>6475.39+5003.42+5126.63+4386.41+5102.65+3520.62+7114.51+9668.7+4060.91+32494.25</f>
        <v>82953.490000000005</v>
      </c>
      <c r="N148" s="365"/>
      <c r="O148" s="1454"/>
    </row>
    <row r="149" spans="1:15" s="366" customFormat="1" ht="15.6" x14ac:dyDescent="0.3">
      <c r="A149" s="1308"/>
      <c r="B149" s="1299"/>
      <c r="C149" s="1450"/>
      <c r="D149" s="851"/>
      <c r="E149" s="851"/>
      <c r="F149" s="851"/>
      <c r="G149" s="851"/>
      <c r="H149" s="851"/>
      <c r="I149" s="1453"/>
      <c r="J149" s="363" t="s">
        <v>528</v>
      </c>
      <c r="K149" s="457">
        <v>33</v>
      </c>
      <c r="L149" s="476"/>
      <c r="M149" s="569">
        <v>33</v>
      </c>
      <c r="N149" s="365"/>
      <c r="O149" s="1317"/>
    </row>
    <row r="150" spans="1:15" s="366" customFormat="1" ht="15.6" x14ac:dyDescent="0.3">
      <c r="A150" s="1443"/>
      <c r="B150" s="1297" t="s">
        <v>882</v>
      </c>
      <c r="C150" s="387" t="s">
        <v>1144</v>
      </c>
      <c r="D150" s="388"/>
      <c r="E150" s="388"/>
      <c r="F150" s="388"/>
      <c r="G150" s="388"/>
      <c r="H150" s="388"/>
      <c r="I150" s="389" t="s">
        <v>1321</v>
      </c>
      <c r="J150" s="363"/>
      <c r="K150" s="457">
        <f>K151+K152+K153</f>
        <v>16187799.880000001</v>
      </c>
      <c r="L150" s="476"/>
      <c r="M150" s="457">
        <f>M151+M152+M153</f>
        <v>13410937.34</v>
      </c>
      <c r="N150" s="365"/>
      <c r="O150" s="1317"/>
    </row>
    <row r="151" spans="1:15" s="366" customFormat="1" ht="15.6" x14ac:dyDescent="0.3">
      <c r="A151" s="1444"/>
      <c r="B151" s="1445"/>
      <c r="C151" s="1448"/>
      <c r="D151" s="386"/>
      <c r="E151" s="386"/>
      <c r="F151" s="386"/>
      <c r="G151" s="386"/>
      <c r="H151" s="386"/>
      <c r="I151" s="1451"/>
      <c r="J151" s="363" t="s">
        <v>162</v>
      </c>
      <c r="K151" s="464">
        <f>12358242.65+1001029.83-60000</f>
        <v>13299272.48</v>
      </c>
      <c r="L151" s="476"/>
      <c r="M151" s="569">
        <f>641319.57+6605.75+854663.7+4600+442773.64+706630.5+212830.71+2982353.46+4600+889773.06-2202613.77-4600-662210.1+724964.69+17598.8+225547.34+2721952.83+1111184.22+704464.36+5200+204907.84-281467.91+675096.08+3200+216358.36+677991.38+8600-68403.1+281467.91+225000+3675</f>
        <v>11334064.32</v>
      </c>
      <c r="N151" s="365"/>
      <c r="O151" s="1454"/>
    </row>
    <row r="152" spans="1:15" s="366" customFormat="1" ht="15.6" x14ac:dyDescent="0.3">
      <c r="A152" s="1444"/>
      <c r="B152" s="1445"/>
      <c r="C152" s="1449"/>
      <c r="D152" s="362"/>
      <c r="E152" s="362"/>
      <c r="F152" s="362"/>
      <c r="G152" s="362"/>
      <c r="H152" s="362"/>
      <c r="I152" s="1452"/>
      <c r="J152" s="363" t="s">
        <v>586</v>
      </c>
      <c r="K152" s="464">
        <f>4275140.4-10000+45000-1500000+60000</f>
        <v>2870140.4000000004</v>
      </c>
      <c r="L152" s="476"/>
      <c r="M152" s="569">
        <f>37923.85+226540.51+208735.04+279803.86+241274.93+318025.26+61612.79+198576.02+154696.56+153937.04+181820.16</f>
        <v>2062946.02</v>
      </c>
      <c r="N152" s="365"/>
      <c r="O152" s="1454"/>
    </row>
    <row r="153" spans="1:15" s="366" customFormat="1" ht="15.6" x14ac:dyDescent="0.3">
      <c r="A153" s="1308"/>
      <c r="B153" s="1299"/>
      <c r="C153" s="1339"/>
      <c r="D153" s="362"/>
      <c r="E153" s="362"/>
      <c r="F153" s="362"/>
      <c r="G153" s="362"/>
      <c r="H153" s="362"/>
      <c r="I153" s="1342"/>
      <c r="J153" s="363" t="s">
        <v>528</v>
      </c>
      <c r="K153" s="457">
        <f>8387+10000</f>
        <v>18387</v>
      </c>
      <c r="L153" s="476"/>
      <c r="M153" s="569">
        <f>2652+45+38+1852+4800+2688+1852</f>
        <v>13927</v>
      </c>
      <c r="N153" s="365"/>
      <c r="O153" s="1317"/>
    </row>
    <row r="154" spans="1:15" s="366" customFormat="1" ht="31.2" x14ac:dyDescent="0.3">
      <c r="A154" s="388"/>
      <c r="B154" s="459" t="s">
        <v>887</v>
      </c>
      <c r="C154" s="1035" t="s">
        <v>1144</v>
      </c>
      <c r="D154" s="489"/>
      <c r="E154" s="489"/>
      <c r="F154" s="489"/>
      <c r="G154" s="489"/>
      <c r="H154" s="489"/>
      <c r="I154" s="490" t="s">
        <v>1322</v>
      </c>
      <c r="J154" s="363" t="s">
        <v>613</v>
      </c>
      <c r="K154" s="457">
        <f>2678797.79-293644.12</f>
        <v>2385153.67</v>
      </c>
      <c r="L154" s="476"/>
      <c r="M154" s="569">
        <f>170122.74+204050.19+272354.51+235420.64+293941.25+143350.46+203116.69+145172.06+119910.99+160916.64+98359.09</f>
        <v>2046715.26</v>
      </c>
      <c r="N154" s="365"/>
      <c r="O154" s="1290"/>
    </row>
    <row r="155" spans="1:15" s="366" customFormat="1" ht="52.8" x14ac:dyDescent="0.35">
      <c r="A155" s="1052">
        <v>13</v>
      </c>
      <c r="B155" s="447" t="s">
        <v>564</v>
      </c>
      <c r="C155" s="448"/>
      <c r="D155" s="448"/>
      <c r="E155" s="448"/>
      <c r="F155" s="448"/>
      <c r="G155" s="448"/>
      <c r="H155" s="448"/>
      <c r="I155" s="429" t="s">
        <v>1348</v>
      </c>
      <c r="J155" s="430"/>
      <c r="K155" s="449">
        <f>K156+K158+K160+K161+K162+K163+K164+K165+K166+K167+K171+K172+K173+K157+K159+K168+K169+K170</f>
        <v>14091800.57</v>
      </c>
      <c r="L155" s="470"/>
      <c r="M155" s="449">
        <f>M156+M158+M160+M161+M162+M163+M164+M165+M166+M167+M171+M172+M173+M157+M159+M168+M169+M170</f>
        <v>11768144.949999999</v>
      </c>
      <c r="N155" s="448"/>
      <c r="O155" s="432" t="s">
        <v>1083</v>
      </c>
    </row>
    <row r="156" spans="1:15" s="366" customFormat="1" ht="15.6" x14ac:dyDescent="0.3">
      <c r="A156" s="388"/>
      <c r="B156" s="459" t="s">
        <v>654</v>
      </c>
      <c r="C156" s="387" t="s">
        <v>1148</v>
      </c>
      <c r="D156" s="365"/>
      <c r="E156" s="365"/>
      <c r="F156" s="365"/>
      <c r="G156" s="365"/>
      <c r="H156" s="365"/>
      <c r="I156" s="452" t="s">
        <v>1251</v>
      </c>
      <c r="J156" s="363" t="s">
        <v>586</v>
      </c>
      <c r="K156" s="457">
        <f>300000+1938000</f>
        <v>2238000</v>
      </c>
      <c r="L156" s="476"/>
      <c r="M156" s="445">
        <v>2025000</v>
      </c>
      <c r="N156" s="365"/>
      <c r="O156" s="1280" t="s">
        <v>151</v>
      </c>
    </row>
    <row r="157" spans="1:15" s="366" customFormat="1" ht="15.6" x14ac:dyDescent="0.3">
      <c r="A157" s="388"/>
      <c r="B157" s="459" t="s">
        <v>1357</v>
      </c>
      <c r="C157" s="387" t="s">
        <v>1148</v>
      </c>
      <c r="D157" s="365"/>
      <c r="E157" s="365"/>
      <c r="F157" s="365"/>
      <c r="G157" s="365"/>
      <c r="H157" s="365"/>
      <c r="I157" s="452" t="s">
        <v>1356</v>
      </c>
      <c r="J157" s="363" t="s">
        <v>586</v>
      </c>
      <c r="K157" s="457">
        <f>5400000-800000-2766734.35</f>
        <v>1833265.65</v>
      </c>
      <c r="L157" s="476"/>
      <c r="M157" s="445">
        <v>1762666.67</v>
      </c>
      <c r="N157" s="365"/>
      <c r="O157" s="1281"/>
    </row>
    <row r="158" spans="1:15" s="366" customFormat="1" ht="31.2" x14ac:dyDescent="0.3">
      <c r="A158" s="388"/>
      <c r="B158" s="459" t="s">
        <v>657</v>
      </c>
      <c r="C158" s="387" t="s">
        <v>1148</v>
      </c>
      <c r="D158" s="365"/>
      <c r="E158" s="365"/>
      <c r="F158" s="365"/>
      <c r="G158" s="365"/>
      <c r="H158" s="365"/>
      <c r="I158" s="452" t="s">
        <v>1252</v>
      </c>
      <c r="J158" s="363" t="s">
        <v>586</v>
      </c>
      <c r="K158" s="457">
        <f>59000+351000</f>
        <v>410000</v>
      </c>
      <c r="L158" s="476"/>
      <c r="M158" s="445">
        <f>82948.5+193546.5</f>
        <v>276495</v>
      </c>
      <c r="N158" s="365"/>
      <c r="O158" s="1281"/>
    </row>
    <row r="159" spans="1:15" s="366" customFormat="1" ht="31.2" x14ac:dyDescent="0.3">
      <c r="A159" s="388"/>
      <c r="B159" s="181" t="s">
        <v>660</v>
      </c>
      <c r="C159" s="387" t="s">
        <v>1148</v>
      </c>
      <c r="D159" s="365"/>
      <c r="E159" s="365"/>
      <c r="F159" s="365"/>
      <c r="G159" s="365"/>
      <c r="H159" s="365"/>
      <c r="I159" s="452" t="s">
        <v>1358</v>
      </c>
      <c r="J159" s="363" t="s">
        <v>586</v>
      </c>
      <c r="K159" s="457">
        <f>50000+51000</f>
        <v>101000</v>
      </c>
      <c r="L159" s="476"/>
      <c r="M159" s="445">
        <f>47090+17400+27430</f>
        <v>91920</v>
      </c>
      <c r="N159" s="365"/>
      <c r="O159" s="1281"/>
    </row>
    <row r="160" spans="1:15" s="366" customFormat="1" ht="31.2" hidden="1" x14ac:dyDescent="0.3">
      <c r="A160" s="388"/>
      <c r="B160" s="459" t="s">
        <v>660</v>
      </c>
      <c r="C160" s="387" t="s">
        <v>1148</v>
      </c>
      <c r="D160" s="365"/>
      <c r="E160" s="365"/>
      <c r="F160" s="365"/>
      <c r="G160" s="365"/>
      <c r="H160" s="365"/>
      <c r="I160" s="452" t="s">
        <v>661</v>
      </c>
      <c r="J160" s="363" t="s">
        <v>586</v>
      </c>
      <c r="K160" s="457"/>
      <c r="L160" s="476"/>
      <c r="M160" s="445"/>
      <c r="N160" s="365"/>
      <c r="O160" s="1281"/>
    </row>
    <row r="161" spans="1:15" s="366" customFormat="1" ht="15.6" x14ac:dyDescent="0.3">
      <c r="A161" s="388"/>
      <c r="B161" s="459" t="s">
        <v>663</v>
      </c>
      <c r="C161" s="387" t="s">
        <v>1148</v>
      </c>
      <c r="D161" s="365"/>
      <c r="E161" s="365"/>
      <c r="F161" s="365"/>
      <c r="G161" s="365"/>
      <c r="H161" s="365"/>
      <c r="I161" s="452" t="s">
        <v>1253</v>
      </c>
      <c r="J161" s="363" t="s">
        <v>586</v>
      </c>
      <c r="K161" s="457">
        <f>360000+206000-5000</f>
        <v>561000</v>
      </c>
      <c r="L161" s="476"/>
      <c r="M161" s="445">
        <f>171000+390000</f>
        <v>561000</v>
      </c>
      <c r="N161" s="365"/>
      <c r="O161" s="1281"/>
    </row>
    <row r="162" spans="1:15" s="366" customFormat="1" ht="31.2" x14ac:dyDescent="0.3">
      <c r="A162" s="388"/>
      <c r="B162" s="459" t="s">
        <v>666</v>
      </c>
      <c r="C162" s="387" t="s">
        <v>1148</v>
      </c>
      <c r="D162" s="365"/>
      <c r="E162" s="365"/>
      <c r="F162" s="365"/>
      <c r="G162" s="365"/>
      <c r="H162" s="365"/>
      <c r="I162" s="452" t="s">
        <v>1254</v>
      </c>
      <c r="J162" s="363" t="s">
        <v>528</v>
      </c>
      <c r="K162" s="457">
        <f>500000-50000-10000-440000</f>
        <v>0</v>
      </c>
      <c r="L162" s="476"/>
      <c r="M162" s="445"/>
      <c r="N162" s="365"/>
      <c r="O162" s="1281"/>
    </row>
    <row r="163" spans="1:15" s="366" customFormat="1" ht="15.6" x14ac:dyDescent="0.3">
      <c r="A163" s="388"/>
      <c r="B163" s="459" t="s">
        <v>669</v>
      </c>
      <c r="C163" s="387" t="s">
        <v>1148</v>
      </c>
      <c r="D163" s="365"/>
      <c r="E163" s="365"/>
      <c r="F163" s="365"/>
      <c r="G163" s="365"/>
      <c r="H163" s="365"/>
      <c r="I163" s="452" t="s">
        <v>1255</v>
      </c>
      <c r="J163" s="363" t="s">
        <v>586</v>
      </c>
      <c r="K163" s="457">
        <v>150000</v>
      </c>
      <c r="L163" s="476"/>
      <c r="M163" s="445"/>
      <c r="N163" s="365"/>
      <c r="O163" s="1281"/>
    </row>
    <row r="164" spans="1:15" s="366" customFormat="1" ht="46.8" x14ac:dyDescent="0.3">
      <c r="A164" s="388"/>
      <c r="B164" s="459" t="s">
        <v>672</v>
      </c>
      <c r="C164" s="387" t="s">
        <v>1148</v>
      </c>
      <c r="D164" s="365"/>
      <c r="E164" s="365"/>
      <c r="F164" s="365"/>
      <c r="G164" s="365"/>
      <c r="H164" s="365"/>
      <c r="I164" s="452" t="s">
        <v>1256</v>
      </c>
      <c r="J164" s="363" t="s">
        <v>586</v>
      </c>
      <c r="K164" s="457">
        <v>106000</v>
      </c>
      <c r="L164" s="476"/>
      <c r="M164" s="445">
        <v>98950</v>
      </c>
      <c r="N164" s="365"/>
      <c r="O164" s="1281"/>
    </row>
    <row r="165" spans="1:15" s="366" customFormat="1" ht="31.2" x14ac:dyDescent="0.3">
      <c r="A165" s="388"/>
      <c r="B165" s="519" t="s">
        <v>675</v>
      </c>
      <c r="C165" s="1034" t="s">
        <v>1148</v>
      </c>
      <c r="D165" s="482"/>
      <c r="E165" s="482"/>
      <c r="F165" s="482"/>
      <c r="G165" s="482"/>
      <c r="H165" s="482"/>
      <c r="I165" s="480" t="s">
        <v>1257</v>
      </c>
      <c r="J165" s="363" t="s">
        <v>586</v>
      </c>
      <c r="K165" s="372"/>
      <c r="L165" s="476"/>
      <c r="M165" s="445">
        <f>183800-183800</f>
        <v>0</v>
      </c>
      <c r="N165" s="365"/>
      <c r="O165" s="1281"/>
    </row>
    <row r="166" spans="1:15" s="532" customFormat="1" ht="31.2" x14ac:dyDescent="0.3">
      <c r="A166" s="572"/>
      <c r="B166" s="849" t="s">
        <v>675</v>
      </c>
      <c r="C166" s="387" t="s">
        <v>1163</v>
      </c>
      <c r="D166" s="574"/>
      <c r="E166" s="574"/>
      <c r="F166" s="574"/>
      <c r="G166" s="574"/>
      <c r="H166" s="574"/>
      <c r="I166" s="576" t="s">
        <v>1257</v>
      </c>
      <c r="J166" s="576" t="s">
        <v>586</v>
      </c>
      <c r="K166" s="372">
        <f>4966877.4-1076104.48-400000</f>
        <v>3490772.9200000004</v>
      </c>
      <c r="L166" s="476"/>
      <c r="M166" s="445">
        <f>182571.51+362696.52+121714+220783.81+691000+72005+98350+1230.44</f>
        <v>1750351.28</v>
      </c>
      <c r="N166" s="368"/>
      <c r="O166" s="1281"/>
    </row>
    <row r="167" spans="1:15" s="366" customFormat="1" ht="46.8" hidden="1" x14ac:dyDescent="0.3">
      <c r="A167" s="1051"/>
      <c r="B167" s="455" t="s">
        <v>681</v>
      </c>
      <c r="C167" s="387" t="s">
        <v>1148</v>
      </c>
      <c r="D167" s="482"/>
      <c r="E167" s="482"/>
      <c r="F167" s="482"/>
      <c r="G167" s="482"/>
      <c r="H167" s="482"/>
      <c r="I167" s="363" t="s">
        <v>682</v>
      </c>
      <c r="J167" s="564" t="s">
        <v>586</v>
      </c>
      <c r="K167" s="372">
        <v>0</v>
      </c>
      <c r="L167" s="932"/>
      <c r="M167" s="934"/>
      <c r="N167" s="365"/>
      <c r="O167" s="1281"/>
    </row>
    <row r="168" spans="1:15" s="366" customFormat="1" ht="15.6" x14ac:dyDescent="0.3">
      <c r="A168" s="388"/>
      <c r="B168" s="1408" t="s">
        <v>681</v>
      </c>
      <c r="C168" s="1407" t="s">
        <v>1163</v>
      </c>
      <c r="D168" s="365"/>
      <c r="E168" s="365"/>
      <c r="F168" s="365"/>
      <c r="G168" s="365"/>
      <c r="H168" s="365"/>
      <c r="I168" s="1409" t="s">
        <v>1258</v>
      </c>
      <c r="J168" s="363"/>
      <c r="K168" s="848"/>
      <c r="L168" s="476"/>
      <c r="M168" s="445"/>
      <c r="N168" s="365"/>
      <c r="O168" s="1281"/>
    </row>
    <row r="169" spans="1:15" s="366" customFormat="1" ht="15.6" x14ac:dyDescent="0.3">
      <c r="A169" s="388"/>
      <c r="B169" s="1408"/>
      <c r="C169" s="1407"/>
      <c r="D169" s="658"/>
      <c r="E169" s="658"/>
      <c r="F169" s="658"/>
      <c r="G169" s="658"/>
      <c r="H169" s="658"/>
      <c r="I169" s="1409"/>
      <c r="J169" s="363" t="s">
        <v>586</v>
      </c>
      <c r="K169" s="848">
        <f>3176057.52-2000000-1176057.52</f>
        <v>0</v>
      </c>
      <c r="L169" s="476"/>
      <c r="M169" s="445">
        <v>0</v>
      </c>
      <c r="N169" s="365"/>
      <c r="O169" s="1283"/>
    </row>
    <row r="170" spans="1:15" s="366" customFormat="1" ht="15.6" x14ac:dyDescent="0.3">
      <c r="A170" s="388"/>
      <c r="B170" s="1408"/>
      <c r="C170" s="1050" t="s">
        <v>1386</v>
      </c>
      <c r="D170" s="658"/>
      <c r="E170" s="658"/>
      <c r="F170" s="658"/>
      <c r="G170" s="658"/>
      <c r="H170" s="658"/>
      <c r="I170" s="1409"/>
      <c r="J170" s="363" t="s">
        <v>813</v>
      </c>
      <c r="K170" s="848">
        <f>2000000+2252162+400000+300000+100000</f>
        <v>5052162</v>
      </c>
      <c r="L170" s="476"/>
      <c r="M170" s="445">
        <f>1000000+3652162+300000+100000</f>
        <v>5052162</v>
      </c>
      <c r="N170" s="365"/>
      <c r="O170" s="1028" t="s">
        <v>1407</v>
      </c>
    </row>
    <row r="171" spans="1:15" s="366" customFormat="1" ht="15.6" x14ac:dyDescent="0.3">
      <c r="A171" s="1042"/>
      <c r="B171" s="534" t="s">
        <v>852</v>
      </c>
      <c r="C171" s="1035" t="s">
        <v>1105</v>
      </c>
      <c r="D171" s="489"/>
      <c r="E171" s="489"/>
      <c r="F171" s="489"/>
      <c r="G171" s="489"/>
      <c r="H171" s="489"/>
      <c r="I171" s="490" t="s">
        <v>1314</v>
      </c>
      <c r="J171" s="662" t="s">
        <v>613</v>
      </c>
      <c r="K171" s="553">
        <f>80000-253.42</f>
        <v>79746.58</v>
      </c>
      <c r="L171" s="933"/>
      <c r="M171" s="739">
        <v>79746.58</v>
      </c>
      <c r="N171" s="365"/>
      <c r="O171" s="1280" t="s">
        <v>968</v>
      </c>
    </row>
    <row r="172" spans="1:15" s="366" customFormat="1" ht="15.6" x14ac:dyDescent="0.3">
      <c r="A172" s="388"/>
      <c r="B172" s="459" t="s">
        <v>855</v>
      </c>
      <c r="C172" s="387" t="s">
        <v>1105</v>
      </c>
      <c r="D172" s="365"/>
      <c r="E172" s="365"/>
      <c r="F172" s="365"/>
      <c r="G172" s="365"/>
      <c r="H172" s="365"/>
      <c r="I172" s="452" t="s">
        <v>1315</v>
      </c>
      <c r="J172" s="363" t="s">
        <v>613</v>
      </c>
      <c r="K172" s="457">
        <f>50000-146.58</f>
        <v>49853.42</v>
      </c>
      <c r="L172" s="476"/>
      <c r="M172" s="445">
        <v>49853.42</v>
      </c>
      <c r="N172" s="365"/>
      <c r="O172" s="1281"/>
    </row>
    <row r="173" spans="1:15" s="366" customFormat="1" ht="15.6" x14ac:dyDescent="0.3">
      <c r="A173" s="388"/>
      <c r="B173" s="459" t="s">
        <v>858</v>
      </c>
      <c r="C173" s="387" t="s">
        <v>1105</v>
      </c>
      <c r="D173" s="365"/>
      <c r="E173" s="365"/>
      <c r="F173" s="365"/>
      <c r="G173" s="365"/>
      <c r="H173" s="365"/>
      <c r="I173" s="452" t="s">
        <v>1316</v>
      </c>
      <c r="J173" s="363" t="s">
        <v>613</v>
      </c>
      <c r="K173" s="457">
        <v>20000</v>
      </c>
      <c r="L173" s="476"/>
      <c r="M173" s="445">
        <v>20000</v>
      </c>
      <c r="N173" s="365"/>
      <c r="O173" s="1283"/>
    </row>
    <row r="174" spans="1:15" s="433" customFormat="1" ht="18" x14ac:dyDescent="0.35">
      <c r="A174" s="425">
        <v>14</v>
      </c>
      <c r="B174" s="426" t="s">
        <v>559</v>
      </c>
      <c r="C174" s="427"/>
      <c r="D174" s="428"/>
      <c r="E174" s="428"/>
      <c r="F174" s="428"/>
      <c r="G174" s="428"/>
      <c r="H174" s="428"/>
      <c r="I174" s="429" t="s">
        <v>1349</v>
      </c>
      <c r="J174" s="430"/>
      <c r="K174" s="746">
        <f>K177+K178+K180+K179+K175+K176</f>
        <v>2176518.98</v>
      </c>
      <c r="L174" s="568"/>
      <c r="M174" s="746">
        <f>M177+M178+M180+M179+M175+M176</f>
        <v>1868190.6099999999</v>
      </c>
      <c r="N174" s="428"/>
      <c r="O174" s="432"/>
    </row>
    <row r="175" spans="1:15" s="433" customFormat="1" ht="18" x14ac:dyDescent="0.35">
      <c r="A175" s="425"/>
      <c r="B175" s="521" t="s">
        <v>709</v>
      </c>
      <c r="C175" s="1034" t="s">
        <v>1101</v>
      </c>
      <c r="D175" s="365"/>
      <c r="E175" s="365"/>
      <c r="F175" s="365"/>
      <c r="G175" s="365"/>
      <c r="H175" s="365"/>
      <c r="I175" s="452" t="s">
        <v>1268</v>
      </c>
      <c r="J175" s="363" t="s">
        <v>586</v>
      </c>
      <c r="K175" s="464">
        <f>100000-50000-50000</f>
        <v>0</v>
      </c>
      <c r="L175" s="568"/>
      <c r="M175" s="746"/>
      <c r="N175" s="428"/>
      <c r="O175" s="520"/>
    </row>
    <row r="176" spans="1:15" s="433" customFormat="1" ht="18" x14ac:dyDescent="0.35">
      <c r="A176" s="425"/>
      <c r="B176" s="466" t="s">
        <v>712</v>
      </c>
      <c r="C176" s="1034" t="s">
        <v>1101</v>
      </c>
      <c r="D176" s="365"/>
      <c r="E176" s="365"/>
      <c r="F176" s="365"/>
      <c r="G176" s="365"/>
      <c r="H176" s="365"/>
      <c r="I176" s="452" t="s">
        <v>1361</v>
      </c>
      <c r="J176" s="363" t="s">
        <v>586</v>
      </c>
      <c r="K176" s="457">
        <f>3500000-1429771-243710.02</f>
        <v>1826518.98</v>
      </c>
      <c r="L176" s="568"/>
      <c r="M176" s="740">
        <v>1826518.98</v>
      </c>
      <c r="N176" s="428"/>
      <c r="O176" s="520"/>
    </row>
    <row r="177" spans="1:16" s="366" customFormat="1" ht="15.6" x14ac:dyDescent="0.3">
      <c r="A177" s="388"/>
      <c r="B177" s="534" t="s">
        <v>715</v>
      </c>
      <c r="C177" s="1034" t="s">
        <v>1101</v>
      </c>
      <c r="D177" s="365"/>
      <c r="E177" s="365"/>
      <c r="F177" s="365"/>
      <c r="G177" s="365"/>
      <c r="H177" s="365"/>
      <c r="I177" s="452" t="s">
        <v>1269</v>
      </c>
      <c r="J177" s="363" t="s">
        <v>586</v>
      </c>
      <c r="K177" s="457">
        <v>200000</v>
      </c>
      <c r="L177" s="476"/>
      <c r="M177" s="476"/>
      <c r="N177" s="365"/>
      <c r="O177" s="1380" t="s">
        <v>151</v>
      </c>
    </row>
    <row r="178" spans="1:16" s="366" customFormat="1" ht="15.6" x14ac:dyDescent="0.3">
      <c r="A178" s="388"/>
      <c r="B178" s="459" t="s">
        <v>718</v>
      </c>
      <c r="C178" s="1034" t="s">
        <v>1101</v>
      </c>
      <c r="D178" s="365"/>
      <c r="E178" s="365"/>
      <c r="F178" s="365"/>
      <c r="G178" s="365"/>
      <c r="H178" s="365"/>
      <c r="I178" s="452" t="s">
        <v>1270</v>
      </c>
      <c r="J178" s="363" t="s">
        <v>586</v>
      </c>
      <c r="K178" s="372">
        <f>40000-40000</f>
        <v>0</v>
      </c>
      <c r="L178" s="476"/>
      <c r="M178" s="476"/>
      <c r="N178" s="365"/>
      <c r="O178" s="1381"/>
    </row>
    <row r="179" spans="1:16" s="366" customFormat="1" ht="15.6" x14ac:dyDescent="0.3">
      <c r="A179" s="388"/>
      <c r="B179" s="521" t="s">
        <v>1205</v>
      </c>
      <c r="C179" s="1034" t="s">
        <v>1101</v>
      </c>
      <c r="D179" s="365"/>
      <c r="E179" s="365"/>
      <c r="F179" s="365"/>
      <c r="G179" s="365"/>
      <c r="H179" s="365"/>
      <c r="I179" s="484" t="s">
        <v>1271</v>
      </c>
      <c r="J179" s="389" t="s">
        <v>586</v>
      </c>
      <c r="K179" s="559">
        <f>100000+50000</f>
        <v>150000</v>
      </c>
      <c r="L179" s="476"/>
      <c r="M179" s="1058">
        <v>41671.629999999997</v>
      </c>
      <c r="N179" s="365"/>
      <c r="O179" s="581"/>
    </row>
    <row r="180" spans="1:16" s="366" customFormat="1" ht="15.6" hidden="1" x14ac:dyDescent="0.3">
      <c r="A180" s="388"/>
      <c r="B180" s="521" t="s">
        <v>1205</v>
      </c>
      <c r="C180" s="1034" t="s">
        <v>1159</v>
      </c>
      <c r="D180" s="365"/>
      <c r="E180" s="365"/>
      <c r="F180" s="365"/>
      <c r="G180" s="365"/>
      <c r="H180" s="365"/>
      <c r="I180" s="389" t="s">
        <v>1206</v>
      </c>
      <c r="J180" s="389" t="s">
        <v>813</v>
      </c>
      <c r="K180" s="582"/>
      <c r="L180" s="476"/>
      <c r="M180" s="661"/>
      <c r="N180" s="365"/>
      <c r="O180" s="1028" t="s">
        <v>1136</v>
      </c>
    </row>
    <row r="181" spans="1:16" ht="21" x14ac:dyDescent="0.4">
      <c r="A181" s="401"/>
      <c r="B181" s="402" t="s">
        <v>1149</v>
      </c>
      <c r="C181" s="403"/>
      <c r="D181" s="401"/>
      <c r="E181" s="401"/>
      <c r="F181" s="401"/>
      <c r="G181" s="401"/>
      <c r="H181" s="401"/>
      <c r="I181" s="404"/>
      <c r="J181" s="405"/>
      <c r="K181" s="671">
        <f>K21+K35+K37+K48+K60+K68+K70+K74+K80+K86+K119+K129+K155+K174</f>
        <v>378041930.76000005</v>
      </c>
      <c r="L181" s="981"/>
      <c r="M181" s="406">
        <f>M21+M35+M37+M48+M60+M68+M70+M74+M80+M86+M119+M129+M155+M174</f>
        <v>261224523.14999995</v>
      </c>
      <c r="N181" s="400"/>
      <c r="O181" s="400"/>
    </row>
    <row r="182" spans="1:16" ht="15.6" x14ac:dyDescent="0.3">
      <c r="A182" s="146"/>
      <c r="B182" s="146"/>
      <c r="C182" s="146"/>
      <c r="D182" s="146"/>
      <c r="E182" s="146"/>
      <c r="F182" s="146"/>
      <c r="G182" s="146"/>
      <c r="H182" s="146"/>
      <c r="I182" s="358"/>
      <c r="J182" s="360"/>
      <c r="K182" s="747"/>
      <c r="L182" s="938"/>
      <c r="M182" s="938"/>
      <c r="N182" s="146"/>
      <c r="O182" s="146"/>
    </row>
    <row r="183" spans="1:16" s="375" customFormat="1" ht="38.25" customHeight="1" x14ac:dyDescent="0.3">
      <c r="A183" s="1382">
        <v>1</v>
      </c>
      <c r="B183" s="1456" t="s">
        <v>1355</v>
      </c>
      <c r="C183" s="395" t="s">
        <v>1110</v>
      </c>
      <c r="D183" s="396"/>
      <c r="E183" s="396"/>
      <c r="F183" s="396"/>
      <c r="G183" s="396"/>
      <c r="H183" s="396"/>
      <c r="I183" s="397" t="s">
        <v>1287</v>
      </c>
      <c r="J183" s="371"/>
      <c r="K183" s="421">
        <f>K184+K185</f>
        <v>573397.05000000005</v>
      </c>
      <c r="L183" s="476"/>
      <c r="M183" s="421">
        <f>M184+M185</f>
        <v>517140.87</v>
      </c>
      <c r="N183" s="373"/>
      <c r="O183" s="374" t="s">
        <v>151</v>
      </c>
    </row>
    <row r="184" spans="1:16" s="375" customFormat="1" ht="34.5" customHeight="1" x14ac:dyDescent="0.3">
      <c r="A184" s="1455"/>
      <c r="B184" s="1457"/>
      <c r="C184" s="894"/>
      <c r="D184" s="895"/>
      <c r="E184" s="895"/>
      <c r="F184" s="895"/>
      <c r="G184" s="895"/>
      <c r="H184" s="895"/>
      <c r="I184" s="896"/>
      <c r="J184" s="371" t="s">
        <v>162</v>
      </c>
      <c r="K184" s="372">
        <f>541284-2.95</f>
        <v>541281.05000000005</v>
      </c>
      <c r="L184" s="932"/>
      <c r="M184" s="934">
        <f>18151.56+5481.77+24149.77+5376.57+8916.96+27412.56+8278.59+51009.05+14196.73+27783+8390.46+37669.47+52023.78+15703.48+4742.45+26520.12+8009.08+81437.77+24594.22+27783+8390.48</f>
        <v>486020.87</v>
      </c>
      <c r="N184" s="588"/>
      <c r="O184" s="374"/>
    </row>
    <row r="185" spans="1:16" s="375" customFormat="1" ht="36.75" customHeight="1" x14ac:dyDescent="0.3">
      <c r="A185" s="1384"/>
      <c r="B185" s="1368"/>
      <c r="C185" s="392"/>
      <c r="D185" s="897"/>
      <c r="E185" s="897"/>
      <c r="F185" s="897"/>
      <c r="G185" s="897"/>
      <c r="H185" s="897"/>
      <c r="I185" s="393"/>
      <c r="J185" s="371" t="s">
        <v>586</v>
      </c>
      <c r="K185" s="372">
        <v>32116</v>
      </c>
      <c r="L185" s="932"/>
      <c r="M185" s="934">
        <f>9336+21784</f>
        <v>31120</v>
      </c>
      <c r="N185" s="588"/>
      <c r="O185" s="374"/>
    </row>
    <row r="186" spans="1:16" s="375" customFormat="1" ht="28.5" customHeight="1" x14ac:dyDescent="0.3">
      <c r="A186" s="1053"/>
      <c r="B186" s="1468" t="s">
        <v>1385</v>
      </c>
      <c r="C186" s="1471" t="s">
        <v>1386</v>
      </c>
      <c r="D186" s="377"/>
      <c r="E186" s="377"/>
      <c r="F186" s="377"/>
      <c r="G186" s="377"/>
      <c r="H186" s="377"/>
      <c r="I186" s="1439" t="s">
        <v>1387</v>
      </c>
      <c r="J186" s="371"/>
      <c r="K186" s="421">
        <f>K187+K188</f>
        <v>11885101</v>
      </c>
      <c r="L186" s="1023"/>
      <c r="M186" s="421">
        <f>M187+M188</f>
        <v>11787484</v>
      </c>
      <c r="N186" s="378"/>
      <c r="O186" s="380"/>
    </row>
    <row r="187" spans="1:16" s="375" customFormat="1" ht="26.25" customHeight="1" x14ac:dyDescent="0.3">
      <c r="A187" s="1053"/>
      <c r="B187" s="1469"/>
      <c r="C187" s="1472"/>
      <c r="D187" s="1021"/>
      <c r="E187" s="1021"/>
      <c r="F187" s="1021"/>
      <c r="G187" s="1021"/>
      <c r="H187" s="1021"/>
      <c r="I187" s="1473"/>
      <c r="J187" s="576" t="s">
        <v>586</v>
      </c>
      <c r="K187" s="372">
        <v>97617</v>
      </c>
      <c r="L187" s="1019"/>
      <c r="M187" s="1020"/>
      <c r="N187" s="378"/>
      <c r="O187" s="380"/>
    </row>
    <row r="188" spans="1:16" s="375" customFormat="1" ht="26.25" customHeight="1" x14ac:dyDescent="0.3">
      <c r="A188" s="1053">
        <v>2</v>
      </c>
      <c r="B188" s="1470"/>
      <c r="C188" s="1411"/>
      <c r="D188" s="1022"/>
      <c r="E188" s="1022"/>
      <c r="F188" s="1022"/>
      <c r="G188" s="1022"/>
      <c r="H188" s="1022"/>
      <c r="I188" s="1474"/>
      <c r="J188" s="371" t="s">
        <v>813</v>
      </c>
      <c r="K188" s="372">
        <v>11787484</v>
      </c>
      <c r="L188" s="932"/>
      <c r="M188" s="934">
        <v>11787484</v>
      </c>
      <c r="N188" s="588"/>
      <c r="O188" s="374"/>
    </row>
    <row r="189" spans="1:16" s="375" customFormat="1" ht="46.8" x14ac:dyDescent="0.3">
      <c r="A189" s="1044">
        <v>3</v>
      </c>
      <c r="B189" s="584" t="s">
        <v>1104</v>
      </c>
      <c r="C189" s="1046" t="s">
        <v>1103</v>
      </c>
      <c r="D189" s="586"/>
      <c r="E189" s="586"/>
      <c r="F189" s="586"/>
      <c r="G189" s="586"/>
      <c r="H189" s="586"/>
      <c r="I189" s="587" t="s">
        <v>1265</v>
      </c>
      <c r="J189" s="371" t="s">
        <v>528</v>
      </c>
      <c r="K189" s="421">
        <f>87107200-24.78-4760796.84+1770359.93</f>
        <v>84116738.310000002</v>
      </c>
      <c r="L189" s="932"/>
      <c r="M189" s="980">
        <f>14417772.06+7298261.36+7240617.85+8882707.35+13776880.6+10727877.55+9950237.76+1125813.34+6334729.11</f>
        <v>79754896.980000019</v>
      </c>
      <c r="N189" s="588"/>
      <c r="O189" s="374" t="s">
        <v>151</v>
      </c>
    </row>
    <row r="190" spans="1:16" s="366" customFormat="1" ht="55.5" customHeight="1" x14ac:dyDescent="0.3">
      <c r="A190" s="1044">
        <v>4</v>
      </c>
      <c r="B190" s="590" t="s">
        <v>645</v>
      </c>
      <c r="C190" s="395" t="s">
        <v>1086</v>
      </c>
      <c r="D190" s="591"/>
      <c r="E190" s="592"/>
      <c r="F190" s="592"/>
      <c r="G190" s="592"/>
      <c r="H190" s="593"/>
      <c r="I190" s="594" t="s">
        <v>1245</v>
      </c>
      <c r="J190" s="371" t="s">
        <v>586</v>
      </c>
      <c r="K190" s="421">
        <f>147000+58.82-130391.82-16667</f>
        <v>0</v>
      </c>
      <c r="L190" s="474"/>
      <c r="M190" s="445"/>
      <c r="N190" s="373"/>
      <c r="O190" s="595" t="s">
        <v>151</v>
      </c>
    </row>
    <row r="191" spans="1:16" s="366" customFormat="1" ht="20.25" customHeight="1" x14ac:dyDescent="0.3">
      <c r="A191" s="1458">
        <v>5</v>
      </c>
      <c r="B191" s="1360" t="s">
        <v>893</v>
      </c>
      <c r="C191" s="1410" t="s">
        <v>1090</v>
      </c>
      <c r="D191" s="844"/>
      <c r="E191" s="844"/>
      <c r="F191" s="844"/>
      <c r="G191" s="844"/>
      <c r="H191" s="844"/>
      <c r="I191" s="1412" t="s">
        <v>1323</v>
      </c>
      <c r="J191" s="371" t="s">
        <v>586</v>
      </c>
      <c r="K191" s="421">
        <v>10000</v>
      </c>
      <c r="L191" s="474"/>
      <c r="M191" s="445">
        <f>6209.28+3104.64</f>
        <v>9313.92</v>
      </c>
      <c r="N191" s="373"/>
      <c r="O191" s="595"/>
    </row>
    <row r="192" spans="1:16" s="375" customFormat="1" ht="22.5" customHeight="1" x14ac:dyDescent="0.3">
      <c r="A192" s="1423"/>
      <c r="B192" s="1362"/>
      <c r="C192" s="1411"/>
      <c r="D192" s="844"/>
      <c r="E192" s="844"/>
      <c r="F192" s="844"/>
      <c r="G192" s="844"/>
      <c r="H192" s="844"/>
      <c r="I192" s="1413"/>
      <c r="J192" s="371" t="s">
        <v>764</v>
      </c>
      <c r="K192" s="453">
        <f>1241900-44-10000</f>
        <v>1231856</v>
      </c>
      <c r="L192" s="474"/>
      <c r="M192" s="939">
        <f>620928+310464+300464</f>
        <v>1231856</v>
      </c>
      <c r="N192" s="373"/>
      <c r="O192" s="595" t="s">
        <v>1084</v>
      </c>
      <c r="P192" s="599"/>
    </row>
    <row r="193" spans="1:16" s="375" customFormat="1" ht="46.8" x14ac:dyDescent="0.3">
      <c r="A193" s="596">
        <v>6</v>
      </c>
      <c r="B193" s="423" t="s">
        <v>896</v>
      </c>
      <c r="C193" s="395" t="s">
        <v>1091</v>
      </c>
      <c r="D193" s="597"/>
      <c r="E193" s="597"/>
      <c r="F193" s="597"/>
      <c r="G193" s="597"/>
      <c r="H193" s="597"/>
      <c r="I193" s="477" t="s">
        <v>1324</v>
      </c>
      <c r="J193" s="371" t="s">
        <v>764</v>
      </c>
      <c r="K193" s="453">
        <f>55100-2.48</f>
        <v>55097.52</v>
      </c>
      <c r="L193" s="474"/>
      <c r="M193" s="939">
        <f>34095+13638</f>
        <v>47733</v>
      </c>
      <c r="N193" s="373"/>
      <c r="O193" s="595" t="s">
        <v>1084</v>
      </c>
      <c r="P193" s="599"/>
    </row>
    <row r="194" spans="1:16" s="375" customFormat="1" ht="15.6" x14ac:dyDescent="0.3">
      <c r="A194" s="1375">
        <v>7</v>
      </c>
      <c r="B194" s="1385" t="s">
        <v>873</v>
      </c>
      <c r="C194" s="1046" t="s">
        <v>1090</v>
      </c>
      <c r="D194" s="597"/>
      <c r="E194" s="597"/>
      <c r="F194" s="597"/>
      <c r="G194" s="597"/>
      <c r="H194" s="597"/>
      <c r="I194" s="477" t="s">
        <v>1327</v>
      </c>
      <c r="J194" s="371"/>
      <c r="K194" s="453">
        <f>K195+K196</f>
        <v>1750191.15</v>
      </c>
      <c r="L194" s="474"/>
      <c r="M194" s="453">
        <f>M195+M196</f>
        <v>1337504.0499999996</v>
      </c>
      <c r="N194" s="588"/>
      <c r="O194" s="595" t="s">
        <v>1084</v>
      </c>
      <c r="P194" s="600"/>
    </row>
    <row r="195" spans="1:16" s="375" customFormat="1" ht="15.6" x14ac:dyDescent="0.3">
      <c r="A195" s="1376"/>
      <c r="B195" s="1459"/>
      <c r="C195" s="1388"/>
      <c r="D195" s="597"/>
      <c r="E195" s="597"/>
      <c r="F195" s="597"/>
      <c r="G195" s="597"/>
      <c r="H195" s="597"/>
      <c r="I195" s="1389"/>
      <c r="J195" s="371" t="s">
        <v>162</v>
      </c>
      <c r="K195" s="464">
        <f>1635414-8.85-350-150000-30000</f>
        <v>1455055.15</v>
      </c>
      <c r="L195" s="474"/>
      <c r="M195" s="934">
        <f>71790.37+2972.2+22971.77+43749.18+352.62+26090+4450+14249.64+13428.56+119347.71+44706.09+88494.97-2638.65+26833.86+150861.83+68101.13+61644.67+5500+18616.69+38615.44+12435.7+113764.75-5500+4493+32728.44+87053.69+26290.21</f>
        <v>1091403.8699999996</v>
      </c>
      <c r="N195" s="588"/>
      <c r="O195" s="595"/>
      <c r="P195" s="600"/>
    </row>
    <row r="196" spans="1:16" s="375" customFormat="1" ht="15.6" x14ac:dyDescent="0.3">
      <c r="A196" s="1365"/>
      <c r="B196" s="1387"/>
      <c r="C196" s="1379"/>
      <c r="D196" s="597"/>
      <c r="E196" s="597"/>
      <c r="F196" s="597"/>
      <c r="G196" s="597"/>
      <c r="H196" s="597"/>
      <c r="I196" s="1390"/>
      <c r="J196" s="371" t="s">
        <v>586</v>
      </c>
      <c r="K196" s="464">
        <f>114786+350+150000+30000</f>
        <v>295136</v>
      </c>
      <c r="L196" s="474"/>
      <c r="M196" s="934">
        <f>26250+4000+28801.64+8344.79+350+30169.51+3801.78+7542.19+10114.61+34543.91+44639.56+47542.19</f>
        <v>246100.18</v>
      </c>
      <c r="N196" s="588"/>
      <c r="O196" s="595"/>
      <c r="P196" s="600"/>
    </row>
    <row r="197" spans="1:16" s="375" customFormat="1" ht="24.75" customHeight="1" x14ac:dyDescent="0.3">
      <c r="A197" s="1375">
        <v>8</v>
      </c>
      <c r="B197" s="1385" t="s">
        <v>899</v>
      </c>
      <c r="C197" s="1410" t="s">
        <v>1090</v>
      </c>
      <c r="D197" s="845"/>
      <c r="E197" s="846"/>
      <c r="F197" s="846"/>
      <c r="G197" s="846"/>
      <c r="H197" s="899"/>
      <c r="I197" s="1414" t="s">
        <v>1325</v>
      </c>
      <c r="J197" s="371" t="s">
        <v>586</v>
      </c>
      <c r="K197" s="457">
        <v>100000</v>
      </c>
      <c r="L197" s="474"/>
      <c r="M197" s="934"/>
      <c r="N197" s="588"/>
      <c r="O197" s="595"/>
      <c r="P197" s="600"/>
    </row>
    <row r="198" spans="1:16" s="375" customFormat="1" ht="33.75" customHeight="1" x14ac:dyDescent="0.3">
      <c r="A198" s="1365"/>
      <c r="B198" s="1424"/>
      <c r="C198" s="1411"/>
      <c r="D198" s="845"/>
      <c r="E198" s="846"/>
      <c r="F198" s="846"/>
      <c r="G198" s="846"/>
      <c r="H198" s="899"/>
      <c r="I198" s="1413"/>
      <c r="J198" s="371" t="s">
        <v>764</v>
      </c>
      <c r="K198" s="453">
        <f>15024600+54.55-100000-3663248.83+1404986.76</f>
        <v>12666392.48</v>
      </c>
      <c r="L198" s="474"/>
      <c r="M198" s="980">
        <f>1902501+372964.26+186482.16+1933297+186482.1+927384+213822.55+1172850.86+1170050.79+981296+201957.87+1851653+403915.65+941242+201957.87</f>
        <v>12647857.109999998</v>
      </c>
      <c r="N198" s="588"/>
      <c r="O198" s="595" t="s">
        <v>1084</v>
      </c>
      <c r="P198" s="599"/>
    </row>
    <row r="199" spans="1:16" s="366" customFormat="1" ht="31.2" hidden="1" x14ac:dyDescent="0.3">
      <c r="A199" s="596">
        <v>8</v>
      </c>
      <c r="B199" s="605" t="s">
        <v>1032</v>
      </c>
      <c r="C199" s="395" t="s">
        <v>1111</v>
      </c>
      <c r="D199" s="592"/>
      <c r="E199" s="592"/>
      <c r="F199" s="592"/>
      <c r="G199" s="592"/>
      <c r="H199" s="592"/>
      <c r="I199" s="477" t="s">
        <v>1112</v>
      </c>
      <c r="J199" s="371" t="s">
        <v>586</v>
      </c>
      <c r="K199" s="453"/>
      <c r="L199" s="474"/>
      <c r="M199" s="939"/>
      <c r="O199" s="595" t="s">
        <v>151</v>
      </c>
    </row>
    <row r="200" spans="1:16" s="366" customFormat="1" ht="31.2" hidden="1" x14ac:dyDescent="0.3">
      <c r="A200" s="596">
        <v>8</v>
      </c>
      <c r="B200" s="423"/>
      <c r="C200" s="395"/>
      <c r="D200" s="592"/>
      <c r="E200" s="592"/>
      <c r="F200" s="592"/>
      <c r="G200" s="592"/>
      <c r="H200" s="592"/>
      <c r="I200" s="477"/>
      <c r="J200" s="371"/>
      <c r="K200" s="453"/>
      <c r="L200" s="474"/>
      <c r="M200" s="939"/>
      <c r="O200" s="595" t="s">
        <v>151</v>
      </c>
    </row>
    <row r="201" spans="1:16" s="366" customFormat="1" ht="31.2" x14ac:dyDescent="0.3">
      <c r="A201" s="1044">
        <v>9</v>
      </c>
      <c r="B201" s="606" t="s">
        <v>1365</v>
      </c>
      <c r="C201" s="1046" t="s">
        <v>1103</v>
      </c>
      <c r="D201" s="586"/>
      <c r="E201" s="586"/>
      <c r="F201" s="586"/>
      <c r="G201" s="586"/>
      <c r="H201" s="586"/>
      <c r="I201" s="587" t="s">
        <v>1366</v>
      </c>
      <c r="J201" s="371" t="s">
        <v>586</v>
      </c>
      <c r="K201" s="421">
        <f>2300000+1500000</f>
        <v>3800000</v>
      </c>
      <c r="L201" s="474"/>
      <c r="M201" s="939">
        <f>2300000+450000+1050000</f>
        <v>3800000</v>
      </c>
      <c r="O201" s="595"/>
    </row>
    <row r="202" spans="1:16" s="366" customFormat="1" ht="62.4" x14ac:dyDescent="0.3">
      <c r="A202" s="1044">
        <v>10</v>
      </c>
      <c r="B202" s="754" t="s">
        <v>1388</v>
      </c>
      <c r="C202" s="1046" t="s">
        <v>1111</v>
      </c>
      <c r="D202" s="586"/>
      <c r="E202" s="586"/>
      <c r="F202" s="586"/>
      <c r="G202" s="586"/>
      <c r="H202" s="586"/>
      <c r="I202" s="587" t="s">
        <v>1389</v>
      </c>
      <c r="J202" s="371" t="s">
        <v>764</v>
      </c>
      <c r="K202" s="421">
        <v>471100</v>
      </c>
      <c r="L202" s="474"/>
      <c r="M202" s="939">
        <v>471100</v>
      </c>
      <c r="O202" s="595"/>
    </row>
    <row r="203" spans="1:16" s="366" customFormat="1" ht="62.4" x14ac:dyDescent="0.3">
      <c r="A203" s="1044">
        <v>11</v>
      </c>
      <c r="B203" s="606" t="s">
        <v>514</v>
      </c>
      <c r="C203" s="1046" t="s">
        <v>1113</v>
      </c>
      <c r="D203" s="586"/>
      <c r="E203" s="586"/>
      <c r="F203" s="586"/>
      <c r="G203" s="586"/>
      <c r="H203" s="586"/>
      <c r="I203" s="587" t="s">
        <v>1292</v>
      </c>
      <c r="J203" s="371" t="s">
        <v>700</v>
      </c>
      <c r="K203" s="421">
        <v>2178000</v>
      </c>
      <c r="L203" s="474"/>
      <c r="M203" s="939">
        <f>1518000+660000</f>
        <v>2178000</v>
      </c>
      <c r="O203" s="595" t="s">
        <v>151</v>
      </c>
    </row>
    <row r="204" spans="1:16" s="366" customFormat="1" ht="18" customHeight="1" x14ac:dyDescent="0.3">
      <c r="A204" s="1375">
        <v>12</v>
      </c>
      <c r="B204" s="1478" t="s">
        <v>1150</v>
      </c>
      <c r="C204" s="395" t="s">
        <v>1130</v>
      </c>
      <c r="D204" s="396"/>
      <c r="E204" s="396"/>
      <c r="F204" s="396"/>
      <c r="G204" s="396"/>
      <c r="H204" s="396"/>
      <c r="I204" s="397" t="s">
        <v>1234</v>
      </c>
      <c r="J204" s="371"/>
      <c r="K204" s="422">
        <f>K205+K206</f>
        <v>584381.05000000005</v>
      </c>
      <c r="L204" s="476"/>
      <c r="M204" s="422">
        <f>M205+M206</f>
        <v>445348.65000000008</v>
      </c>
      <c r="N204" s="365"/>
      <c r="O204" s="374" t="s">
        <v>151</v>
      </c>
    </row>
    <row r="205" spans="1:16" s="366" customFormat="1" ht="15.6" x14ac:dyDescent="0.3">
      <c r="A205" s="1376"/>
      <c r="B205" s="1479"/>
      <c r="C205" s="894"/>
      <c r="D205" s="399"/>
      <c r="E205" s="399"/>
      <c r="F205" s="399"/>
      <c r="G205" s="399"/>
      <c r="H205" s="399"/>
      <c r="I205" s="896"/>
      <c r="J205" s="371" t="s">
        <v>162</v>
      </c>
      <c r="K205" s="381">
        <f>538299.94-18.95</f>
        <v>538280.99</v>
      </c>
      <c r="L205" s="476"/>
      <c r="M205" s="445">
        <f>25979.4+7845.78+10481.82+35807.18+13979.28+20153.79+6086.43+33773.22+10199.53+25979.4+7845.78+33825.17+33825.17+57325.77+16104.39+11808.78+3566.27+48511.91+14650.58</f>
        <v>417749.65000000008</v>
      </c>
      <c r="N205" s="365"/>
      <c r="O205" s="374"/>
    </row>
    <row r="206" spans="1:16" s="366" customFormat="1" ht="15.6" x14ac:dyDescent="0.3">
      <c r="A206" s="1365"/>
      <c r="B206" s="1480"/>
      <c r="C206" s="392"/>
      <c r="D206" s="370"/>
      <c r="E206" s="370"/>
      <c r="F206" s="370"/>
      <c r="G206" s="370"/>
      <c r="H206" s="370"/>
      <c r="I206" s="398"/>
      <c r="J206" s="371" t="s">
        <v>586</v>
      </c>
      <c r="K206" s="381">
        <v>46100.06</v>
      </c>
      <c r="L206" s="476"/>
      <c r="M206" s="445">
        <f>8599+10000+1000+8000</f>
        <v>27599</v>
      </c>
      <c r="N206" s="365"/>
      <c r="O206" s="374"/>
    </row>
    <row r="207" spans="1:16" s="366" customFormat="1" ht="34.799999999999997" x14ac:dyDescent="0.3">
      <c r="A207" s="1375">
        <v>13</v>
      </c>
      <c r="B207" s="607" t="s">
        <v>1215</v>
      </c>
      <c r="C207" s="392"/>
      <c r="D207" s="370"/>
      <c r="E207" s="370"/>
      <c r="F207" s="370"/>
      <c r="G207" s="370"/>
      <c r="H207" s="370"/>
      <c r="I207" s="497"/>
      <c r="J207" s="371"/>
      <c r="K207" s="381"/>
      <c r="L207" s="476"/>
      <c r="M207" s="661"/>
      <c r="N207" s="365"/>
      <c r="O207" s="374"/>
    </row>
    <row r="208" spans="1:16" s="366" customFormat="1" ht="25.5" customHeight="1" x14ac:dyDescent="0.3">
      <c r="A208" s="1376"/>
      <c r="B208" s="1377" t="s">
        <v>1216</v>
      </c>
      <c r="C208" s="395" t="s">
        <v>1141</v>
      </c>
      <c r="D208" s="592"/>
      <c r="E208" s="592"/>
      <c r="F208" s="592"/>
      <c r="G208" s="592"/>
      <c r="H208" s="592"/>
      <c r="I208" s="594" t="s">
        <v>1279</v>
      </c>
      <c r="J208" s="371"/>
      <c r="K208" s="422">
        <f>K209+K210</f>
        <v>573397.1</v>
      </c>
      <c r="L208" s="476"/>
      <c r="M208" s="422">
        <f>M209+M210</f>
        <v>514959.84999999992</v>
      </c>
      <c r="N208" s="365"/>
      <c r="O208" s="374" t="s">
        <v>151</v>
      </c>
    </row>
    <row r="209" spans="1:15" s="366" customFormat="1" ht="15.6" x14ac:dyDescent="0.3">
      <c r="A209" s="1376"/>
      <c r="B209" s="1377"/>
      <c r="C209" s="1388"/>
      <c r="D209" s="592"/>
      <c r="E209" s="592"/>
      <c r="F209" s="592"/>
      <c r="G209" s="592"/>
      <c r="H209" s="592"/>
      <c r="I209" s="1395"/>
      <c r="J209" s="371" t="s">
        <v>162</v>
      </c>
      <c r="K209" s="381">
        <f>539686.9-2.9</f>
        <v>539684</v>
      </c>
      <c r="L209" s="476"/>
      <c r="M209" s="445">
        <f>29652.04+8954.91+3932.34+57670.74+5700+18604.14+38547.65+11641.39+22413.32+78216.34+113.9+38264.52-113.9-113.9+40221.59+12146.92+29652.04+8954.91+35137.82+10611.63+25416.02+7675.64</f>
        <v>483300.05999999994</v>
      </c>
      <c r="N209" s="365"/>
      <c r="O209" s="374"/>
    </row>
    <row r="210" spans="1:15" s="366" customFormat="1" ht="15.6" x14ac:dyDescent="0.3">
      <c r="A210" s="1376"/>
      <c r="B210" s="1377"/>
      <c r="C210" s="1379"/>
      <c r="D210" s="592"/>
      <c r="E210" s="592"/>
      <c r="F210" s="592"/>
      <c r="G210" s="592"/>
      <c r="H210" s="592"/>
      <c r="I210" s="1393"/>
      <c r="J210" s="371" t="s">
        <v>586</v>
      </c>
      <c r="K210" s="381">
        <v>33713.1</v>
      </c>
      <c r="L210" s="476"/>
      <c r="M210" s="445">
        <f>1767.46+3423.81+1335.61+1731.41+1770+6770+1770+9551.5+1770+1770</f>
        <v>31659.79</v>
      </c>
      <c r="N210" s="365"/>
      <c r="O210" s="374"/>
    </row>
    <row r="211" spans="1:15" s="366" customFormat="1" ht="62.4" x14ac:dyDescent="0.3">
      <c r="A211" s="1376"/>
      <c r="B211" s="608" t="s">
        <v>1217</v>
      </c>
      <c r="C211" s="395" t="s">
        <v>1142</v>
      </c>
      <c r="D211" s="592"/>
      <c r="E211" s="592"/>
      <c r="F211" s="592"/>
      <c r="G211" s="592"/>
      <c r="H211" s="592"/>
      <c r="I211" s="594" t="s">
        <v>1305</v>
      </c>
      <c r="J211" s="371" t="s">
        <v>613</v>
      </c>
      <c r="K211" s="422">
        <f>43977400-56.79-2398764.17</f>
        <v>41578579.039999999</v>
      </c>
      <c r="L211" s="476"/>
      <c r="M211" s="939">
        <f>2619427.54+595333.96+2415772.19+683972.58+2501762.64+714093.95+2735760.22+679286.64+2690562.84+672144.96+3701564.9+3550587.42+2766357.03+730749.04+2485074.28+812624.29+2478755.87+938191.88+46770.53+313538.41</f>
        <v>34132331.169999994</v>
      </c>
      <c r="N211" s="365"/>
      <c r="O211" s="1350" t="s">
        <v>968</v>
      </c>
    </row>
    <row r="212" spans="1:15" s="366" customFormat="1" ht="15.6" x14ac:dyDescent="0.3">
      <c r="A212" s="1376"/>
      <c r="B212" s="1377" t="s">
        <v>1218</v>
      </c>
      <c r="C212" s="395" t="s">
        <v>1105</v>
      </c>
      <c r="D212" s="592"/>
      <c r="E212" s="592"/>
      <c r="F212" s="592"/>
      <c r="G212" s="592"/>
      <c r="H212" s="592"/>
      <c r="I212" s="594" t="s">
        <v>1313</v>
      </c>
      <c r="J212" s="371"/>
      <c r="K212" s="422">
        <f>K213+K214</f>
        <v>155831249.56999999</v>
      </c>
      <c r="L212" s="476"/>
      <c r="M212" s="422">
        <f>M213+M214</f>
        <v>130471231.25999999</v>
      </c>
      <c r="N212" s="365"/>
      <c r="O212" s="1394"/>
    </row>
    <row r="213" spans="1:15" s="366" customFormat="1" ht="15.6" x14ac:dyDescent="0.3">
      <c r="A213" s="1376"/>
      <c r="B213" s="1377"/>
      <c r="C213" s="1388"/>
      <c r="D213" s="592"/>
      <c r="E213" s="592"/>
      <c r="F213" s="592"/>
      <c r="G213" s="592"/>
      <c r="H213" s="592"/>
      <c r="I213" s="1395"/>
      <c r="J213" s="371" t="s">
        <v>586</v>
      </c>
      <c r="K213" s="381"/>
      <c r="L213" s="476"/>
      <c r="M213" s="445"/>
      <c r="N213" s="365"/>
      <c r="O213" s="1394"/>
    </row>
    <row r="214" spans="1:15" s="366" customFormat="1" ht="15.6" x14ac:dyDescent="0.3">
      <c r="A214" s="1376"/>
      <c r="B214" s="1377"/>
      <c r="C214" s="1379"/>
      <c r="D214" s="592"/>
      <c r="E214" s="592"/>
      <c r="F214" s="592"/>
      <c r="G214" s="592"/>
      <c r="H214" s="592"/>
      <c r="I214" s="1393"/>
      <c r="J214" s="371" t="s">
        <v>613</v>
      </c>
      <c r="K214" s="381">
        <f>155831300-50.43</f>
        <v>155831249.56999999</v>
      </c>
      <c r="L214" s="476"/>
      <c r="M214" s="445">
        <f>9004508.92+591141.05+12556560.11+488552.18+11893748.58+540298.1+12499910.88+540211.56+690980.37+14512375.96+29462273.57+1904156.99+10441643.46+120603.79+531115.04+10735594.85+12092057.8+526081.85+1339416.2</f>
        <v>130471231.25999999</v>
      </c>
      <c r="N214" s="365"/>
      <c r="O214" s="1394"/>
    </row>
    <row r="215" spans="1:15" s="366" customFormat="1" ht="15.6" x14ac:dyDescent="0.3">
      <c r="A215" s="1376"/>
      <c r="B215" s="1377" t="s">
        <v>1368</v>
      </c>
      <c r="C215" s="1388" t="s">
        <v>1145</v>
      </c>
      <c r="D215" s="592"/>
      <c r="E215" s="592"/>
      <c r="F215" s="592"/>
      <c r="G215" s="592"/>
      <c r="H215" s="592"/>
      <c r="I215" s="1395" t="s">
        <v>1326</v>
      </c>
      <c r="J215" s="371"/>
      <c r="K215" s="422">
        <f>K217+K218+K216</f>
        <v>10826938.460000001</v>
      </c>
      <c r="L215" s="476"/>
      <c r="M215" s="422">
        <f>M217+M218+M216</f>
        <v>9334832.629999999</v>
      </c>
      <c r="N215" s="365"/>
      <c r="O215" s="1394"/>
    </row>
    <row r="216" spans="1:15" s="366" customFormat="1" ht="15.6" x14ac:dyDescent="0.3">
      <c r="A216" s="1376"/>
      <c r="B216" s="1377"/>
      <c r="C216" s="1405"/>
      <c r="D216" s="592"/>
      <c r="E216" s="592"/>
      <c r="F216" s="592"/>
      <c r="G216" s="592"/>
      <c r="H216" s="592"/>
      <c r="I216" s="1406"/>
      <c r="J216" s="371" t="s">
        <v>586</v>
      </c>
      <c r="K216" s="381">
        <v>50400</v>
      </c>
      <c r="L216" s="476"/>
      <c r="M216" s="740">
        <f>5615.36+5627.77+12412.51</f>
        <v>23655.64</v>
      </c>
      <c r="N216" s="365"/>
      <c r="O216" s="1394"/>
    </row>
    <row r="217" spans="1:15" s="366" customFormat="1" ht="15.6" x14ac:dyDescent="0.3">
      <c r="A217" s="1376"/>
      <c r="B217" s="1377"/>
      <c r="C217" s="1405"/>
      <c r="D217" s="592"/>
      <c r="E217" s="592"/>
      <c r="F217" s="592"/>
      <c r="G217" s="592"/>
      <c r="H217" s="592"/>
      <c r="I217" s="1406"/>
      <c r="J217" s="371" t="s">
        <v>764</v>
      </c>
      <c r="K217" s="381">
        <f>7075400+22.92-4825400-50400+1000000</f>
        <v>3199622.92</v>
      </c>
      <c r="L217" s="476"/>
      <c r="M217" s="445">
        <f>615180.58+275872.01+285664.98+562777.7+215247.82+221672.44+242467.16+282847.32+279314.25</f>
        <v>2981044.26</v>
      </c>
      <c r="N217" s="365"/>
      <c r="O217" s="1394"/>
    </row>
    <row r="218" spans="1:15" s="366" customFormat="1" ht="15.6" x14ac:dyDescent="0.3">
      <c r="A218" s="1376"/>
      <c r="B218" s="1377"/>
      <c r="C218" s="1379"/>
      <c r="D218" s="592"/>
      <c r="E218" s="592"/>
      <c r="F218" s="592"/>
      <c r="G218" s="592"/>
      <c r="H218" s="592"/>
      <c r="I218" s="1393"/>
      <c r="J218" s="371" t="s">
        <v>613</v>
      </c>
      <c r="K218" s="381">
        <f>4825400+2751515.54</f>
        <v>7576915.54</v>
      </c>
      <c r="L218" s="476"/>
      <c r="M218" s="445">
        <f>1295117.99+274734.8+136154.6+189158.35+527701.61+166435.54+1007935.24+166769.69+695979.16+270763.3+315679.25+161141.26+420683.31+196484.85+288210.83+217182.95</f>
        <v>6330132.7299999986</v>
      </c>
      <c r="N218" s="365"/>
      <c r="O218" s="1394"/>
    </row>
    <row r="219" spans="1:15" s="366" customFormat="1" ht="46.8" hidden="1" x14ac:dyDescent="0.3">
      <c r="A219" s="1376"/>
      <c r="B219" s="608" t="s">
        <v>1220</v>
      </c>
      <c r="C219" s="1045" t="s">
        <v>1105</v>
      </c>
      <c r="D219" s="592"/>
      <c r="E219" s="592"/>
      <c r="F219" s="592"/>
      <c r="G219" s="592"/>
      <c r="H219" s="592"/>
      <c r="I219" s="610" t="s">
        <v>1189</v>
      </c>
      <c r="J219" s="371" t="s">
        <v>613</v>
      </c>
      <c r="K219" s="422"/>
      <c r="L219" s="476"/>
      <c r="M219" s="939"/>
      <c r="N219" s="365"/>
      <c r="O219" s="1394"/>
    </row>
    <row r="220" spans="1:15" s="366" customFormat="1" ht="46.8" x14ac:dyDescent="0.3">
      <c r="A220" s="1465"/>
      <c r="B220" s="748" t="s">
        <v>1420</v>
      </c>
      <c r="C220" s="1045" t="s">
        <v>1142</v>
      </c>
      <c r="D220" s="592"/>
      <c r="E220" s="592"/>
      <c r="F220" s="592"/>
      <c r="G220" s="592"/>
      <c r="H220" s="592"/>
      <c r="I220" s="610" t="s">
        <v>1419</v>
      </c>
      <c r="J220" s="371" t="s">
        <v>700</v>
      </c>
      <c r="K220" s="422">
        <v>2957120.27</v>
      </c>
      <c r="L220" s="476"/>
      <c r="M220" s="940">
        <v>2957120.27</v>
      </c>
      <c r="N220" s="365"/>
      <c r="O220" s="1466"/>
    </row>
    <row r="221" spans="1:15" s="366" customFormat="1" ht="15.6" x14ac:dyDescent="0.3">
      <c r="A221" s="1376"/>
      <c r="B221" s="1377" t="s">
        <v>1221</v>
      </c>
      <c r="C221" s="1045" t="s">
        <v>1143</v>
      </c>
      <c r="D221" s="592"/>
      <c r="E221" s="592"/>
      <c r="F221" s="592"/>
      <c r="G221" s="592"/>
      <c r="H221" s="592"/>
      <c r="I221" s="610" t="s">
        <v>1319</v>
      </c>
      <c r="J221" s="371"/>
      <c r="K221" s="422">
        <f>K223+K224+K222</f>
        <v>1566340</v>
      </c>
      <c r="L221" s="476"/>
      <c r="M221" s="422">
        <f>M223+M224+M222</f>
        <v>1566340</v>
      </c>
      <c r="N221" s="365"/>
      <c r="O221" s="1394"/>
    </row>
    <row r="222" spans="1:15" s="366" customFormat="1" ht="15.6" x14ac:dyDescent="0.3">
      <c r="A222" s="1376"/>
      <c r="B222" s="1377"/>
      <c r="C222" s="1045"/>
      <c r="D222" s="592"/>
      <c r="E222" s="592"/>
      <c r="F222" s="592"/>
      <c r="G222" s="592"/>
      <c r="H222" s="592"/>
      <c r="I222" s="610"/>
      <c r="J222" s="371" t="s">
        <v>586</v>
      </c>
      <c r="K222" s="381">
        <v>239030.39999999999</v>
      </c>
      <c r="L222" s="476"/>
      <c r="M222" s="740">
        <v>239030.39999999999</v>
      </c>
      <c r="N222" s="365"/>
      <c r="O222" s="1394"/>
    </row>
    <row r="223" spans="1:15" s="366" customFormat="1" ht="15.6" x14ac:dyDescent="0.3">
      <c r="A223" s="1376"/>
      <c r="B223" s="1377"/>
      <c r="C223" s="1045"/>
      <c r="D223" s="592"/>
      <c r="E223" s="592"/>
      <c r="F223" s="592"/>
      <c r="G223" s="592"/>
      <c r="H223" s="592"/>
      <c r="I223" s="610"/>
      <c r="J223" s="371" t="s">
        <v>764</v>
      </c>
      <c r="K223" s="381"/>
      <c r="L223" s="476"/>
      <c r="M223" s="445"/>
      <c r="N223" s="365"/>
      <c r="O223" s="1394"/>
    </row>
    <row r="224" spans="1:15" s="366" customFormat="1" ht="15.6" x14ac:dyDescent="0.3">
      <c r="A224" s="1376"/>
      <c r="B224" s="1377"/>
      <c r="C224" s="1045"/>
      <c r="D224" s="592"/>
      <c r="E224" s="592"/>
      <c r="F224" s="592"/>
      <c r="G224" s="592"/>
      <c r="H224" s="592"/>
      <c r="I224" s="610"/>
      <c r="J224" s="371" t="s">
        <v>613</v>
      </c>
      <c r="K224" s="381">
        <f>1361000+130+205210-239030.4</f>
        <v>1327309.6000000001</v>
      </c>
      <c r="L224" s="476"/>
      <c r="M224" s="445">
        <v>1327309.6000000001</v>
      </c>
      <c r="N224" s="365"/>
      <c r="O224" s="1394"/>
    </row>
    <row r="225" spans="1:64" s="366" customFormat="1" ht="46.8" x14ac:dyDescent="0.3">
      <c r="A225" s="1376"/>
      <c r="B225" s="748" t="s">
        <v>1396</v>
      </c>
      <c r="C225" s="550" t="s">
        <v>1398</v>
      </c>
      <c r="D225" s="592"/>
      <c r="E225" s="592"/>
      <c r="F225" s="592"/>
      <c r="G225" s="592"/>
      <c r="H225" s="592"/>
      <c r="I225" s="611" t="s">
        <v>1399</v>
      </c>
      <c r="J225" s="397" t="s">
        <v>613</v>
      </c>
      <c r="K225" s="612">
        <v>456000</v>
      </c>
      <c r="L225" s="476"/>
      <c r="M225" s="940"/>
      <c r="N225" s="365"/>
      <c r="O225" s="1394"/>
    </row>
    <row r="226" spans="1:64" s="713" customFormat="1" ht="46.8" x14ac:dyDescent="0.3">
      <c r="A226" s="1376"/>
      <c r="B226" s="608" t="s">
        <v>1223</v>
      </c>
      <c r="C226" s="550" t="s">
        <v>1142</v>
      </c>
      <c r="D226" s="592"/>
      <c r="E226" s="592"/>
      <c r="F226" s="592"/>
      <c r="G226" s="592"/>
      <c r="H226" s="592"/>
      <c r="I226" s="611" t="s">
        <v>1371</v>
      </c>
      <c r="J226" s="397" t="s">
        <v>700</v>
      </c>
      <c r="K226" s="612">
        <f>1929041.48+80226.97</f>
        <v>2009268.45</v>
      </c>
      <c r="L226" s="476"/>
      <c r="M226" s="940">
        <f>1929041.48+80226.97</f>
        <v>2009268.45</v>
      </c>
      <c r="N226" s="712"/>
      <c r="O226" s="1394"/>
      <c r="Q226" s="366"/>
      <c r="R226" s="366"/>
      <c r="S226" s="366"/>
      <c r="T226" s="366"/>
      <c r="U226" s="366"/>
      <c r="V226" s="366"/>
      <c r="W226" s="366"/>
      <c r="X226" s="366"/>
      <c r="Y226" s="366"/>
      <c r="Z226" s="366"/>
      <c r="AA226" s="366"/>
      <c r="AB226" s="366"/>
      <c r="AC226" s="366"/>
      <c r="AD226" s="366"/>
      <c r="AE226" s="366"/>
      <c r="AF226" s="366"/>
      <c r="AG226" s="366"/>
      <c r="AH226" s="366"/>
      <c r="AI226" s="366"/>
      <c r="AJ226" s="366"/>
      <c r="AK226" s="366"/>
      <c r="AL226" s="366"/>
      <c r="AM226" s="366"/>
      <c r="AN226" s="366"/>
      <c r="AO226" s="366"/>
      <c r="AP226" s="366"/>
      <c r="AQ226" s="366"/>
      <c r="AR226" s="366"/>
      <c r="AS226" s="366"/>
      <c r="AT226" s="366"/>
      <c r="AU226" s="366"/>
      <c r="AV226" s="366"/>
      <c r="AW226" s="366"/>
      <c r="AX226" s="366"/>
      <c r="AY226" s="366"/>
      <c r="AZ226" s="366"/>
      <c r="BA226" s="366"/>
      <c r="BB226" s="366"/>
      <c r="BC226" s="366"/>
      <c r="BD226" s="366"/>
      <c r="BE226" s="366"/>
      <c r="BF226" s="366"/>
      <c r="BG226" s="366"/>
      <c r="BH226" s="366"/>
      <c r="BI226" s="366"/>
      <c r="BJ226" s="366"/>
      <c r="BK226" s="366"/>
      <c r="BL226" s="366"/>
    </row>
    <row r="227" spans="1:64" s="366" customFormat="1" ht="46.8" hidden="1" x14ac:dyDescent="0.3">
      <c r="A227" s="1376"/>
      <c r="B227" s="608" t="s">
        <v>1224</v>
      </c>
      <c r="C227" s="550" t="s">
        <v>1105</v>
      </c>
      <c r="D227" s="592"/>
      <c r="E227" s="592"/>
      <c r="F227" s="592"/>
      <c r="G227" s="592"/>
      <c r="H227" s="592"/>
      <c r="I227" s="611" t="s">
        <v>1193</v>
      </c>
      <c r="J227" s="397" t="s">
        <v>613</v>
      </c>
      <c r="K227" s="612"/>
      <c r="L227" s="476"/>
      <c r="M227" s="940"/>
      <c r="N227" s="365"/>
      <c r="O227" s="1352"/>
    </row>
    <row r="228" spans="1:64" s="366" customFormat="1" ht="17.399999999999999" x14ac:dyDescent="0.3">
      <c r="A228" s="1365"/>
      <c r="B228" s="614" t="s">
        <v>483</v>
      </c>
      <c r="C228" s="615"/>
      <c r="D228" s="616"/>
      <c r="E228" s="616"/>
      <c r="F228" s="616"/>
      <c r="G228" s="616"/>
      <c r="H228" s="616"/>
      <c r="I228" s="617"/>
      <c r="J228" s="371"/>
      <c r="K228" s="422">
        <f>K208+K211+K212+K215+K219+K221+K225+K226+K227+K220</f>
        <v>215798892.88999999</v>
      </c>
      <c r="L228" s="625"/>
      <c r="M228" s="422">
        <f>M208+M211+M212+M215+M219+M221+M225+M226+M227+M220</f>
        <v>180986083.62999997</v>
      </c>
      <c r="N228" s="365"/>
      <c r="O228" s="619"/>
    </row>
    <row r="229" spans="1:64" s="366" customFormat="1" ht="36" x14ac:dyDescent="0.35">
      <c r="A229" s="1043">
        <v>13</v>
      </c>
      <c r="B229" s="620" t="s">
        <v>1164</v>
      </c>
      <c r="C229" s="395" t="s">
        <v>1109</v>
      </c>
      <c r="D229" s="592"/>
      <c r="E229" s="592"/>
      <c r="F229" s="592"/>
      <c r="G229" s="592"/>
      <c r="H229" s="592"/>
      <c r="I229" s="611"/>
      <c r="J229" s="397"/>
      <c r="K229" s="612">
        <f>K230+K231+K232</f>
        <v>0</v>
      </c>
      <c r="L229" s="625"/>
      <c r="M229" s="612"/>
      <c r="N229" s="365"/>
      <c r="O229" s="432" t="s">
        <v>151</v>
      </c>
    </row>
    <row r="230" spans="1:64" s="366" customFormat="1" ht="46.8" hidden="1" x14ac:dyDescent="0.3">
      <c r="A230" s="1043">
        <v>14</v>
      </c>
      <c r="B230" s="621" t="s">
        <v>1165</v>
      </c>
      <c r="C230" s="395" t="s">
        <v>1109</v>
      </c>
      <c r="D230" s="592"/>
      <c r="E230" s="592"/>
      <c r="F230" s="592"/>
      <c r="G230" s="592"/>
      <c r="H230" s="592"/>
      <c r="I230" s="611" t="s">
        <v>1166</v>
      </c>
      <c r="J230" s="397" t="s">
        <v>700</v>
      </c>
      <c r="K230" s="612"/>
      <c r="L230" s="625"/>
      <c r="M230" s="622"/>
      <c r="N230" s="365"/>
      <c r="O230" s="619"/>
    </row>
    <row r="231" spans="1:64" s="366" customFormat="1" ht="31.2" hidden="1" x14ac:dyDescent="0.3">
      <c r="A231" s="1043">
        <v>15</v>
      </c>
      <c r="B231" s="466" t="s">
        <v>1176</v>
      </c>
      <c r="C231" s="451" t="s">
        <v>1109</v>
      </c>
      <c r="I231" s="531" t="s">
        <v>1177</v>
      </c>
      <c r="J231" s="397" t="s">
        <v>700</v>
      </c>
      <c r="K231" s="612"/>
      <c r="L231" s="625"/>
      <c r="M231" s="622"/>
      <c r="N231" s="365"/>
      <c r="O231" s="619"/>
    </row>
    <row r="232" spans="1:64" s="366" customFormat="1" ht="15.6" hidden="1" x14ac:dyDescent="0.3">
      <c r="A232" s="1043">
        <v>16</v>
      </c>
      <c r="B232" s="521" t="s">
        <v>1207</v>
      </c>
      <c r="C232" s="451" t="s">
        <v>1111</v>
      </c>
      <c r="I232" s="531" t="s">
        <v>1208</v>
      </c>
      <c r="J232" s="397" t="s">
        <v>764</v>
      </c>
      <c r="K232" s="612"/>
      <c r="L232" s="625"/>
      <c r="M232" s="612"/>
      <c r="N232" s="365"/>
      <c r="O232" s="619"/>
    </row>
    <row r="233" spans="1:64" s="366" customFormat="1" ht="18" hidden="1" x14ac:dyDescent="0.35">
      <c r="A233" s="1043">
        <v>17</v>
      </c>
      <c r="B233" s="623" t="s">
        <v>322</v>
      </c>
      <c r="C233" s="451" t="s">
        <v>1159</v>
      </c>
      <c r="I233" s="531" t="s">
        <v>1178</v>
      </c>
      <c r="J233" s="397" t="s">
        <v>813</v>
      </c>
      <c r="K233" s="612"/>
      <c r="L233" s="625"/>
      <c r="M233" s="612"/>
      <c r="N233" s="365"/>
      <c r="O233" s="448" t="s">
        <v>1179</v>
      </c>
    </row>
    <row r="234" spans="1:64" s="366" customFormat="1" ht="46.8" hidden="1" x14ac:dyDescent="0.3">
      <c r="A234" s="1043">
        <v>18</v>
      </c>
      <c r="B234" s="466" t="s">
        <v>1199</v>
      </c>
      <c r="C234" s="451" t="s">
        <v>1103</v>
      </c>
      <c r="I234" s="531" t="s">
        <v>1200</v>
      </c>
      <c r="J234" s="397" t="s">
        <v>586</v>
      </c>
      <c r="K234" s="612"/>
      <c r="L234" s="625"/>
      <c r="M234" s="612"/>
      <c r="N234" s="365"/>
      <c r="O234" s="432" t="s">
        <v>151</v>
      </c>
    </row>
    <row r="235" spans="1:64" s="474" customFormat="1" ht="62.4" x14ac:dyDescent="0.3">
      <c r="A235" s="624">
        <v>14</v>
      </c>
      <c r="B235" s="423" t="s">
        <v>601</v>
      </c>
      <c r="C235" s="550" t="s">
        <v>1227</v>
      </c>
      <c r="I235" s="611" t="s">
        <v>1228</v>
      </c>
      <c r="J235" s="397" t="s">
        <v>586</v>
      </c>
      <c r="K235" s="612">
        <f>24200-13.73</f>
        <v>24186.27</v>
      </c>
      <c r="L235" s="625"/>
      <c r="M235" s="612">
        <v>10250</v>
      </c>
      <c r="N235" s="476"/>
      <c r="O235" s="432"/>
    </row>
    <row r="236" spans="1:64" s="474" customFormat="1" ht="31.2" x14ac:dyDescent="0.3">
      <c r="A236" s="624">
        <v>15</v>
      </c>
      <c r="B236" s="416" t="s">
        <v>1369</v>
      </c>
      <c r="C236" s="550" t="s">
        <v>1109</v>
      </c>
      <c r="I236" s="611" t="s">
        <v>1370</v>
      </c>
      <c r="J236" s="397" t="s">
        <v>700</v>
      </c>
      <c r="K236" s="612">
        <f>7065202.59+155395336</f>
        <v>162460538.59</v>
      </c>
      <c r="L236" s="625"/>
      <c r="M236" s="612">
        <f>2660770.7</f>
        <v>2660770.7000000002</v>
      </c>
      <c r="N236" s="476"/>
      <c r="O236" s="432"/>
    </row>
    <row r="237" spans="1:64" ht="21" x14ac:dyDescent="0.4">
      <c r="A237" s="410"/>
      <c r="B237" s="402" t="s">
        <v>1151</v>
      </c>
      <c r="C237" s="411"/>
      <c r="D237" s="411"/>
      <c r="E237" s="411"/>
      <c r="F237" s="411"/>
      <c r="G237" s="411"/>
      <c r="H237" s="411"/>
      <c r="I237" s="412"/>
      <c r="J237" s="413"/>
      <c r="K237" s="676">
        <f>K183+K189+K190+K192+K193+K194+K198+K199+K200+K203+K204+K228+K229+K231+K233+K234+K235+K201+K236+K202+K191+K197+K186</f>
        <v>497705872.30999994</v>
      </c>
      <c r="L237" s="408"/>
      <c r="M237" s="676">
        <f>M183+M189+M190+M192+M193+M194+M198+M199+M200+M203+M204+M228+M229+M231+M233+M234+M235+M201+M236+M202+M191+M197+M186</f>
        <v>297885338.90999997</v>
      </c>
      <c r="N237" s="354"/>
      <c r="O237" s="354"/>
    </row>
    <row r="238" spans="1:64" ht="46.8" x14ac:dyDescent="0.3">
      <c r="A238" s="444">
        <v>1</v>
      </c>
      <c r="B238" s="423" t="s">
        <v>513</v>
      </c>
      <c r="C238" s="1046" t="s">
        <v>1113</v>
      </c>
      <c r="D238" s="586"/>
      <c r="E238" s="586"/>
      <c r="F238" s="586"/>
      <c r="G238" s="586"/>
      <c r="H238" s="586"/>
      <c r="I238" s="587" t="s">
        <v>1291</v>
      </c>
      <c r="J238" s="834" t="s">
        <v>700</v>
      </c>
      <c r="K238" s="421">
        <f>4356000+1089000-101384</f>
        <v>5343616</v>
      </c>
      <c r="L238" s="474"/>
      <c r="M238" s="939">
        <f>195424+1705632+10432+850208+2545408</f>
        <v>5307104</v>
      </c>
      <c r="N238" s="366"/>
      <c r="O238" s="595" t="s">
        <v>151</v>
      </c>
    </row>
    <row r="239" spans="1:64" ht="15.6" x14ac:dyDescent="0.3">
      <c r="A239" s="1460">
        <v>2</v>
      </c>
      <c r="B239" s="1420" t="s">
        <v>1390</v>
      </c>
      <c r="C239" s="395" t="s">
        <v>1111</v>
      </c>
      <c r="D239" s="592"/>
      <c r="E239" s="592"/>
      <c r="F239" s="592"/>
      <c r="G239" s="592"/>
      <c r="H239" s="592"/>
      <c r="I239" s="397" t="s">
        <v>1391</v>
      </c>
      <c r="J239" s="397" t="s">
        <v>764</v>
      </c>
      <c r="K239" s="622">
        <f>400000-400000</f>
        <v>0</v>
      </c>
      <c r="L239" s="474"/>
      <c r="M239" s="939"/>
      <c r="N239" s="366"/>
      <c r="O239" s="595"/>
    </row>
    <row r="240" spans="1:64" ht="15.6" x14ac:dyDescent="0.3">
      <c r="A240" s="1419"/>
      <c r="B240" s="1421"/>
      <c r="C240" s="395" t="s">
        <v>1111</v>
      </c>
      <c r="D240" s="592"/>
      <c r="E240" s="592"/>
      <c r="F240" s="592"/>
      <c r="G240" s="592"/>
      <c r="H240" s="592"/>
      <c r="I240" s="397" t="s">
        <v>1406</v>
      </c>
      <c r="J240" s="397" t="s">
        <v>764</v>
      </c>
      <c r="K240" s="622">
        <v>400000</v>
      </c>
      <c r="L240" s="474"/>
      <c r="M240" s="939">
        <v>400000</v>
      </c>
      <c r="N240" s="366"/>
      <c r="O240" s="595"/>
    </row>
    <row r="241" spans="1:15" ht="36" x14ac:dyDescent="0.4">
      <c r="A241" s="444">
        <v>3</v>
      </c>
      <c r="B241" s="348" t="s">
        <v>1378</v>
      </c>
      <c r="C241" s="835" t="s">
        <v>1130</v>
      </c>
      <c r="I241" s="836" t="s">
        <v>1379</v>
      </c>
      <c r="J241" s="1054" t="s">
        <v>586</v>
      </c>
      <c r="K241" s="1016">
        <f>638410.08-95763.09+95763.09</f>
        <v>638410.07999999996</v>
      </c>
      <c r="L241" s="1017"/>
      <c r="M241" s="443">
        <f>3500+502150+13857.99</f>
        <v>519507.99</v>
      </c>
      <c r="N241" s="354"/>
      <c r="O241" s="342" t="s">
        <v>151</v>
      </c>
    </row>
    <row r="242" spans="1:15" ht="63.6" hidden="1" x14ac:dyDescent="0.4">
      <c r="A242" s="444">
        <v>2</v>
      </c>
      <c r="B242" s="115" t="s">
        <v>1210</v>
      </c>
      <c r="C242" s="351" t="s">
        <v>1105</v>
      </c>
      <c r="I242" s="357" t="s">
        <v>1211</v>
      </c>
      <c r="J242" s="415" t="s">
        <v>613</v>
      </c>
      <c r="K242" s="679"/>
      <c r="L242" s="1017"/>
      <c r="M242" s="440"/>
      <c r="N242" s="354"/>
      <c r="O242" s="342" t="s">
        <v>1152</v>
      </c>
    </row>
    <row r="243" spans="1:15" ht="46.8" x14ac:dyDescent="0.4">
      <c r="A243" s="444">
        <v>4</v>
      </c>
      <c r="B243" s="748" t="s">
        <v>1396</v>
      </c>
      <c r="C243" s="351" t="s">
        <v>1105</v>
      </c>
      <c r="I243" s="357" t="s">
        <v>1397</v>
      </c>
      <c r="J243" s="415" t="s">
        <v>613</v>
      </c>
      <c r="K243" s="679">
        <v>1064000</v>
      </c>
      <c r="L243" s="1017"/>
      <c r="M243" s="440">
        <f>541011.66+522988.34</f>
        <v>1064000</v>
      </c>
      <c r="N243" s="354"/>
      <c r="O243" s="342"/>
    </row>
    <row r="244" spans="1:15" ht="21" x14ac:dyDescent="0.4">
      <c r="A244" s="444"/>
      <c r="B244" s="115"/>
      <c r="C244" s="351"/>
      <c r="I244" s="357"/>
      <c r="J244" s="415"/>
      <c r="K244" s="679"/>
      <c r="L244" s="408"/>
      <c r="M244" s="440"/>
      <c r="N244" s="354"/>
      <c r="O244" s="342"/>
    </row>
    <row r="245" spans="1:15" ht="21" x14ac:dyDescent="0.4">
      <c r="A245" s="444"/>
      <c r="B245" s="115"/>
      <c r="C245" s="351"/>
      <c r="I245" s="357"/>
      <c r="J245" s="415"/>
      <c r="K245" s="679"/>
      <c r="L245" s="408"/>
      <c r="M245" s="440"/>
      <c r="N245" s="354"/>
      <c r="O245" s="342"/>
    </row>
    <row r="246" spans="1:15" ht="21" x14ac:dyDescent="0.4">
      <c r="A246" s="410"/>
      <c r="B246" s="402" t="s">
        <v>1212</v>
      </c>
      <c r="C246" s="411"/>
      <c r="D246" s="411"/>
      <c r="E246" s="411"/>
      <c r="F246" s="411"/>
      <c r="G246" s="411"/>
      <c r="H246" s="411"/>
      <c r="I246" s="413"/>
      <c r="J246" s="413"/>
      <c r="K246" s="680">
        <f>K238+K241+K239+K243+K240</f>
        <v>7446026.0800000001</v>
      </c>
      <c r="L246" s="408"/>
      <c r="M246" s="680">
        <f>M238+M241+M239+M243+M240</f>
        <v>7290611.9900000002</v>
      </c>
      <c r="N246" s="354"/>
      <c r="O246" s="354"/>
    </row>
    <row r="249" spans="1:15" ht="18" x14ac:dyDescent="0.35">
      <c r="A249" s="331" t="s">
        <v>1380</v>
      </c>
      <c r="B249" s="331"/>
      <c r="C249" s="331"/>
      <c r="D249" s="331"/>
      <c r="E249" s="331"/>
      <c r="F249" s="331"/>
      <c r="G249" s="331"/>
      <c r="H249" s="331"/>
      <c r="I249" s="355"/>
      <c r="J249" s="355"/>
      <c r="K249" s="681"/>
      <c r="L249" s="355"/>
      <c r="M249" s="331"/>
      <c r="N249" s="331"/>
      <c r="O249" s="331"/>
    </row>
    <row r="250" spans="1:15" ht="18" x14ac:dyDescent="0.35">
      <c r="A250" s="331" t="s">
        <v>1155</v>
      </c>
      <c r="B250" s="331"/>
      <c r="C250" s="331"/>
      <c r="D250" s="331"/>
      <c r="E250" s="331"/>
      <c r="F250" s="331"/>
      <c r="G250" s="331"/>
      <c r="H250" s="331"/>
      <c r="I250" s="355"/>
      <c r="J250" s="355"/>
      <c r="K250" s="681"/>
      <c r="L250" s="355"/>
      <c r="M250" s="331"/>
      <c r="N250" s="1391" t="s">
        <v>958</v>
      </c>
      <c r="O250" s="1391"/>
    </row>
    <row r="251" spans="1:15" ht="18" x14ac:dyDescent="0.35">
      <c r="A251" s="331"/>
      <c r="B251" s="331"/>
      <c r="C251" s="331"/>
      <c r="D251" s="331"/>
      <c r="E251" s="331"/>
      <c r="F251" s="331"/>
      <c r="G251" s="331"/>
      <c r="H251" s="331"/>
      <c r="I251" s="355"/>
      <c r="J251" s="355"/>
      <c r="K251" s="681"/>
      <c r="L251" s="355"/>
      <c r="M251" s="331"/>
      <c r="N251" s="331"/>
      <c r="O251" s="331"/>
    </row>
    <row r="252" spans="1:15" ht="18" x14ac:dyDescent="0.35">
      <c r="A252" s="331" t="s">
        <v>1156</v>
      </c>
      <c r="B252" s="331" t="s">
        <v>1414</v>
      </c>
      <c r="C252" s="331"/>
      <c r="D252" s="331"/>
      <c r="E252" s="331"/>
      <c r="F252" s="331"/>
      <c r="G252" s="331"/>
      <c r="H252" s="331"/>
      <c r="I252" s="355"/>
      <c r="J252" s="355"/>
      <c r="K252" s="681"/>
      <c r="L252" s="355"/>
      <c r="M252" s="331"/>
      <c r="N252" s="331"/>
      <c r="O252" s="331"/>
    </row>
    <row r="253" spans="1:15" ht="18" x14ac:dyDescent="0.35">
      <c r="A253" s="331"/>
      <c r="B253" s="331" t="s">
        <v>960</v>
      </c>
      <c r="C253" s="331"/>
      <c r="D253" s="331"/>
      <c r="E253" s="331"/>
      <c r="F253" s="331"/>
      <c r="G253" s="331"/>
      <c r="H253" s="331"/>
      <c r="I253" s="355"/>
      <c r="J253" s="355"/>
      <c r="K253" s="681"/>
      <c r="L253" s="355"/>
      <c r="M253" s="331"/>
      <c r="N253" s="331"/>
      <c r="O253" s="331"/>
    </row>
    <row r="255" spans="1:15" ht="15.6" x14ac:dyDescent="0.3">
      <c r="A255" s="420"/>
      <c r="B255" s="414"/>
      <c r="C255" s="417"/>
      <c r="D255" s="336"/>
      <c r="E255" s="336"/>
      <c r="F255" s="336"/>
      <c r="G255" s="336"/>
      <c r="H255" s="336"/>
      <c r="I255" s="418"/>
      <c r="J255" s="418"/>
      <c r="K255" s="367"/>
    </row>
    <row r="258" spans="2:13" ht="15.6" x14ac:dyDescent="0.3">
      <c r="B258" s="414"/>
      <c r="C258" s="417"/>
      <c r="D258" s="336"/>
      <c r="E258" s="336"/>
      <c r="F258" s="336"/>
      <c r="G258" s="336"/>
      <c r="H258" s="336"/>
      <c r="I258" s="418"/>
      <c r="J258" s="418"/>
      <c r="K258" s="582"/>
      <c r="L258" s="336"/>
      <c r="M258" s="336"/>
    </row>
    <row r="259" spans="2:13" x14ac:dyDescent="0.3">
      <c r="B259" s="336"/>
      <c r="C259" s="336"/>
      <c r="D259" s="336"/>
      <c r="E259" s="336"/>
      <c r="F259" s="336"/>
      <c r="G259" s="336"/>
      <c r="H259" s="336"/>
      <c r="I259" s="336"/>
      <c r="J259" s="336"/>
      <c r="K259" s="367"/>
      <c r="L259" s="336"/>
      <c r="M259" s="336"/>
    </row>
  </sheetData>
  <mergeCells count="139">
    <mergeCell ref="A30:A31"/>
    <mergeCell ref="B30:B31"/>
    <mergeCell ref="I30:I31"/>
    <mergeCell ref="M2:O2"/>
    <mergeCell ref="A3:B3"/>
    <mergeCell ref="M3:O3"/>
    <mergeCell ref="A4:B4"/>
    <mergeCell ref="A14:O14"/>
    <mergeCell ref="A6:B6"/>
    <mergeCell ref="A7:B7"/>
    <mergeCell ref="A8:B8"/>
    <mergeCell ref="I8:O8"/>
    <mergeCell ref="A9:B9"/>
    <mergeCell ref="I9:O9"/>
    <mergeCell ref="A10:B10"/>
    <mergeCell ref="I10:O10"/>
    <mergeCell ref="A11:B11"/>
    <mergeCell ref="I11:O11"/>
    <mergeCell ref="A12:B12"/>
    <mergeCell ref="A5:B5"/>
    <mergeCell ref="A2:B2"/>
    <mergeCell ref="N17:N19"/>
    <mergeCell ref="O17:P17"/>
    <mergeCell ref="O18:O20"/>
    <mergeCell ref="P18:P20"/>
    <mergeCell ref="A17:A20"/>
    <mergeCell ref="B17:B20"/>
    <mergeCell ref="C17:C20"/>
    <mergeCell ref="I17:I20"/>
    <mergeCell ref="J17:J20"/>
    <mergeCell ref="K17:K20"/>
    <mergeCell ref="L17:L19"/>
    <mergeCell ref="M17:M20"/>
    <mergeCell ref="B22:B23"/>
    <mergeCell ref="C22:C23"/>
    <mergeCell ref="I22:I23"/>
    <mergeCell ref="O22:O30"/>
    <mergeCell ref="O32:O33"/>
    <mergeCell ref="O38:O41"/>
    <mergeCell ref="O44:O47"/>
    <mergeCell ref="O50:O57"/>
    <mergeCell ref="B52:B53"/>
    <mergeCell ref="I52:I53"/>
    <mergeCell ref="B95:B96"/>
    <mergeCell ref="C95:C96"/>
    <mergeCell ref="I95:I96"/>
    <mergeCell ref="A97:A100"/>
    <mergeCell ref="B97:B100"/>
    <mergeCell ref="A87:A90"/>
    <mergeCell ref="B87:B90"/>
    <mergeCell ref="O87:O95"/>
    <mergeCell ref="A92:A93"/>
    <mergeCell ref="B92:B93"/>
    <mergeCell ref="I92:I93"/>
    <mergeCell ref="O171:O173"/>
    <mergeCell ref="O177:O178"/>
    <mergeCell ref="A183:A185"/>
    <mergeCell ref="B183:B185"/>
    <mergeCell ref="B186:B188"/>
    <mergeCell ref="C186:C188"/>
    <mergeCell ref="I186:I188"/>
    <mergeCell ref="A191:A192"/>
    <mergeCell ref="O156:O169"/>
    <mergeCell ref="B168:B170"/>
    <mergeCell ref="C168:C169"/>
    <mergeCell ref="I168:I170"/>
    <mergeCell ref="B191:B192"/>
    <mergeCell ref="A54:A55"/>
    <mergeCell ref="B54:B55"/>
    <mergeCell ref="I54:I55"/>
    <mergeCell ref="I61:I62"/>
    <mergeCell ref="O64:O67"/>
    <mergeCell ref="B66:B67"/>
    <mergeCell ref="O71:O72"/>
    <mergeCell ref="O75:O77"/>
    <mergeCell ref="O81:O84"/>
    <mergeCell ref="A66:A67"/>
    <mergeCell ref="I151:I153"/>
    <mergeCell ref="O97:O100"/>
    <mergeCell ref="A102:A105"/>
    <mergeCell ref="B102:B105"/>
    <mergeCell ref="O103:O105"/>
    <mergeCell ref="C104:C105"/>
    <mergeCell ref="I104:I105"/>
    <mergeCell ref="A106:A109"/>
    <mergeCell ref="B106:B109"/>
    <mergeCell ref="O106:O117"/>
    <mergeCell ref="A110:A111"/>
    <mergeCell ref="B110:B111"/>
    <mergeCell ref="I110:I111"/>
    <mergeCell ref="A125:A126"/>
    <mergeCell ref="B194:B196"/>
    <mergeCell ref="C195:C196"/>
    <mergeCell ref="I195:I196"/>
    <mergeCell ref="A197:A198"/>
    <mergeCell ref="B197:B198"/>
    <mergeCell ref="C197:C198"/>
    <mergeCell ref="I197:I198"/>
    <mergeCell ref="O120:O123"/>
    <mergeCell ref="O124:O125"/>
    <mergeCell ref="B125:B126"/>
    <mergeCell ref="I125:I126"/>
    <mergeCell ref="O130:O132"/>
    <mergeCell ref="O134:O154"/>
    <mergeCell ref="A141:A143"/>
    <mergeCell ref="B141:B143"/>
    <mergeCell ref="C141:C143"/>
    <mergeCell ref="I141:I143"/>
    <mergeCell ref="A146:A149"/>
    <mergeCell ref="B146:B149"/>
    <mergeCell ref="C147:C149"/>
    <mergeCell ref="I147:I149"/>
    <mergeCell ref="A150:A153"/>
    <mergeCell ref="B150:B153"/>
    <mergeCell ref="C151:C153"/>
    <mergeCell ref="A239:A240"/>
    <mergeCell ref="B239:B240"/>
    <mergeCell ref="N250:O250"/>
    <mergeCell ref="A24:A25"/>
    <mergeCell ref="B24:B25"/>
    <mergeCell ref="C24:C25"/>
    <mergeCell ref="I24:I25"/>
    <mergeCell ref="A204:A206"/>
    <mergeCell ref="B204:B206"/>
    <mergeCell ref="A207:A228"/>
    <mergeCell ref="B208:B210"/>
    <mergeCell ref="C209:C210"/>
    <mergeCell ref="I209:I210"/>
    <mergeCell ref="O211:O227"/>
    <mergeCell ref="B212:B214"/>
    <mergeCell ref="C213:C214"/>
    <mergeCell ref="I213:I214"/>
    <mergeCell ref="B215:B218"/>
    <mergeCell ref="C215:C218"/>
    <mergeCell ref="I215:I218"/>
    <mergeCell ref="B221:B224"/>
    <mergeCell ref="C191:C192"/>
    <mergeCell ref="I191:I192"/>
    <mergeCell ref="A194:A196"/>
  </mergeCells>
  <hyperlinks>
    <hyperlink ref="A8" r:id="rId1" display="mailto:rfo-skv@mail.ru"/>
  </hyperlinks>
  <pageMargins left="0.70866141732283472" right="0.70866141732283472" top="0.74803149606299213" bottom="0.74803149606299213" header="0.31496062992125984" footer="0.31496062992125984"/>
  <pageSetup paperSize="9" scale="58"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262"/>
  <sheetViews>
    <sheetView tabSelected="1" view="pageBreakPreview" zoomScaleNormal="90" zoomScaleSheetLayoutView="100" workbookViewId="0">
      <selection activeCell="C22" sqref="C22:C23"/>
    </sheetView>
  </sheetViews>
  <sheetFormatPr defaultRowHeight="14.4" x14ac:dyDescent="0.3"/>
  <cols>
    <col min="1" max="1" width="5.5546875" customWidth="1"/>
    <col min="2" max="2" width="78.44140625" customWidth="1"/>
    <col min="3" max="3" width="16.21875" customWidth="1"/>
    <col min="4" max="7" width="9.109375" hidden="1" customWidth="1"/>
    <col min="8" max="8" width="5.44140625" hidden="1" customWidth="1"/>
    <col min="9" max="9" width="16.44140625" customWidth="1"/>
    <col min="10" max="10" width="12" customWidth="1"/>
    <col min="11" max="11" width="19.88671875" customWidth="1"/>
    <col min="12" max="12" width="20.44140625" style="366" customWidth="1"/>
    <col min="13" max="13" width="0.109375" hidden="1" customWidth="1"/>
    <col min="14" max="14" width="19.21875" customWidth="1"/>
    <col min="15" max="15" width="0.109375" hidden="1" customWidth="1"/>
    <col min="16" max="16" width="6.21875" customWidth="1"/>
    <col min="17" max="17" width="37.109375" customWidth="1"/>
    <col min="18" max="18" width="25" hidden="1" customWidth="1"/>
  </cols>
  <sheetData>
    <row r="1" spans="1:17" ht="18" x14ac:dyDescent="0.35">
      <c r="A1" s="331"/>
      <c r="B1" s="1072"/>
      <c r="C1" s="330"/>
      <c r="D1" s="330"/>
      <c r="E1" s="1077"/>
      <c r="F1" s="331"/>
      <c r="G1" s="331"/>
      <c r="H1" s="331"/>
      <c r="I1" s="352"/>
      <c r="J1" s="352"/>
      <c r="K1" s="352"/>
      <c r="L1" s="666"/>
      <c r="M1" s="352"/>
      <c r="N1" s="352"/>
      <c r="O1" s="352"/>
      <c r="P1" s="352"/>
      <c r="Q1" s="353"/>
    </row>
    <row r="2" spans="1:17" ht="0.6" customHeight="1" x14ac:dyDescent="0.35">
      <c r="A2" s="1268"/>
      <c r="B2" s="1268"/>
      <c r="C2" s="330"/>
      <c r="D2" s="330"/>
      <c r="E2" s="1077"/>
      <c r="F2" s="331"/>
      <c r="G2" s="331"/>
      <c r="H2" s="331"/>
      <c r="I2" s="352"/>
      <c r="J2" s="352"/>
      <c r="K2" s="352"/>
      <c r="L2" s="666"/>
      <c r="M2" s="352"/>
      <c r="N2" s="1330"/>
      <c r="O2" s="1330"/>
      <c r="P2" s="1330"/>
      <c r="Q2" s="1330"/>
    </row>
    <row r="3" spans="1:17" ht="18" hidden="1" x14ac:dyDescent="0.35">
      <c r="A3" s="1268"/>
      <c r="B3" s="1268"/>
      <c r="C3" s="330"/>
      <c r="D3" s="330"/>
      <c r="E3" s="1077"/>
      <c r="F3" s="331"/>
      <c r="G3" s="331"/>
      <c r="H3" s="331"/>
      <c r="I3" s="352"/>
      <c r="J3" s="352"/>
      <c r="K3" s="352"/>
      <c r="L3" s="666"/>
      <c r="M3" s="352"/>
      <c r="N3" s="1330"/>
      <c r="O3" s="1330"/>
      <c r="P3" s="1330"/>
      <c r="Q3" s="1330"/>
    </row>
    <row r="4" spans="1:17" ht="18" hidden="1" x14ac:dyDescent="0.35">
      <c r="A4" s="1353"/>
      <c r="B4" s="1353"/>
      <c r="C4" s="330"/>
      <c r="D4" s="330"/>
      <c r="E4" s="1077"/>
      <c r="F4" s="331"/>
      <c r="G4" s="331"/>
      <c r="H4" s="331"/>
      <c r="I4" s="352"/>
      <c r="J4" s="352"/>
      <c r="K4" s="352"/>
      <c r="L4" s="666"/>
      <c r="M4" s="352"/>
      <c r="N4" s="352"/>
      <c r="O4" s="352"/>
      <c r="P4" s="352"/>
      <c r="Q4" s="353"/>
    </row>
    <row r="5" spans="1:17" ht="18" hidden="1" x14ac:dyDescent="0.35">
      <c r="A5" s="1353"/>
      <c r="B5" s="1353"/>
      <c r="C5" s="330"/>
      <c r="D5" s="330"/>
      <c r="E5" s="1077"/>
      <c r="F5" s="331"/>
      <c r="G5" s="331"/>
      <c r="H5" s="331"/>
      <c r="I5" s="352"/>
      <c r="J5" s="352"/>
      <c r="K5" s="352"/>
      <c r="L5" s="666"/>
      <c r="M5" s="352"/>
      <c r="N5" s="352"/>
      <c r="O5" s="352"/>
      <c r="P5" s="352"/>
      <c r="Q5" s="353"/>
    </row>
    <row r="6" spans="1:17" ht="18" hidden="1" x14ac:dyDescent="0.35">
      <c r="A6" s="1268"/>
      <c r="B6" s="1268"/>
      <c r="C6" s="330"/>
      <c r="D6" s="330"/>
      <c r="E6" s="1077"/>
      <c r="F6" s="331"/>
      <c r="G6" s="331"/>
      <c r="H6" s="331"/>
      <c r="I6" s="352"/>
      <c r="J6" s="352"/>
      <c r="K6" s="352"/>
      <c r="L6" s="666"/>
      <c r="M6" s="352"/>
      <c r="N6" s="352"/>
      <c r="O6" s="352"/>
      <c r="P6" s="352"/>
      <c r="Q6" s="353"/>
    </row>
    <row r="7" spans="1:17" ht="18" hidden="1" x14ac:dyDescent="0.35">
      <c r="A7" s="1268"/>
      <c r="B7" s="1268"/>
      <c r="C7" s="330"/>
      <c r="D7" s="330"/>
      <c r="E7" s="1077"/>
      <c r="F7" s="331"/>
      <c r="G7" s="331"/>
      <c r="H7" s="331"/>
      <c r="I7" s="352"/>
      <c r="J7" s="352"/>
      <c r="K7" s="352"/>
      <c r="L7" s="666"/>
      <c r="M7" s="352"/>
      <c r="N7" s="352"/>
      <c r="O7" s="352"/>
      <c r="P7" s="352"/>
      <c r="Q7" s="353"/>
    </row>
    <row r="8" spans="1:17" ht="18" hidden="1" x14ac:dyDescent="0.35">
      <c r="A8" s="1309"/>
      <c r="B8" s="1309"/>
      <c r="C8" s="330"/>
      <c r="D8" s="330"/>
      <c r="E8" s="1077"/>
      <c r="F8" s="331"/>
      <c r="G8" s="331"/>
      <c r="H8" s="331"/>
      <c r="I8" s="1310"/>
      <c r="J8" s="1310"/>
      <c r="K8" s="1310"/>
      <c r="L8" s="1310"/>
      <c r="M8" s="1310"/>
      <c r="N8" s="1310"/>
      <c r="O8" s="1310"/>
      <c r="P8" s="1310"/>
      <c r="Q8" s="1310"/>
    </row>
    <row r="9" spans="1:17" ht="18" hidden="1" x14ac:dyDescent="0.35">
      <c r="A9" s="1268"/>
      <c r="B9" s="1268"/>
      <c r="C9" s="330"/>
      <c r="D9" s="330"/>
      <c r="E9" s="1077"/>
      <c r="F9" s="331"/>
      <c r="G9" s="331"/>
      <c r="H9" s="331"/>
      <c r="I9" s="1310"/>
      <c r="J9" s="1310"/>
      <c r="K9" s="1310"/>
      <c r="L9" s="1310"/>
      <c r="M9" s="1310"/>
      <c r="N9" s="1310"/>
      <c r="O9" s="1310"/>
      <c r="P9" s="1310"/>
      <c r="Q9" s="1310"/>
    </row>
    <row r="10" spans="1:17" ht="18" hidden="1" x14ac:dyDescent="0.35">
      <c r="A10" s="1268"/>
      <c r="B10" s="1268"/>
      <c r="C10" s="330"/>
      <c r="D10" s="330"/>
      <c r="E10" s="1077"/>
      <c r="F10" s="331"/>
      <c r="G10" s="331"/>
      <c r="H10" s="331"/>
      <c r="I10" s="1310"/>
      <c r="J10" s="1310"/>
      <c r="K10" s="1310"/>
      <c r="L10" s="1310"/>
      <c r="M10" s="1310"/>
      <c r="N10" s="1310"/>
      <c r="O10" s="1310"/>
      <c r="P10" s="1310"/>
      <c r="Q10" s="1310"/>
    </row>
    <row r="11" spans="1:17" ht="18" hidden="1" x14ac:dyDescent="0.35">
      <c r="A11" s="1268"/>
      <c r="B11" s="1268"/>
      <c r="C11" s="330"/>
      <c r="D11" s="330"/>
      <c r="E11" s="1077"/>
      <c r="F11" s="331"/>
      <c r="G11" s="331"/>
      <c r="H11" s="331"/>
      <c r="I11" s="1310"/>
      <c r="J11" s="1310"/>
      <c r="K11" s="1310"/>
      <c r="L11" s="1310"/>
      <c r="M11" s="1310"/>
      <c r="N11" s="1310"/>
      <c r="O11" s="1310"/>
      <c r="P11" s="1310"/>
      <c r="Q11" s="1310"/>
    </row>
    <row r="12" spans="1:17" ht="18" hidden="1" x14ac:dyDescent="0.35">
      <c r="A12" s="1268"/>
      <c r="B12" s="1268"/>
      <c r="C12" s="330"/>
      <c r="D12" s="330"/>
      <c r="E12" s="1077"/>
      <c r="F12" s="331"/>
      <c r="G12" s="331"/>
      <c r="H12" s="331"/>
      <c r="I12" s="1075"/>
      <c r="J12" s="1075"/>
      <c r="K12" s="1101"/>
      <c r="L12" s="667"/>
      <c r="M12" s="1075"/>
      <c r="N12" s="1075"/>
      <c r="O12" s="1075"/>
      <c r="P12" s="1093"/>
      <c r="Q12" s="1075"/>
    </row>
    <row r="13" spans="1:17" ht="52.2" hidden="1" customHeight="1" x14ac:dyDescent="0.35">
      <c r="A13" s="331"/>
      <c r="B13" s="330"/>
      <c r="C13" s="330"/>
      <c r="D13" s="330"/>
      <c r="E13" s="1077"/>
      <c r="F13" s="331"/>
      <c r="G13" s="331"/>
      <c r="H13" s="331"/>
      <c r="I13" s="352"/>
      <c r="J13" s="352"/>
      <c r="K13" s="352"/>
      <c r="L13" s="666"/>
      <c r="M13" s="352"/>
      <c r="N13" s="352"/>
      <c r="O13" s="352"/>
      <c r="P13" s="352"/>
      <c r="Q13" s="353"/>
    </row>
    <row r="14" spans="1:17" ht="18" x14ac:dyDescent="0.35">
      <c r="A14" s="1315" t="s">
        <v>1335</v>
      </c>
      <c r="B14" s="1315"/>
      <c r="C14" s="1315"/>
      <c r="D14" s="1315"/>
      <c r="E14" s="1315"/>
      <c r="F14" s="1315"/>
      <c r="G14" s="1315"/>
      <c r="H14" s="1315"/>
      <c r="I14" s="1315"/>
      <c r="J14" s="1315"/>
      <c r="K14" s="1315"/>
      <c r="L14" s="1315"/>
      <c r="M14" s="1315"/>
      <c r="N14" s="1315"/>
      <c r="O14" s="1315"/>
      <c r="P14" s="1315"/>
      <c r="Q14" s="1315"/>
    </row>
    <row r="15" spans="1:17" ht="18" x14ac:dyDescent="0.35">
      <c r="A15" s="331"/>
      <c r="B15" s="330"/>
      <c r="C15" s="1315" t="s">
        <v>1437</v>
      </c>
      <c r="D15" s="1493"/>
      <c r="E15" s="1493"/>
      <c r="F15" s="1493"/>
      <c r="G15" s="1493"/>
      <c r="H15" s="1493"/>
      <c r="I15" s="1493"/>
      <c r="J15" s="1493"/>
      <c r="K15" s="1493"/>
      <c r="L15" s="666"/>
      <c r="M15" s="352"/>
      <c r="N15" s="352"/>
      <c r="O15" s="352"/>
      <c r="P15" s="352"/>
      <c r="Q15" s="1062" t="s">
        <v>478</v>
      </c>
    </row>
    <row r="16" spans="1:17" ht="15" thickBot="1" x14ac:dyDescent="0.35"/>
    <row r="17" spans="1:18" ht="18.75" customHeight="1" x14ac:dyDescent="0.35">
      <c r="A17" s="1313" t="s">
        <v>407</v>
      </c>
      <c r="B17" s="1269" t="s">
        <v>479</v>
      </c>
      <c r="C17" s="1274" t="s">
        <v>281</v>
      </c>
      <c r="D17" s="333"/>
      <c r="E17" s="1076"/>
      <c r="F17" s="334"/>
      <c r="G17" s="335"/>
      <c r="H17" s="335"/>
      <c r="I17" s="1277" t="s">
        <v>1085</v>
      </c>
      <c r="J17" s="1277" t="s">
        <v>510</v>
      </c>
      <c r="K17" s="1491" t="s">
        <v>1350</v>
      </c>
      <c r="L17" s="1491" t="s">
        <v>1435</v>
      </c>
      <c r="M17" s="1271" t="s">
        <v>1079</v>
      </c>
      <c r="N17" s="1485" t="s">
        <v>1427</v>
      </c>
      <c r="O17" s="1487" t="s">
        <v>1080</v>
      </c>
      <c r="P17" s="1098" t="s">
        <v>1432</v>
      </c>
      <c r="Q17" s="1488" t="s">
        <v>480</v>
      </c>
      <c r="R17" s="1311"/>
    </row>
    <row r="18" spans="1:18" ht="27.6" x14ac:dyDescent="0.35">
      <c r="A18" s="1313"/>
      <c r="B18" s="1269"/>
      <c r="C18" s="1399"/>
      <c r="D18" s="333"/>
      <c r="E18" s="1076"/>
      <c r="F18" s="334"/>
      <c r="G18" s="335"/>
      <c r="H18" s="335"/>
      <c r="I18" s="1400"/>
      <c r="J18" s="1400"/>
      <c r="K18" s="1491"/>
      <c r="L18" s="1491"/>
      <c r="M18" s="1426"/>
      <c r="N18" s="1485"/>
      <c r="O18" s="1487"/>
      <c r="P18" s="1097" t="s">
        <v>1433</v>
      </c>
      <c r="Q18" s="1489" t="s">
        <v>481</v>
      </c>
      <c r="R18" s="1312"/>
    </row>
    <row r="19" spans="1:18" ht="18" x14ac:dyDescent="0.35">
      <c r="A19" s="1313"/>
      <c r="B19" s="1269"/>
      <c r="C19" s="1399"/>
      <c r="D19" s="333"/>
      <c r="E19" s="1076"/>
      <c r="F19" s="335"/>
      <c r="G19" s="335"/>
      <c r="H19" s="335"/>
      <c r="I19" s="1400"/>
      <c r="J19" s="1400"/>
      <c r="K19" s="1491"/>
      <c r="L19" s="1491"/>
      <c r="M19" s="1273"/>
      <c r="N19" s="1485"/>
      <c r="O19" s="1487"/>
      <c r="P19" s="1146"/>
      <c r="Q19" s="1489"/>
      <c r="R19" s="1312"/>
    </row>
    <row r="20" spans="1:18" ht="18.600000000000001" hidden="1" thickBot="1" x14ac:dyDescent="0.4">
      <c r="A20" s="1314"/>
      <c r="B20" s="1398"/>
      <c r="C20" s="1399"/>
      <c r="D20" s="332"/>
      <c r="E20" s="1081"/>
      <c r="F20" s="344"/>
      <c r="G20" s="344"/>
      <c r="H20" s="344"/>
      <c r="I20" s="1400"/>
      <c r="J20" s="1400"/>
      <c r="K20" s="1492"/>
      <c r="L20" s="1492"/>
      <c r="M20" s="1080"/>
      <c r="N20" s="1486"/>
      <c r="O20" s="1094"/>
      <c r="P20" s="1096"/>
      <c r="Q20" s="1490"/>
      <c r="R20" s="1312"/>
    </row>
    <row r="21" spans="1:18" s="336" customFormat="1" ht="42" customHeight="1" x14ac:dyDescent="0.35">
      <c r="A21" s="347">
        <v>1</v>
      </c>
      <c r="B21" s="343" t="s">
        <v>1081</v>
      </c>
      <c r="C21" s="346"/>
      <c r="D21" s="664"/>
      <c r="E21" s="338"/>
      <c r="F21" s="339"/>
      <c r="G21" s="339"/>
      <c r="H21" s="339"/>
      <c r="I21" s="345" t="s">
        <v>1337</v>
      </c>
      <c r="J21" s="498"/>
      <c r="K21" s="1111">
        <f>K22+K24+K25+K26+K27+K28+K29+K30+K32</f>
        <v>1745140</v>
      </c>
      <c r="L21" s="1103">
        <f>L22+L25+L26+L27+L28+L29+L31+L32+L33+L30+L34+L23+L24</f>
        <v>1415802</v>
      </c>
      <c r="M21" s="340"/>
      <c r="N21" s="668">
        <f>N22+N25+N26+N27+N28+N29+N31+N32+N33+N30+N34+N23+N24</f>
        <v>1003831.26</v>
      </c>
      <c r="O21" s="341"/>
      <c r="P21" s="1095">
        <f>N21/L21*100</f>
        <v>70.901952391647981</v>
      </c>
      <c r="Q21" s="1107" t="s">
        <v>151</v>
      </c>
      <c r="R21" s="663"/>
    </row>
    <row r="22" spans="1:18" s="366" customFormat="1" ht="31.5" customHeight="1" x14ac:dyDescent="0.3">
      <c r="A22" s="1079"/>
      <c r="B22" s="1396" t="s">
        <v>627</v>
      </c>
      <c r="C22" s="1397" t="s">
        <v>1086</v>
      </c>
      <c r="D22" s="524"/>
      <c r="E22" s="524"/>
      <c r="F22" s="524"/>
      <c r="G22" s="524"/>
      <c r="H22" s="524"/>
      <c r="I22" s="1374" t="s">
        <v>1239</v>
      </c>
      <c r="J22" s="662" t="s">
        <v>586</v>
      </c>
      <c r="K22" s="1112">
        <v>73140</v>
      </c>
      <c r="L22" s="553">
        <f>73140-73140</f>
        <v>0</v>
      </c>
      <c r="M22" s="474"/>
      <c r="N22" s="739"/>
      <c r="O22" s="489"/>
      <c r="P22" s="1095"/>
      <c r="Q22" s="1335" t="s">
        <v>151</v>
      </c>
      <c r="R22" s="662"/>
    </row>
    <row r="23" spans="1:18" s="366" customFormat="1" ht="15.75" hidden="1" customHeight="1" x14ac:dyDescent="0.3">
      <c r="A23" s="1079"/>
      <c r="B23" s="1396"/>
      <c r="C23" s="1397"/>
      <c r="D23" s="524"/>
      <c r="E23" s="524"/>
      <c r="F23" s="524"/>
      <c r="G23" s="524"/>
      <c r="H23" s="524"/>
      <c r="I23" s="1374"/>
      <c r="J23" s="564" t="s">
        <v>528</v>
      </c>
      <c r="K23" s="1112"/>
      <c r="L23" s="1059"/>
      <c r="M23" s="474"/>
      <c r="N23" s="1060"/>
      <c r="O23" s="489"/>
      <c r="P23" s="1095"/>
      <c r="Q23" s="1335"/>
      <c r="R23" s="363"/>
    </row>
    <row r="24" spans="1:18" s="366" customFormat="1" ht="24" customHeight="1" x14ac:dyDescent="0.3">
      <c r="A24" s="1328"/>
      <c r="B24" s="1475" t="s">
        <v>630</v>
      </c>
      <c r="C24" s="1476" t="s">
        <v>1086</v>
      </c>
      <c r="D24" s="365"/>
      <c r="E24" s="365"/>
      <c r="F24" s="365"/>
      <c r="G24" s="365"/>
      <c r="H24" s="365"/>
      <c r="I24" s="1477" t="s">
        <v>1240</v>
      </c>
      <c r="J24" s="363" t="s">
        <v>586</v>
      </c>
      <c r="K24" s="1112"/>
      <c r="L24" s="553">
        <f>106000+14000-120000</f>
        <v>0</v>
      </c>
      <c r="M24" s="476"/>
      <c r="N24" s="445"/>
      <c r="O24" s="489"/>
      <c r="P24" s="1095"/>
      <c r="Q24" s="1335"/>
      <c r="R24" s="363"/>
    </row>
    <row r="25" spans="1:18" s="366" customFormat="1" ht="20.399999999999999" customHeight="1" x14ac:dyDescent="0.3">
      <c r="A25" s="1329"/>
      <c r="B25" s="1294"/>
      <c r="C25" s="1404"/>
      <c r="D25" s="365"/>
      <c r="E25" s="365"/>
      <c r="F25" s="365"/>
      <c r="G25" s="365"/>
      <c r="H25" s="365"/>
      <c r="I25" s="1306"/>
      <c r="J25" s="363" t="s">
        <v>1434</v>
      </c>
      <c r="K25" s="1112">
        <v>106000</v>
      </c>
      <c r="L25" s="553">
        <v>120000</v>
      </c>
      <c r="M25" s="474"/>
      <c r="N25" s="739">
        <v>120000</v>
      </c>
      <c r="O25" s="365"/>
      <c r="P25" s="1099">
        <f t="shared" ref="P25:P86" si="0">N25/L25*100</f>
        <v>100</v>
      </c>
      <c r="Q25" s="1335"/>
      <c r="R25" s="363"/>
    </row>
    <row r="26" spans="1:18" s="366" customFormat="1" ht="34.799999999999997" customHeight="1" x14ac:dyDescent="0.3">
      <c r="A26" s="388"/>
      <c r="B26" s="527" t="s">
        <v>633</v>
      </c>
      <c r="C26" s="1087" t="s">
        <v>1086</v>
      </c>
      <c r="I26" s="1061" t="s">
        <v>1241</v>
      </c>
      <c r="J26" s="662" t="s">
        <v>586</v>
      </c>
      <c r="K26" s="1112">
        <v>181000</v>
      </c>
      <c r="L26" s="457">
        <f>181000-80000-14000-87000</f>
        <v>0</v>
      </c>
      <c r="M26" s="474"/>
      <c r="N26" s="445"/>
      <c r="O26" s="365"/>
      <c r="P26" s="1100"/>
      <c r="Q26" s="1335"/>
      <c r="R26" s="363"/>
    </row>
    <row r="27" spans="1:18" s="366" customFormat="1" ht="33.75" customHeight="1" x14ac:dyDescent="0.3">
      <c r="A27" s="388"/>
      <c r="B27" s="527" t="s">
        <v>636</v>
      </c>
      <c r="C27" s="451" t="s">
        <v>1087</v>
      </c>
      <c r="I27" s="528" t="s">
        <v>1242</v>
      </c>
      <c r="J27" s="363" t="s">
        <v>586</v>
      </c>
      <c r="K27" s="1112">
        <v>25000</v>
      </c>
      <c r="L27" s="457">
        <f>25000-15000-10000</f>
        <v>0</v>
      </c>
      <c r="M27" s="474"/>
      <c r="N27" s="445"/>
      <c r="O27" s="365"/>
      <c r="P27" s="1100"/>
      <c r="Q27" s="1335"/>
      <c r="R27" s="363"/>
    </row>
    <row r="28" spans="1:18" s="366" customFormat="1" ht="35.25" customHeight="1" x14ac:dyDescent="0.3">
      <c r="A28" s="388"/>
      <c r="B28" s="527" t="s">
        <v>639</v>
      </c>
      <c r="C28" s="451" t="s">
        <v>1086</v>
      </c>
      <c r="I28" s="528" t="s">
        <v>1243</v>
      </c>
      <c r="J28" s="363" t="s">
        <v>586</v>
      </c>
      <c r="K28" s="1112">
        <v>30000</v>
      </c>
      <c r="L28" s="457">
        <f>30000-30000</f>
        <v>0</v>
      </c>
      <c r="M28" s="474"/>
      <c r="N28" s="445"/>
      <c r="O28" s="365"/>
      <c r="P28" s="1100"/>
      <c r="Q28" s="1335"/>
      <c r="R28" s="363"/>
    </row>
    <row r="29" spans="1:18" s="366" customFormat="1" ht="30.75" customHeight="1" x14ac:dyDescent="0.3">
      <c r="A29" s="388"/>
      <c r="B29" s="527" t="s">
        <v>642</v>
      </c>
      <c r="C29" s="451" t="s">
        <v>1087</v>
      </c>
      <c r="I29" s="528" t="s">
        <v>1244</v>
      </c>
      <c r="J29" s="363" t="s">
        <v>586</v>
      </c>
      <c r="K29" s="1112">
        <v>30000</v>
      </c>
      <c r="L29" s="457">
        <f>30000-30000</f>
        <v>0</v>
      </c>
      <c r="M29" s="474"/>
      <c r="N29" s="445"/>
      <c r="O29" s="365"/>
      <c r="P29" s="1100"/>
      <c r="Q29" s="1335"/>
      <c r="R29" s="363"/>
    </row>
    <row r="30" spans="1:18" s="366" customFormat="1" ht="30.75" customHeight="1" x14ac:dyDescent="0.3">
      <c r="A30" s="1425"/>
      <c r="B30" s="1293" t="s">
        <v>607</v>
      </c>
      <c r="C30" s="451" t="s">
        <v>1088</v>
      </c>
      <c r="I30" s="1334" t="s">
        <v>1232</v>
      </c>
      <c r="J30" s="363" t="s">
        <v>586</v>
      </c>
      <c r="K30" s="1112">
        <v>800000</v>
      </c>
      <c r="L30" s="372">
        <v>800000</v>
      </c>
      <c r="M30" s="474"/>
      <c r="N30" s="445">
        <v>454529.26</v>
      </c>
      <c r="O30" s="365"/>
      <c r="P30" s="1099">
        <f t="shared" si="0"/>
        <v>56.816157499999996</v>
      </c>
      <c r="Q30" s="1287"/>
      <c r="R30" s="363"/>
    </row>
    <row r="31" spans="1:18" s="366" customFormat="1" ht="50.25" hidden="1" customHeight="1" x14ac:dyDescent="0.3">
      <c r="A31" s="1329"/>
      <c r="B31" s="1294"/>
      <c r="C31" s="451" t="s">
        <v>1159</v>
      </c>
      <c r="I31" s="1285"/>
      <c r="J31" s="363" t="s">
        <v>813</v>
      </c>
      <c r="K31" s="1112">
        <v>500000</v>
      </c>
      <c r="L31" s="372"/>
      <c r="M31" s="474"/>
      <c r="N31" s="445"/>
      <c r="O31" s="365"/>
      <c r="P31" s="1099" t="e">
        <f t="shared" si="0"/>
        <v>#DIV/0!</v>
      </c>
      <c r="Q31" s="529" t="s">
        <v>1179</v>
      </c>
      <c r="R31" s="363"/>
    </row>
    <row r="32" spans="1:18" s="366" customFormat="1" ht="50.25" customHeight="1" x14ac:dyDescent="0.3">
      <c r="A32" s="1091"/>
      <c r="B32" s="527" t="s">
        <v>1264</v>
      </c>
      <c r="C32" s="451" t="s">
        <v>1103</v>
      </c>
      <c r="I32" s="531" t="s">
        <v>1263</v>
      </c>
      <c r="J32" s="389" t="s">
        <v>586</v>
      </c>
      <c r="K32" s="1112">
        <v>500000</v>
      </c>
      <c r="L32" s="740">
        <f>500000+3500000+1429771+788425+1000000+1000000-340368.47-400700.66-6981324.87</f>
        <v>495802</v>
      </c>
      <c r="M32" s="474"/>
      <c r="N32" s="554">
        <f>3591524.87+3785602+10050+23450-6981324.87</f>
        <v>429302</v>
      </c>
      <c r="O32" s="365"/>
      <c r="P32" s="1099">
        <f t="shared" si="0"/>
        <v>86.587387707189563</v>
      </c>
      <c r="Q32" s="1427" t="s">
        <v>151</v>
      </c>
      <c r="R32" s="389"/>
    </row>
    <row r="33" spans="1:18" s="366" customFormat="1" ht="30.75" hidden="1" customHeight="1" x14ac:dyDescent="0.3">
      <c r="A33" s="1091"/>
      <c r="B33" s="534" t="s">
        <v>1168</v>
      </c>
      <c r="C33" s="451" t="s">
        <v>1130</v>
      </c>
      <c r="I33" s="531" t="s">
        <v>1169</v>
      </c>
      <c r="J33" s="389" t="s">
        <v>586</v>
      </c>
      <c r="K33" s="1113"/>
      <c r="L33" s="740"/>
      <c r="M33" s="474"/>
      <c r="N33" s="661"/>
      <c r="O33" s="365"/>
      <c r="P33" s="1099" t="e">
        <f t="shared" si="0"/>
        <v>#DIV/0!</v>
      </c>
      <c r="Q33" s="1287"/>
      <c r="R33" s="389"/>
    </row>
    <row r="34" spans="1:18" s="366" customFormat="1" ht="49.5" hidden="1" customHeight="1" x14ac:dyDescent="0.3">
      <c r="A34" s="1091"/>
      <c r="B34" s="521" t="s">
        <v>1201</v>
      </c>
      <c r="C34" s="451"/>
      <c r="I34" s="531"/>
      <c r="J34" s="389"/>
      <c r="K34" s="1113"/>
      <c r="L34" s="612">
        <v>0</v>
      </c>
      <c r="M34" s="474"/>
      <c r="N34" s="661"/>
      <c r="O34" s="365"/>
      <c r="P34" s="1099" t="e">
        <f t="shared" si="0"/>
        <v>#DIV/0!</v>
      </c>
      <c r="Q34" s="1069"/>
      <c r="R34" s="389"/>
    </row>
    <row r="35" spans="1:18" s="366" customFormat="1" ht="44.25" customHeight="1" x14ac:dyDescent="0.35">
      <c r="A35" s="1090">
        <v>2</v>
      </c>
      <c r="B35" s="538" t="s">
        <v>1082</v>
      </c>
      <c r="C35" s="539"/>
      <c r="D35" s="540"/>
      <c r="E35" s="540"/>
      <c r="F35" s="540"/>
      <c r="G35" s="540"/>
      <c r="H35" s="540"/>
      <c r="I35" s="541" t="s">
        <v>1336</v>
      </c>
      <c r="J35" s="542"/>
      <c r="K35" s="1114">
        <f>K36</f>
        <v>53000</v>
      </c>
      <c r="L35" s="543">
        <f>L36</f>
        <v>6732</v>
      </c>
      <c r="M35" s="741"/>
      <c r="N35" s="543">
        <f>N36</f>
        <v>6732</v>
      </c>
      <c r="O35" s="448"/>
      <c r="P35" s="1100">
        <f t="shared" si="0"/>
        <v>100</v>
      </c>
      <c r="Q35" s="1106" t="s">
        <v>151</v>
      </c>
      <c r="R35" s="544"/>
    </row>
    <row r="36" spans="1:18" s="366" customFormat="1" ht="42.75" customHeight="1" x14ac:dyDescent="0.3">
      <c r="A36" s="388"/>
      <c r="B36" s="459" t="s">
        <v>765</v>
      </c>
      <c r="C36" s="545" t="s">
        <v>1089</v>
      </c>
      <c r="I36" s="452" t="s">
        <v>1288</v>
      </c>
      <c r="J36" s="363" t="s">
        <v>586</v>
      </c>
      <c r="K36" s="1112">
        <v>53000</v>
      </c>
      <c r="L36" s="464">
        <f>53000-46268</f>
        <v>6732</v>
      </c>
      <c r="M36" s="474"/>
      <c r="N36" s="445">
        <v>6732</v>
      </c>
      <c r="O36" s="365"/>
      <c r="P36" s="1099">
        <f t="shared" si="0"/>
        <v>100</v>
      </c>
      <c r="Q36" s="450"/>
      <c r="R36" s="546"/>
    </row>
    <row r="37" spans="1:18" s="366" customFormat="1" ht="36" x14ac:dyDescent="0.35">
      <c r="A37" s="1090">
        <v>3</v>
      </c>
      <c r="B37" s="447" t="s">
        <v>1092</v>
      </c>
      <c r="C37" s="448"/>
      <c r="D37" s="448"/>
      <c r="E37" s="448"/>
      <c r="F37" s="448"/>
      <c r="G37" s="448"/>
      <c r="H37" s="547"/>
      <c r="I37" s="429" t="s">
        <v>1338</v>
      </c>
      <c r="J37" s="430"/>
      <c r="K37" s="1115">
        <f>K38+K39+K40+K41+K43+K44+K45+K46</f>
        <v>12591358.65</v>
      </c>
      <c r="L37" s="449">
        <f>L38+L39+L40+L41+L44+L45+L46+L42+L47+L43</f>
        <v>11877686.620000001</v>
      </c>
      <c r="M37" s="470"/>
      <c r="N37" s="449">
        <f>N38+N39+N40+N41+N44+N45+N46+N42+N47+N43</f>
        <v>11487049.859999999</v>
      </c>
      <c r="O37" s="448"/>
      <c r="P37" s="1100">
        <f t="shared" si="0"/>
        <v>96.711171354342383</v>
      </c>
      <c r="Q37" s="1106" t="s">
        <v>1096</v>
      </c>
      <c r="R37" s="365"/>
    </row>
    <row r="38" spans="1:18" s="474" customFormat="1" ht="31.2" x14ac:dyDescent="0.35">
      <c r="A38" s="467"/>
      <c r="B38" s="549" t="s">
        <v>1231</v>
      </c>
      <c r="C38" s="550" t="s">
        <v>1093</v>
      </c>
      <c r="D38" s="476"/>
      <c r="E38" s="476"/>
      <c r="F38" s="476"/>
      <c r="G38" s="476"/>
      <c r="H38" s="551"/>
      <c r="I38" s="552" t="s">
        <v>1225</v>
      </c>
      <c r="J38" s="371" t="s">
        <v>586</v>
      </c>
      <c r="K38" s="1116">
        <v>106000</v>
      </c>
      <c r="L38" s="553">
        <f>106000-250</f>
        <v>105750</v>
      </c>
      <c r="M38" s="470"/>
      <c r="N38" s="554">
        <v>105750</v>
      </c>
      <c r="O38" s="470"/>
      <c r="P38" s="1099">
        <f t="shared" si="0"/>
        <v>100</v>
      </c>
      <c r="Q38" s="1280" t="s">
        <v>151</v>
      </c>
      <c r="R38" s="476"/>
    </row>
    <row r="39" spans="1:18" s="366" customFormat="1" ht="31.2" x14ac:dyDescent="0.35">
      <c r="A39" s="1090"/>
      <c r="B39" s="459" t="s">
        <v>1281</v>
      </c>
      <c r="C39" s="451" t="s">
        <v>1094</v>
      </c>
      <c r="D39" s="365"/>
      <c r="E39" s="365"/>
      <c r="F39" s="365"/>
      <c r="G39" s="365"/>
      <c r="H39" s="365"/>
      <c r="I39" s="452" t="s">
        <v>1280</v>
      </c>
      <c r="J39" s="363" t="s">
        <v>586</v>
      </c>
      <c r="K39" s="1112">
        <v>53000</v>
      </c>
      <c r="L39" s="457">
        <f>53000-53000</f>
        <v>0</v>
      </c>
      <c r="M39" s="470"/>
      <c r="N39" s="554"/>
      <c r="O39" s="448"/>
      <c r="P39" s="1100"/>
      <c r="Q39" s="1281"/>
      <c r="R39" s="365"/>
    </row>
    <row r="40" spans="1:18" s="366" customFormat="1" ht="31.2" x14ac:dyDescent="0.35">
      <c r="A40" s="1090"/>
      <c r="B40" s="459" t="s">
        <v>1283</v>
      </c>
      <c r="C40" s="451" t="s">
        <v>1094</v>
      </c>
      <c r="D40" s="365"/>
      <c r="E40" s="365"/>
      <c r="F40" s="365"/>
      <c r="G40" s="365"/>
      <c r="H40" s="365"/>
      <c r="I40" s="452" t="s">
        <v>1282</v>
      </c>
      <c r="J40" s="363" t="s">
        <v>586</v>
      </c>
      <c r="K40" s="1112">
        <v>106000</v>
      </c>
      <c r="L40" s="457">
        <f>106000-106000</f>
        <v>0</v>
      </c>
      <c r="M40" s="470"/>
      <c r="N40" s="554"/>
      <c r="O40" s="448"/>
      <c r="P40" s="1100"/>
      <c r="Q40" s="1281"/>
      <c r="R40" s="365"/>
    </row>
    <row r="41" spans="1:18" s="366" customFormat="1" ht="18" x14ac:dyDescent="0.35">
      <c r="A41" s="1090"/>
      <c r="B41" s="459" t="s">
        <v>751</v>
      </c>
      <c r="C41" s="451" t="s">
        <v>1094</v>
      </c>
      <c r="D41" s="365"/>
      <c r="E41" s="365"/>
      <c r="F41" s="365"/>
      <c r="G41" s="365"/>
      <c r="H41" s="365"/>
      <c r="I41" s="452" t="s">
        <v>1286</v>
      </c>
      <c r="J41" s="363" t="s">
        <v>586</v>
      </c>
      <c r="K41" s="1112">
        <v>212000</v>
      </c>
      <c r="L41" s="457">
        <f>212000-212000</f>
        <v>0</v>
      </c>
      <c r="M41" s="470"/>
      <c r="N41" s="554"/>
      <c r="O41" s="448"/>
      <c r="P41" s="1100"/>
      <c r="Q41" s="1283"/>
      <c r="R41" s="365"/>
    </row>
    <row r="42" spans="1:18" s="366" customFormat="1" ht="62.4" hidden="1" x14ac:dyDescent="0.35">
      <c r="A42" s="1090"/>
      <c r="B42" s="478" t="s">
        <v>1181</v>
      </c>
      <c r="C42" s="451" t="s">
        <v>1180</v>
      </c>
      <c r="D42" s="365"/>
      <c r="E42" s="365"/>
      <c r="F42" s="365"/>
      <c r="G42" s="365"/>
      <c r="H42" s="555"/>
      <c r="I42" s="452" t="s">
        <v>752</v>
      </c>
      <c r="J42" s="363" t="s">
        <v>813</v>
      </c>
      <c r="K42" s="1112"/>
      <c r="L42" s="457"/>
      <c r="M42" s="470"/>
      <c r="N42" s="554"/>
      <c r="O42" s="448"/>
      <c r="P42" s="1100" t="e">
        <f t="shared" si="0"/>
        <v>#DIV/0!</v>
      </c>
      <c r="Q42" s="529" t="s">
        <v>1179</v>
      </c>
      <c r="R42" s="365"/>
    </row>
    <row r="43" spans="1:18" s="366" customFormat="1" ht="31.2" x14ac:dyDescent="0.35">
      <c r="A43" s="1090"/>
      <c r="B43" s="478" t="s">
        <v>748</v>
      </c>
      <c r="C43" s="451" t="s">
        <v>1284</v>
      </c>
      <c r="D43" s="365"/>
      <c r="E43" s="365"/>
      <c r="F43" s="365"/>
      <c r="G43" s="365"/>
      <c r="H43" s="555"/>
      <c r="I43" s="452" t="s">
        <v>1285</v>
      </c>
      <c r="J43" s="363" t="s">
        <v>586</v>
      </c>
      <c r="K43" s="1112">
        <v>100000</v>
      </c>
      <c r="L43" s="457">
        <v>100000</v>
      </c>
      <c r="M43" s="470"/>
      <c r="N43" s="554"/>
      <c r="O43" s="448"/>
      <c r="P43" s="1099">
        <f t="shared" si="0"/>
        <v>0</v>
      </c>
      <c r="Q43" s="556" t="s">
        <v>151</v>
      </c>
      <c r="R43" s="365"/>
    </row>
    <row r="44" spans="1:18" s="366" customFormat="1" ht="31.2" x14ac:dyDescent="0.35">
      <c r="A44" s="1090"/>
      <c r="B44" s="459" t="s">
        <v>918</v>
      </c>
      <c r="C44" s="451" t="s">
        <v>1095</v>
      </c>
      <c r="D44" s="448"/>
      <c r="E44" s="448"/>
      <c r="F44" s="448"/>
      <c r="G44" s="448"/>
      <c r="H44" s="547"/>
      <c r="I44" s="452" t="s">
        <v>1332</v>
      </c>
      <c r="J44" s="363" t="s">
        <v>613</v>
      </c>
      <c r="K44" s="1112">
        <v>4819591.7</v>
      </c>
      <c r="L44" s="464">
        <f>4819591.7+100000</f>
        <v>4919591.7</v>
      </c>
      <c r="M44" s="470"/>
      <c r="N44" s="569">
        <f>315426.44+431192.12+330694.17+459187.93+413932.84+335326+451818.86+499231+312060.68+328119.57+386375.53+589717.84</f>
        <v>4853082.9799999995</v>
      </c>
      <c r="O44" s="448"/>
      <c r="P44" s="1099">
        <f t="shared" si="0"/>
        <v>98.648084555472352</v>
      </c>
      <c r="Q44" s="1288" t="s">
        <v>1097</v>
      </c>
      <c r="R44" s="365"/>
    </row>
    <row r="45" spans="1:18" s="366" customFormat="1" ht="18" x14ac:dyDescent="0.35">
      <c r="A45" s="1090"/>
      <c r="B45" s="459" t="s">
        <v>921</v>
      </c>
      <c r="C45" s="451" t="s">
        <v>1095</v>
      </c>
      <c r="D45" s="448"/>
      <c r="E45" s="448"/>
      <c r="F45" s="448"/>
      <c r="G45" s="448"/>
      <c r="H45" s="547"/>
      <c r="I45" s="452" t="s">
        <v>1333</v>
      </c>
      <c r="J45" s="363" t="s">
        <v>613</v>
      </c>
      <c r="K45" s="1112">
        <v>2775762.7</v>
      </c>
      <c r="L45" s="464">
        <f>2775762.7+47577.97-450000+100000</f>
        <v>2473340.6700000004</v>
      </c>
      <c r="M45" s="470"/>
      <c r="N45" s="569">
        <f>141775.76+314481.03+172468.79+169088.79+163666.25+150093.37+198856.11+212818.77+106517.88+258408.58+128137.23+356946.67</f>
        <v>2373259.23</v>
      </c>
      <c r="O45" s="448"/>
      <c r="P45" s="1099">
        <f t="shared" si="0"/>
        <v>95.953592595879627</v>
      </c>
      <c r="Q45" s="1317"/>
      <c r="R45" s="365"/>
    </row>
    <row r="46" spans="1:18" s="366" customFormat="1" ht="18" x14ac:dyDescent="0.35">
      <c r="A46" s="1090"/>
      <c r="B46" s="459" t="s">
        <v>924</v>
      </c>
      <c r="C46" s="451" t="s">
        <v>1095</v>
      </c>
      <c r="D46" s="365"/>
      <c r="E46" s="365"/>
      <c r="F46" s="365"/>
      <c r="G46" s="365"/>
      <c r="H46" s="365"/>
      <c r="I46" s="452" t="s">
        <v>1334</v>
      </c>
      <c r="J46" s="363" t="s">
        <v>613</v>
      </c>
      <c r="K46" s="1112">
        <v>4419004.25</v>
      </c>
      <c r="L46" s="650">
        <f>4419004.25+800000-1040000+100000</f>
        <v>4279004.25</v>
      </c>
      <c r="M46" s="470"/>
      <c r="N46" s="569">
        <f>240001.74+477497.23+367908.22+120949+287606.76+427107.66+193114.77+308152.38+365265.28+199039.47+281189.1+285363.62+601762.42</f>
        <v>4154957.6500000004</v>
      </c>
      <c r="O46" s="448"/>
      <c r="P46" s="1099">
        <f t="shared" si="0"/>
        <v>97.101040504925891</v>
      </c>
      <c r="Q46" s="1317"/>
      <c r="R46" s="365"/>
    </row>
    <row r="47" spans="1:18" s="366" customFormat="1" ht="53.25" hidden="1" customHeight="1" x14ac:dyDescent="0.35">
      <c r="A47" s="1090"/>
      <c r="B47" s="521" t="s">
        <v>926</v>
      </c>
      <c r="C47" s="451" t="s">
        <v>1095</v>
      </c>
      <c r="D47" s="365"/>
      <c r="E47" s="365"/>
      <c r="F47" s="365"/>
      <c r="G47" s="365"/>
      <c r="H47" s="365"/>
      <c r="I47" s="484" t="s">
        <v>1194</v>
      </c>
      <c r="J47" s="389" t="s">
        <v>613</v>
      </c>
      <c r="K47" s="1113"/>
      <c r="L47" s="740"/>
      <c r="M47" s="470"/>
      <c r="N47" s="554"/>
      <c r="O47" s="448"/>
      <c r="P47" s="1100" t="e">
        <f t="shared" si="0"/>
        <v>#DIV/0!</v>
      </c>
      <c r="Q47" s="1290"/>
      <c r="R47" s="365"/>
    </row>
    <row r="48" spans="1:18" s="366" customFormat="1" ht="36" x14ac:dyDescent="0.35">
      <c r="A48" s="1090">
        <v>4</v>
      </c>
      <c r="B48" s="447" t="s">
        <v>1098</v>
      </c>
      <c r="C48" s="557"/>
      <c r="D48" s="448"/>
      <c r="E48" s="448"/>
      <c r="F48" s="448"/>
      <c r="G48" s="448"/>
      <c r="H48" s="448"/>
      <c r="I48" s="429" t="s">
        <v>1339</v>
      </c>
      <c r="J48" s="430"/>
      <c r="K48" s="1117">
        <f>K50+K51+K52+K58+K55+K59+K57+K60+K49+K53+K56+K54</f>
        <v>2059831.32</v>
      </c>
      <c r="L48" s="449">
        <f>L50+L51+L52+L58+L55+L59+L57+L60+L49+L53+L56</f>
        <v>2010759.92</v>
      </c>
      <c r="M48" s="470"/>
      <c r="N48" s="449">
        <f>N50+N51+N52+N58+N55+N59+N57+N60+N49+N53+N56</f>
        <v>1989774.3599999999</v>
      </c>
      <c r="O48" s="448"/>
      <c r="P48" s="1100">
        <f t="shared" si="0"/>
        <v>98.956336865914849</v>
      </c>
      <c r="Q48" s="1106" t="s">
        <v>1160</v>
      </c>
      <c r="R48" s="365"/>
    </row>
    <row r="49" spans="1:18" s="366" customFormat="1" ht="31.8" x14ac:dyDescent="0.35">
      <c r="A49" s="1090"/>
      <c r="B49" s="558" t="s">
        <v>1249</v>
      </c>
      <c r="C49" s="451" t="s">
        <v>1099</v>
      </c>
      <c r="D49" s="365"/>
      <c r="E49" s="365"/>
      <c r="F49" s="365"/>
      <c r="G49" s="365"/>
      <c r="H49" s="365"/>
      <c r="I49" s="452" t="s">
        <v>1250</v>
      </c>
      <c r="J49" s="389" t="s">
        <v>586</v>
      </c>
      <c r="K49" s="1113">
        <v>100000</v>
      </c>
      <c r="L49" s="661">
        <f>100000-78000-22000</f>
        <v>0</v>
      </c>
      <c r="M49" s="476"/>
      <c r="N49" s="445"/>
      <c r="O49" s="448"/>
      <c r="P49" s="1100"/>
      <c r="Q49" s="520"/>
      <c r="R49" s="365"/>
    </row>
    <row r="50" spans="1:18" s="366" customFormat="1" ht="15.6" x14ac:dyDescent="0.3">
      <c r="A50" s="388"/>
      <c r="B50" s="459" t="s">
        <v>651</v>
      </c>
      <c r="C50" s="451" t="s">
        <v>1099</v>
      </c>
      <c r="D50" s="365"/>
      <c r="E50" s="365"/>
      <c r="F50" s="365"/>
      <c r="G50" s="365"/>
      <c r="H50" s="365"/>
      <c r="I50" s="452" t="s">
        <v>1248</v>
      </c>
      <c r="J50" s="389" t="s">
        <v>586</v>
      </c>
      <c r="K50" s="1113">
        <v>564980</v>
      </c>
      <c r="L50" s="661">
        <f>564980-34980</f>
        <v>530000</v>
      </c>
      <c r="M50" s="476"/>
      <c r="N50" s="445">
        <v>530000</v>
      </c>
      <c r="O50" s="365"/>
      <c r="P50" s="1099">
        <f t="shared" si="0"/>
        <v>100</v>
      </c>
      <c r="Q50" s="1318"/>
      <c r="R50" s="365"/>
    </row>
    <row r="51" spans="1:18" s="366" customFormat="1" ht="31.2" hidden="1" x14ac:dyDescent="0.3">
      <c r="A51" s="388"/>
      <c r="B51" s="423" t="s">
        <v>1027</v>
      </c>
      <c r="C51" s="451" t="s">
        <v>1101</v>
      </c>
      <c r="D51" s="365"/>
      <c r="E51" s="365"/>
      <c r="F51" s="365"/>
      <c r="G51" s="365"/>
      <c r="H51" s="365"/>
      <c r="I51" s="452" t="s">
        <v>1100</v>
      </c>
      <c r="J51" s="363" t="s">
        <v>586</v>
      </c>
      <c r="K51" s="1112"/>
      <c r="L51" s="457">
        <f>100000-50000-50000</f>
        <v>0</v>
      </c>
      <c r="M51" s="476"/>
      <c r="N51" s="445"/>
      <c r="O51" s="365"/>
      <c r="P51" s="1099" t="e">
        <f t="shared" si="0"/>
        <v>#DIV/0!</v>
      </c>
      <c r="Q51" s="1320"/>
      <c r="R51" s="365"/>
    </row>
    <row r="52" spans="1:18" s="366" customFormat="1" ht="21.6" customHeight="1" x14ac:dyDescent="0.3">
      <c r="A52" s="388"/>
      <c r="B52" s="1293" t="s">
        <v>1376</v>
      </c>
      <c r="C52" s="451" t="s">
        <v>1101</v>
      </c>
      <c r="D52" s="365"/>
      <c r="E52" s="365"/>
      <c r="F52" s="365"/>
      <c r="G52" s="365"/>
      <c r="H52" s="365"/>
      <c r="I52" s="1295" t="s">
        <v>1266</v>
      </c>
      <c r="J52" s="363" t="s">
        <v>586</v>
      </c>
      <c r="K52" s="1112"/>
      <c r="L52" s="457">
        <f>800000-800000+279990</f>
        <v>279990</v>
      </c>
      <c r="M52" s="476"/>
      <c r="N52" s="445">
        <f>69880+69880+139776</f>
        <v>279536</v>
      </c>
      <c r="O52" s="365"/>
      <c r="P52" s="1099">
        <f t="shared" si="0"/>
        <v>99.83785135183399</v>
      </c>
      <c r="Q52" s="1320"/>
      <c r="R52" s="365"/>
    </row>
    <row r="53" spans="1:18" s="366" customFormat="1" ht="19.8" customHeight="1" x14ac:dyDescent="0.3">
      <c r="A53" s="388"/>
      <c r="B53" s="1294"/>
      <c r="C53" s="451" t="s">
        <v>1377</v>
      </c>
      <c r="D53" s="365"/>
      <c r="E53" s="365"/>
      <c r="F53" s="365"/>
      <c r="G53" s="365"/>
      <c r="H53" s="365"/>
      <c r="I53" s="1296"/>
      <c r="J53" s="363" t="s">
        <v>813</v>
      </c>
      <c r="K53" s="1112"/>
      <c r="L53" s="457">
        <f>800000-279990-220.33</f>
        <v>519789.67</v>
      </c>
      <c r="M53" s="476"/>
      <c r="N53" s="445">
        <f>32500+90312+97956+24200+155532.67+119289</f>
        <v>519789.67000000004</v>
      </c>
      <c r="O53" s="365"/>
      <c r="P53" s="1099">
        <f t="shared" si="0"/>
        <v>100.00000000000003</v>
      </c>
      <c r="Q53" s="1320"/>
      <c r="R53" s="367"/>
    </row>
    <row r="54" spans="1:18" s="366" customFormat="1" ht="22.2" customHeight="1" x14ac:dyDescent="0.3">
      <c r="A54" s="388"/>
      <c r="B54" s="1102" t="s">
        <v>703</v>
      </c>
      <c r="C54" s="451" t="s">
        <v>1101</v>
      </c>
      <c r="D54" s="365"/>
      <c r="E54" s="365"/>
      <c r="F54" s="365"/>
      <c r="G54" s="365"/>
      <c r="H54" s="365"/>
      <c r="I54" s="1108" t="s">
        <v>1266</v>
      </c>
      <c r="J54" s="363" t="s">
        <v>586</v>
      </c>
      <c r="K54" s="1112">
        <v>800000</v>
      </c>
      <c r="L54" s="457"/>
      <c r="M54" s="476"/>
      <c r="N54" s="445"/>
      <c r="O54" s="365"/>
      <c r="P54" s="1099"/>
      <c r="Q54" s="1467"/>
      <c r="R54" s="367"/>
    </row>
    <row r="55" spans="1:18" s="366" customFormat="1" ht="15.6" x14ac:dyDescent="0.3">
      <c r="A55" s="1443"/>
      <c r="B55" s="1297" t="s">
        <v>706</v>
      </c>
      <c r="C55" s="451" t="s">
        <v>1101</v>
      </c>
      <c r="D55" s="365"/>
      <c r="E55" s="365"/>
      <c r="F55" s="365"/>
      <c r="G55" s="365"/>
      <c r="H55" s="365"/>
      <c r="I55" s="1295" t="s">
        <v>1267</v>
      </c>
      <c r="J55" s="363" t="s">
        <v>586</v>
      </c>
      <c r="K55" s="1112"/>
      <c r="L55" s="457">
        <f>380449.21-380449.21</f>
        <v>0</v>
      </c>
      <c r="M55" s="476"/>
      <c r="N55" s="445"/>
      <c r="O55" s="365"/>
      <c r="P55" s="1099"/>
      <c r="Q55" s="1320"/>
      <c r="R55" s="367"/>
    </row>
    <row r="56" spans="1:18" s="366" customFormat="1" ht="17.399999999999999" customHeight="1" x14ac:dyDescent="0.3">
      <c r="A56" s="1308"/>
      <c r="B56" s="1299"/>
      <c r="C56" s="451" t="s">
        <v>1377</v>
      </c>
      <c r="D56" s="365"/>
      <c r="E56" s="365"/>
      <c r="F56" s="365"/>
      <c r="G56" s="365"/>
      <c r="H56" s="365"/>
      <c r="I56" s="1296"/>
      <c r="J56" s="363" t="s">
        <v>813</v>
      </c>
      <c r="K56" s="1112">
        <v>380449.21</v>
      </c>
      <c r="L56" s="457">
        <v>580449.21</v>
      </c>
      <c r="M56" s="476"/>
      <c r="N56" s="445">
        <f>20000+560448.69</f>
        <v>580448.68999999994</v>
      </c>
      <c r="O56" s="365"/>
      <c r="P56" s="1099">
        <f t="shared" si="0"/>
        <v>99.999910414211783</v>
      </c>
      <c r="Q56" s="1467"/>
      <c r="R56" s="367"/>
    </row>
    <row r="57" spans="1:18" s="366" customFormat="1" ht="15.6" x14ac:dyDescent="0.3">
      <c r="A57" s="388"/>
      <c r="B57" s="423" t="s">
        <v>1362</v>
      </c>
      <c r="C57" s="451" t="s">
        <v>1101</v>
      </c>
      <c r="D57" s="365"/>
      <c r="E57" s="365"/>
      <c r="F57" s="365"/>
      <c r="G57" s="365"/>
      <c r="H57" s="365"/>
      <c r="I57" s="452" t="s">
        <v>1363</v>
      </c>
      <c r="J57" s="363" t="s">
        <v>586</v>
      </c>
      <c r="K57" s="1112"/>
      <c r="L57" s="457">
        <v>78000</v>
      </c>
      <c r="M57" s="476"/>
      <c r="N57" s="445">
        <v>78000</v>
      </c>
      <c r="O57" s="365"/>
      <c r="P57" s="1099">
        <f t="shared" si="0"/>
        <v>100</v>
      </c>
      <c r="Q57" s="1320"/>
      <c r="R57" s="367"/>
    </row>
    <row r="58" spans="1:18" s="366" customFormat="1" ht="15.6" x14ac:dyDescent="0.3">
      <c r="A58" s="388"/>
      <c r="B58" s="459" t="s">
        <v>1428</v>
      </c>
      <c r="C58" s="451" t="s">
        <v>1101</v>
      </c>
      <c r="D58" s="365"/>
      <c r="E58" s="365"/>
      <c r="F58" s="365"/>
      <c r="G58" s="365"/>
      <c r="H58" s="365"/>
      <c r="I58" s="480" t="s">
        <v>1429</v>
      </c>
      <c r="J58" s="363" t="s">
        <v>586</v>
      </c>
      <c r="K58" s="1112"/>
      <c r="L58" s="650">
        <v>20531.04</v>
      </c>
      <c r="M58" s="476"/>
      <c r="N58" s="445"/>
      <c r="O58" s="365"/>
      <c r="P58" s="1099">
        <f t="shared" si="0"/>
        <v>0</v>
      </c>
      <c r="Q58" s="1321"/>
    </row>
    <row r="59" spans="1:18" s="366" customFormat="1" ht="31.2" x14ac:dyDescent="0.3">
      <c r="A59" s="388"/>
      <c r="B59" s="459" t="s">
        <v>1237</v>
      </c>
      <c r="C59" s="451" t="s">
        <v>1170</v>
      </c>
      <c r="D59" s="365"/>
      <c r="E59" s="365"/>
      <c r="F59" s="365"/>
      <c r="G59" s="365"/>
      <c r="H59" s="365"/>
      <c r="I59" s="389" t="s">
        <v>1238</v>
      </c>
      <c r="J59" s="389" t="s">
        <v>586</v>
      </c>
      <c r="K59" s="1113">
        <v>214402.11</v>
      </c>
      <c r="L59" s="740">
        <f>214402.11-212402.11</f>
        <v>2000</v>
      </c>
      <c r="M59" s="476"/>
      <c r="N59" s="445">
        <v>2000</v>
      </c>
      <c r="O59" s="365"/>
      <c r="P59" s="1099">
        <f t="shared" si="0"/>
        <v>100</v>
      </c>
      <c r="Q59" s="1078"/>
    </row>
    <row r="60" spans="1:18" s="366" customFormat="1" ht="46.8" hidden="1" x14ac:dyDescent="0.3">
      <c r="A60" s="388"/>
      <c r="B60" s="521" t="s">
        <v>1195</v>
      </c>
      <c r="C60" s="451" t="s">
        <v>1101</v>
      </c>
      <c r="D60" s="365"/>
      <c r="E60" s="365"/>
      <c r="F60" s="365"/>
      <c r="G60" s="365"/>
      <c r="H60" s="365"/>
      <c r="I60" s="484" t="s">
        <v>1196</v>
      </c>
      <c r="J60" s="389" t="s">
        <v>586</v>
      </c>
      <c r="K60" s="1113"/>
      <c r="L60" s="740"/>
      <c r="M60" s="476"/>
      <c r="N60" s="661"/>
      <c r="O60" s="365"/>
      <c r="P60" s="1100" t="e">
        <f t="shared" si="0"/>
        <v>#DIV/0!</v>
      </c>
      <c r="Q60" s="1078"/>
    </row>
    <row r="61" spans="1:18" s="366" customFormat="1" ht="54" x14ac:dyDescent="0.35">
      <c r="A61" s="1090">
        <v>5</v>
      </c>
      <c r="B61" s="447" t="s">
        <v>1102</v>
      </c>
      <c r="C61" s="448"/>
      <c r="D61" s="448"/>
      <c r="E61" s="448"/>
      <c r="F61" s="448"/>
      <c r="G61" s="448"/>
      <c r="H61" s="448"/>
      <c r="I61" s="429" t="s">
        <v>1340</v>
      </c>
      <c r="J61" s="430"/>
      <c r="K61" s="1117">
        <f>K65+K66+K68+K63+K62+K64+K67</f>
        <v>3500000</v>
      </c>
      <c r="L61" s="449">
        <f>L65+L66+L68+L63+L62+L64+L67</f>
        <v>23368700.400000002</v>
      </c>
      <c r="M61" s="470"/>
      <c r="N61" s="449">
        <f>N65+N66+N68+N63+N62+N64+N67</f>
        <v>15083733.799999999</v>
      </c>
      <c r="O61" s="448"/>
      <c r="P61" s="1100">
        <f t="shared" si="0"/>
        <v>64.546737909310508</v>
      </c>
      <c r="Q61" s="1106" t="s">
        <v>1183</v>
      </c>
    </row>
    <row r="62" spans="1:18" s="366" customFormat="1" ht="32.4" customHeight="1" x14ac:dyDescent="0.35">
      <c r="A62" s="1090"/>
      <c r="B62" s="660" t="s">
        <v>1197</v>
      </c>
      <c r="C62" s="451" t="s">
        <v>1103</v>
      </c>
      <c r="D62" s="448"/>
      <c r="E62" s="448"/>
      <c r="F62" s="448"/>
      <c r="G62" s="448"/>
      <c r="H62" s="448"/>
      <c r="I62" s="1334" t="s">
        <v>1364</v>
      </c>
      <c r="J62" s="389" t="s">
        <v>586</v>
      </c>
      <c r="K62" s="1113"/>
      <c r="L62" s="464">
        <f>5385000-924000+1504587.33-1780000-240000-135921.51+869552.77+6463288.07+6981324.87-299000-28320.33-59864</f>
        <v>17736647.200000003</v>
      </c>
      <c r="M62" s="742"/>
      <c r="N62" s="496">
        <f>85000+150096.77+460670.11+260000+7410159.88+1085753.84</f>
        <v>9451680.5999999996</v>
      </c>
      <c r="O62" s="448"/>
      <c r="P62" s="1099">
        <f t="shared" si="0"/>
        <v>53.288992521653121</v>
      </c>
      <c r="Q62" s="454" t="s">
        <v>151</v>
      </c>
    </row>
    <row r="63" spans="1:18" s="366" customFormat="1" ht="62.4" x14ac:dyDescent="0.35">
      <c r="A63" s="1090"/>
      <c r="B63" s="455" t="s">
        <v>1184</v>
      </c>
      <c r="C63" s="451" t="s">
        <v>1400</v>
      </c>
      <c r="D63" s="448"/>
      <c r="E63" s="448"/>
      <c r="F63" s="448"/>
      <c r="G63" s="448"/>
      <c r="H63" s="448"/>
      <c r="I63" s="1296"/>
      <c r="J63" s="430">
        <v>500</v>
      </c>
      <c r="K63" s="1118"/>
      <c r="L63" s="464">
        <f>924000+780000+383767.3+190000+299000+59864</f>
        <v>2636631.2999999998</v>
      </c>
      <c r="M63" s="470"/>
      <c r="N63" s="457">
        <f>924000+780000+143767.3+240000+190000+358864</f>
        <v>2636631.2999999998</v>
      </c>
      <c r="O63" s="448"/>
      <c r="P63" s="1099">
        <f t="shared" si="0"/>
        <v>100</v>
      </c>
      <c r="Q63" s="456" t="s">
        <v>1179</v>
      </c>
    </row>
    <row r="64" spans="1:18" s="366" customFormat="1" ht="47.4" x14ac:dyDescent="0.35">
      <c r="A64" s="1090"/>
      <c r="B64" s="831" t="s">
        <v>1402</v>
      </c>
      <c r="C64" s="451" t="s">
        <v>1400</v>
      </c>
      <c r="D64" s="448"/>
      <c r="E64" s="448"/>
      <c r="F64" s="448"/>
      <c r="G64" s="448"/>
      <c r="H64" s="448"/>
      <c r="I64" s="452" t="s">
        <v>1401</v>
      </c>
      <c r="J64" s="430">
        <v>500</v>
      </c>
      <c r="K64" s="1118"/>
      <c r="L64" s="464">
        <f>340000+400000-220053</f>
        <v>519947</v>
      </c>
      <c r="M64" s="470"/>
      <c r="N64" s="582">
        <f>340000+80000+99947</f>
        <v>519947</v>
      </c>
      <c r="O64" s="448"/>
      <c r="P64" s="1099">
        <f t="shared" si="0"/>
        <v>100</v>
      </c>
      <c r="Q64" s="1073"/>
    </row>
    <row r="65" spans="1:18" s="366" customFormat="1" ht="31.2" hidden="1" x14ac:dyDescent="0.3">
      <c r="A65" s="388"/>
      <c r="B65" s="459" t="s">
        <v>822</v>
      </c>
      <c r="C65" s="451" t="s">
        <v>1105</v>
      </c>
      <c r="D65" s="365"/>
      <c r="E65" s="365"/>
      <c r="F65" s="365"/>
      <c r="G65" s="365"/>
      <c r="H65" s="365"/>
      <c r="I65" s="452" t="s">
        <v>823</v>
      </c>
      <c r="J65" s="363" t="s">
        <v>613</v>
      </c>
      <c r="K65" s="1112"/>
      <c r="L65" s="457"/>
      <c r="M65" s="476"/>
      <c r="N65" s="445"/>
      <c r="O65" s="365"/>
      <c r="P65" s="1099" t="e">
        <f t="shared" si="0"/>
        <v>#DIV/0!</v>
      </c>
      <c r="Q65" s="1322" t="s">
        <v>968</v>
      </c>
    </row>
    <row r="66" spans="1:18" s="366" customFormat="1" ht="15.6" hidden="1" x14ac:dyDescent="0.3">
      <c r="A66" s="460"/>
      <c r="B66" s="459" t="s">
        <v>825</v>
      </c>
      <c r="C66" s="451" t="s">
        <v>1105</v>
      </c>
      <c r="D66" s="461"/>
      <c r="E66" s="461"/>
      <c r="F66" s="461"/>
      <c r="G66" s="461"/>
      <c r="H66" s="461"/>
      <c r="I66" s="452" t="s">
        <v>826</v>
      </c>
      <c r="J66" s="363" t="s">
        <v>613</v>
      </c>
      <c r="K66" s="1112"/>
      <c r="L66" s="457"/>
      <c r="M66" s="476"/>
      <c r="N66" s="445"/>
      <c r="O66" s="461"/>
      <c r="P66" s="1099" t="e">
        <f t="shared" si="0"/>
        <v>#DIV/0!</v>
      </c>
      <c r="Q66" s="1323"/>
      <c r="R66" s="462"/>
    </row>
    <row r="67" spans="1:18" s="366" customFormat="1" ht="15.6" x14ac:dyDescent="0.3">
      <c r="A67" s="1483"/>
      <c r="B67" s="1293" t="s">
        <v>828</v>
      </c>
      <c r="C67" s="451" t="s">
        <v>1142</v>
      </c>
      <c r="D67" s="365"/>
      <c r="E67" s="365"/>
      <c r="F67" s="365"/>
      <c r="G67" s="365"/>
      <c r="H67" s="365"/>
      <c r="I67" s="452" t="s">
        <v>1306</v>
      </c>
      <c r="J67" s="363" t="s">
        <v>613</v>
      </c>
      <c r="K67" s="1112"/>
      <c r="L67" s="457">
        <v>681008.52</v>
      </c>
      <c r="M67" s="476"/>
      <c r="N67" s="445">
        <f>248004.2+433004.32</f>
        <v>681008.52</v>
      </c>
      <c r="O67" s="461"/>
      <c r="P67" s="1099">
        <f t="shared" si="0"/>
        <v>100</v>
      </c>
      <c r="Q67" s="1323"/>
      <c r="R67" s="462"/>
    </row>
    <row r="68" spans="1:18" s="366" customFormat="1" ht="15.6" x14ac:dyDescent="0.3">
      <c r="A68" s="1484"/>
      <c r="B68" s="1415"/>
      <c r="C68" s="451" t="s">
        <v>1105</v>
      </c>
      <c r="D68" s="365"/>
      <c r="E68" s="365"/>
      <c r="F68" s="365"/>
      <c r="G68" s="365"/>
      <c r="H68" s="365"/>
      <c r="I68" s="452" t="s">
        <v>1306</v>
      </c>
      <c r="J68" s="363" t="s">
        <v>613</v>
      </c>
      <c r="K68" s="1112">
        <v>3500000</v>
      </c>
      <c r="L68" s="457">
        <f>3500000-681008.52-900000-124525.1</f>
        <v>1794466.38</v>
      </c>
      <c r="M68" s="476"/>
      <c r="N68" s="445">
        <f>198938.15+894441.74+123634.34+577452.15</f>
        <v>1794466.38</v>
      </c>
      <c r="O68" s="365"/>
      <c r="P68" s="1099">
        <f t="shared" si="0"/>
        <v>100</v>
      </c>
      <c r="Q68" s="1324"/>
    </row>
    <row r="69" spans="1:18" s="366" customFormat="1" ht="54" x14ac:dyDescent="0.35">
      <c r="A69" s="1090">
        <v>6</v>
      </c>
      <c r="B69" s="447" t="s">
        <v>1106</v>
      </c>
      <c r="C69" s="557"/>
      <c r="D69" s="448"/>
      <c r="E69" s="448"/>
      <c r="F69" s="448"/>
      <c r="G69" s="448"/>
      <c r="H69" s="448"/>
      <c r="I69" s="429" t="s">
        <v>1341</v>
      </c>
      <c r="J69" s="430"/>
      <c r="K69" s="1115">
        <f>K70</f>
        <v>50000</v>
      </c>
      <c r="L69" s="449">
        <f>L70</f>
        <v>50000</v>
      </c>
      <c r="M69" s="470"/>
      <c r="N69" s="449">
        <f>N70</f>
        <v>49999.990000000005</v>
      </c>
      <c r="O69" s="448"/>
      <c r="P69" s="1100">
        <f t="shared" si="0"/>
        <v>99.999980000000008</v>
      </c>
      <c r="Q69" s="1106" t="s">
        <v>151</v>
      </c>
    </row>
    <row r="70" spans="1:18" s="366" customFormat="1" ht="31.2" x14ac:dyDescent="0.3">
      <c r="A70" s="561"/>
      <c r="B70" s="459" t="s">
        <v>728</v>
      </c>
      <c r="C70" s="387" t="s">
        <v>1107</v>
      </c>
      <c r="D70" s="562"/>
      <c r="E70" s="562"/>
      <c r="F70" s="562"/>
      <c r="G70" s="562"/>
      <c r="H70" s="562"/>
      <c r="I70" s="452" t="s">
        <v>1273</v>
      </c>
      <c r="J70" s="363" t="s">
        <v>586</v>
      </c>
      <c r="K70" s="1112">
        <v>50000</v>
      </c>
      <c r="L70" s="457">
        <v>50000</v>
      </c>
      <c r="M70" s="476"/>
      <c r="N70" s="445">
        <f>23000+26999.99</f>
        <v>49999.990000000005</v>
      </c>
      <c r="O70" s="365"/>
      <c r="P70" s="1099">
        <f t="shared" si="0"/>
        <v>99.999980000000008</v>
      </c>
      <c r="Q70" s="563"/>
    </row>
    <row r="71" spans="1:18" s="474" customFormat="1" ht="36" x14ac:dyDescent="0.35">
      <c r="A71" s="467">
        <v>7</v>
      </c>
      <c r="B71" s="468" t="s">
        <v>1108</v>
      </c>
      <c r="C71" s="469"/>
      <c r="D71" s="470"/>
      <c r="E71" s="470"/>
      <c r="F71" s="470"/>
      <c r="G71" s="470"/>
      <c r="H71" s="470"/>
      <c r="I71" s="471" t="s">
        <v>1342</v>
      </c>
      <c r="J71" s="472"/>
      <c r="K71" s="1119">
        <f>K72+K73+K74</f>
        <v>3500000</v>
      </c>
      <c r="L71" s="473">
        <f>L72+L73+L74</f>
        <v>27312799.059999999</v>
      </c>
      <c r="M71" s="470"/>
      <c r="N71" s="473">
        <f>N72+N73+N74</f>
        <v>2826543.3</v>
      </c>
      <c r="O71" s="470"/>
      <c r="P71" s="1100">
        <f t="shared" si="0"/>
        <v>10.348786639519179</v>
      </c>
      <c r="Q71" s="1106" t="s">
        <v>151</v>
      </c>
    </row>
    <row r="72" spans="1:18" s="474" customFormat="1" ht="46.8" x14ac:dyDescent="0.3">
      <c r="A72" s="475"/>
      <c r="B72" s="423" t="s">
        <v>697</v>
      </c>
      <c r="C72" s="395" t="s">
        <v>1109</v>
      </c>
      <c r="D72" s="476"/>
      <c r="E72" s="476"/>
      <c r="F72" s="476"/>
      <c r="G72" s="476"/>
      <c r="H72" s="476"/>
      <c r="I72" s="477" t="s">
        <v>1262</v>
      </c>
      <c r="J72" s="371" t="s">
        <v>700</v>
      </c>
      <c r="K72" s="1116">
        <v>2500000</v>
      </c>
      <c r="L72" s="457">
        <v>2500000</v>
      </c>
      <c r="M72" s="476"/>
      <c r="N72" s="445">
        <f>1065343.3-1065343.3</f>
        <v>0</v>
      </c>
      <c r="O72" s="476"/>
      <c r="P72" s="1099">
        <f t="shared" si="0"/>
        <v>0</v>
      </c>
      <c r="Q72" s="1325"/>
    </row>
    <row r="73" spans="1:18" s="366" customFormat="1" ht="31.2" x14ac:dyDescent="0.3">
      <c r="A73" s="388"/>
      <c r="B73" s="459" t="s">
        <v>768</v>
      </c>
      <c r="C73" s="387" t="s">
        <v>1111</v>
      </c>
      <c r="D73" s="365"/>
      <c r="E73" s="365"/>
      <c r="F73" s="365"/>
      <c r="G73" s="365"/>
      <c r="H73" s="365"/>
      <c r="I73" s="452" t="s">
        <v>1289</v>
      </c>
      <c r="J73" s="363" t="s">
        <v>764</v>
      </c>
      <c r="K73" s="1112">
        <v>1000000</v>
      </c>
      <c r="L73" s="457">
        <v>1000000</v>
      </c>
      <c r="M73" s="476"/>
      <c r="N73" s="445">
        <v>1000000</v>
      </c>
      <c r="O73" s="365"/>
      <c r="P73" s="1099">
        <f t="shared" si="0"/>
        <v>100</v>
      </c>
      <c r="Q73" s="1326"/>
    </row>
    <row r="74" spans="1:18" s="366" customFormat="1" ht="46.8" x14ac:dyDescent="0.3">
      <c r="A74" s="388"/>
      <c r="B74" s="423" t="s">
        <v>1360</v>
      </c>
      <c r="C74" s="387" t="s">
        <v>1109</v>
      </c>
      <c r="D74" s="365"/>
      <c r="E74" s="365"/>
      <c r="F74" s="365"/>
      <c r="G74" s="365"/>
      <c r="H74" s="365"/>
      <c r="I74" s="452" t="s">
        <v>1359</v>
      </c>
      <c r="J74" s="363" t="s">
        <v>700</v>
      </c>
      <c r="K74" s="1112"/>
      <c r="L74" s="457">
        <f>18304436.83+5535587.23-788425+761200</f>
        <v>23812799.059999999</v>
      </c>
      <c r="M74" s="476"/>
      <c r="N74" s="743">
        <f>1065343.3+761200</f>
        <v>1826543.3</v>
      </c>
      <c r="O74" s="365"/>
      <c r="P74" s="1099">
        <f t="shared" si="0"/>
        <v>7.6704267121128602</v>
      </c>
      <c r="Q74" s="1070"/>
    </row>
    <row r="75" spans="1:18" s="366" customFormat="1" ht="31.8" x14ac:dyDescent="0.35">
      <c r="A75" s="425">
        <v>8</v>
      </c>
      <c r="B75" s="437" t="s">
        <v>561</v>
      </c>
      <c r="C75" s="427"/>
      <c r="D75" s="428"/>
      <c r="E75" s="428"/>
      <c r="F75" s="428"/>
      <c r="G75" s="428"/>
      <c r="H75" s="428"/>
      <c r="I75" s="429" t="s">
        <v>1343</v>
      </c>
      <c r="J75" s="430"/>
      <c r="K75" s="744">
        <f>K76+K77+K78+K79+K80</f>
        <v>233880</v>
      </c>
      <c r="L75" s="744">
        <f>L76+L77+L78+L79+L80</f>
        <v>187534</v>
      </c>
      <c r="M75" s="568"/>
      <c r="N75" s="744">
        <f>N76+N77+N78+N79+N80</f>
        <v>86901.5</v>
      </c>
      <c r="O75" s="428"/>
      <c r="P75" s="1100">
        <f t="shared" si="0"/>
        <v>46.339063849755249</v>
      </c>
      <c r="Q75" s="1106" t="s">
        <v>151</v>
      </c>
    </row>
    <row r="76" spans="1:18" s="366" customFormat="1" ht="31.2" x14ac:dyDescent="0.3">
      <c r="A76" s="388"/>
      <c r="B76" s="459" t="s">
        <v>684</v>
      </c>
      <c r="C76" s="387" t="s">
        <v>1114</v>
      </c>
      <c r="D76" s="365"/>
      <c r="E76" s="365"/>
      <c r="F76" s="365"/>
      <c r="G76" s="365"/>
      <c r="H76" s="365"/>
      <c r="I76" s="452" t="s">
        <v>1259</v>
      </c>
      <c r="J76" s="363" t="s">
        <v>528</v>
      </c>
      <c r="K76" s="1112">
        <v>106000</v>
      </c>
      <c r="L76" s="457">
        <f>106000+75000</f>
        <v>181000</v>
      </c>
      <c r="M76" s="476"/>
      <c r="N76" s="445">
        <v>80367.5</v>
      </c>
      <c r="O76" s="365"/>
      <c r="P76" s="1099">
        <f t="shared" si="0"/>
        <v>44.401933701657455</v>
      </c>
      <c r="Q76" s="1325"/>
    </row>
    <row r="77" spans="1:18" s="366" customFormat="1" ht="46.8" x14ac:dyDescent="0.3">
      <c r="A77" s="388"/>
      <c r="B77" s="459" t="s">
        <v>687</v>
      </c>
      <c r="C77" s="387" t="s">
        <v>1114</v>
      </c>
      <c r="D77" s="365"/>
      <c r="E77" s="365"/>
      <c r="F77" s="365"/>
      <c r="G77" s="365"/>
      <c r="H77" s="365"/>
      <c r="I77" s="452" t="s">
        <v>1260</v>
      </c>
      <c r="J77" s="363" t="s">
        <v>528</v>
      </c>
      <c r="K77" s="1112">
        <v>53000</v>
      </c>
      <c r="L77" s="457">
        <f>53000-53000</f>
        <v>0</v>
      </c>
      <c r="M77" s="476"/>
      <c r="N77" s="445"/>
      <c r="O77" s="365"/>
      <c r="P77" s="1099"/>
      <c r="Q77" s="1432"/>
    </row>
    <row r="78" spans="1:18" s="366" customFormat="1" ht="31.2" x14ac:dyDescent="0.3">
      <c r="A78" s="388"/>
      <c r="B78" s="459" t="s">
        <v>690</v>
      </c>
      <c r="C78" s="1085" t="s">
        <v>1114</v>
      </c>
      <c r="D78" s="482"/>
      <c r="E78" s="482"/>
      <c r="F78" s="482"/>
      <c r="G78" s="482"/>
      <c r="H78" s="482"/>
      <c r="I78" s="480" t="s">
        <v>1261</v>
      </c>
      <c r="J78" s="564" t="s">
        <v>586</v>
      </c>
      <c r="K78" s="1112">
        <v>24000</v>
      </c>
      <c r="L78" s="372">
        <f>24000-17466</f>
        <v>6534</v>
      </c>
      <c r="M78" s="476"/>
      <c r="N78" s="445">
        <v>6534</v>
      </c>
      <c r="O78" s="365"/>
      <c r="P78" s="1099">
        <f t="shared" si="0"/>
        <v>100</v>
      </c>
      <c r="Q78" s="1326"/>
    </row>
    <row r="79" spans="1:18" s="366" customFormat="1" ht="31.2" x14ac:dyDescent="0.3">
      <c r="A79" s="388"/>
      <c r="B79" s="565" t="s">
        <v>1171</v>
      </c>
      <c r="C79" s="387" t="s">
        <v>1172</v>
      </c>
      <c r="D79" s="365"/>
      <c r="E79" s="365"/>
      <c r="F79" s="365"/>
      <c r="G79" s="365"/>
      <c r="H79" s="365"/>
      <c r="I79" s="389" t="s">
        <v>1246</v>
      </c>
      <c r="J79" s="389" t="s">
        <v>528</v>
      </c>
      <c r="K79" s="1113">
        <v>31800</v>
      </c>
      <c r="L79" s="740">
        <f>31800-31800</f>
        <v>0</v>
      </c>
      <c r="M79" s="476"/>
      <c r="N79" s="445"/>
      <c r="O79" s="365"/>
      <c r="P79" s="1099"/>
      <c r="Q79" s="1070"/>
    </row>
    <row r="80" spans="1:18" s="366" customFormat="1" ht="62.4" x14ac:dyDescent="0.3">
      <c r="A80" s="388"/>
      <c r="B80" s="565" t="s">
        <v>1173</v>
      </c>
      <c r="C80" s="387" t="s">
        <v>1172</v>
      </c>
      <c r="D80" s="365"/>
      <c r="E80" s="365"/>
      <c r="F80" s="365"/>
      <c r="G80" s="365"/>
      <c r="H80" s="365"/>
      <c r="I80" s="389" t="s">
        <v>1247</v>
      </c>
      <c r="J80" s="389" t="s">
        <v>528</v>
      </c>
      <c r="K80" s="1113">
        <v>19080</v>
      </c>
      <c r="L80" s="740">
        <f>19080-19080</f>
        <v>0</v>
      </c>
      <c r="M80" s="476"/>
      <c r="N80" s="445"/>
      <c r="O80" s="365"/>
      <c r="P80" s="1100"/>
      <c r="Q80" s="1070"/>
    </row>
    <row r="81" spans="1:17" s="366" customFormat="1" ht="36" x14ac:dyDescent="0.35">
      <c r="A81" s="1090">
        <v>9</v>
      </c>
      <c r="B81" s="566" t="s">
        <v>560</v>
      </c>
      <c r="C81" s="365"/>
      <c r="D81" s="365"/>
      <c r="E81" s="365"/>
      <c r="F81" s="365"/>
      <c r="G81" s="365"/>
      <c r="H81" s="365"/>
      <c r="I81" s="429" t="s">
        <v>1344</v>
      </c>
      <c r="J81" s="430"/>
      <c r="K81" s="1119">
        <f>K82+K83+K84+K85+K86</f>
        <v>7506998</v>
      </c>
      <c r="L81" s="473">
        <f>L82+L83+L84+L85+L86</f>
        <v>6036386.8800000008</v>
      </c>
      <c r="M81" s="476"/>
      <c r="N81" s="473">
        <f>N82+N83+N84+N85+N86</f>
        <v>2395616.0099999998</v>
      </c>
      <c r="O81" s="365"/>
      <c r="P81" s="1100">
        <f t="shared" si="0"/>
        <v>39.686256988220073</v>
      </c>
      <c r="Q81" s="1106" t="s">
        <v>151</v>
      </c>
    </row>
    <row r="82" spans="1:17" s="366" customFormat="1" ht="18" x14ac:dyDescent="0.35">
      <c r="A82" s="1090"/>
      <c r="B82" s="459" t="s">
        <v>787</v>
      </c>
      <c r="C82" s="387" t="s">
        <v>1116</v>
      </c>
      <c r="D82" s="365"/>
      <c r="E82" s="365"/>
      <c r="F82" s="365"/>
      <c r="G82" s="365"/>
      <c r="H82" s="365"/>
      <c r="I82" s="452" t="s">
        <v>1295</v>
      </c>
      <c r="J82" s="363" t="s">
        <v>586</v>
      </c>
      <c r="K82" s="1112">
        <v>476999</v>
      </c>
      <c r="L82" s="464">
        <f>476999-100000-50000</f>
        <v>326999</v>
      </c>
      <c r="M82" s="476"/>
      <c r="N82" s="445">
        <f>10146.64+26907+37893.28+15554.98+10789.64+16346.64+39510+630.21+35170.99+6286.64+40610.06</f>
        <v>239846.08</v>
      </c>
      <c r="O82" s="365"/>
      <c r="P82" s="1099">
        <f t="shared" si="0"/>
        <v>73.347649381190763</v>
      </c>
      <c r="Q82" s="1325"/>
    </row>
    <row r="83" spans="1:17" s="366" customFormat="1" ht="15.6" x14ac:dyDescent="0.3">
      <c r="A83" s="388"/>
      <c r="B83" s="534" t="s">
        <v>781</v>
      </c>
      <c r="C83" s="387" t="s">
        <v>1115</v>
      </c>
      <c r="D83" s="365"/>
      <c r="E83" s="365"/>
      <c r="F83" s="365"/>
      <c r="G83" s="365"/>
      <c r="H83" s="365"/>
      <c r="I83" s="452" t="s">
        <v>1293</v>
      </c>
      <c r="J83" s="363" t="s">
        <v>586</v>
      </c>
      <c r="K83" s="1112">
        <v>450000</v>
      </c>
      <c r="L83" s="464">
        <f>450000+928700-300000+120000</f>
        <v>1198700</v>
      </c>
      <c r="M83" s="476"/>
      <c r="N83" s="445">
        <f>635000.01+98350+463332.39</f>
        <v>1196682.3999999999</v>
      </c>
      <c r="O83" s="365"/>
      <c r="P83" s="1099">
        <f t="shared" si="0"/>
        <v>99.831684324685071</v>
      </c>
      <c r="Q83" s="1432"/>
    </row>
    <row r="84" spans="1:17" s="366" customFormat="1" ht="15.6" x14ac:dyDescent="0.3">
      <c r="A84" s="388"/>
      <c r="B84" s="459" t="s">
        <v>790</v>
      </c>
      <c r="C84" s="387" t="s">
        <v>1116</v>
      </c>
      <c r="D84" s="365"/>
      <c r="E84" s="365"/>
      <c r="F84" s="365"/>
      <c r="G84" s="365"/>
      <c r="H84" s="365"/>
      <c r="I84" s="452" t="s">
        <v>1296</v>
      </c>
      <c r="J84" s="363" t="s">
        <v>586</v>
      </c>
      <c r="K84" s="1112">
        <v>529999</v>
      </c>
      <c r="L84" s="464">
        <f>529999-100000+250000</f>
        <v>679999</v>
      </c>
      <c r="M84" s="476"/>
      <c r="N84" s="445">
        <f>189150-107882+28785.7+126022.27+15811.89+41200+60097.4+50946.8+164249.47</f>
        <v>568381.53</v>
      </c>
      <c r="O84" s="365"/>
      <c r="P84" s="1099">
        <f t="shared" si="0"/>
        <v>83.58564203770888</v>
      </c>
      <c r="Q84" s="1432"/>
    </row>
    <row r="85" spans="1:17" s="366" customFormat="1" ht="31.2" x14ac:dyDescent="0.3">
      <c r="A85" s="388"/>
      <c r="B85" s="459" t="s">
        <v>784</v>
      </c>
      <c r="C85" s="387" t="s">
        <v>1115</v>
      </c>
      <c r="D85" s="365"/>
      <c r="E85" s="365"/>
      <c r="F85" s="365"/>
      <c r="G85" s="365"/>
      <c r="H85" s="365"/>
      <c r="I85" s="452" t="s">
        <v>1294</v>
      </c>
      <c r="J85" s="363" t="s">
        <v>586</v>
      </c>
      <c r="K85" s="1112">
        <v>50000</v>
      </c>
      <c r="L85" s="457">
        <f>100000-50000-50000</f>
        <v>0</v>
      </c>
      <c r="M85" s="476"/>
      <c r="N85" s="445"/>
      <c r="O85" s="365"/>
      <c r="P85" s="1099"/>
      <c r="Q85" s="1326"/>
    </row>
    <row r="86" spans="1:17" s="366" customFormat="1" ht="31.2" x14ac:dyDescent="0.3">
      <c r="A86" s="388"/>
      <c r="B86" s="521" t="s">
        <v>1297</v>
      </c>
      <c r="C86" s="387" t="s">
        <v>1116</v>
      </c>
      <c r="D86" s="365"/>
      <c r="E86" s="365"/>
      <c r="F86" s="365"/>
      <c r="G86" s="365"/>
      <c r="H86" s="365"/>
      <c r="I86" s="452" t="s">
        <v>1298</v>
      </c>
      <c r="J86" s="363" t="s">
        <v>700</v>
      </c>
      <c r="K86" s="1112">
        <v>6000000</v>
      </c>
      <c r="L86" s="464">
        <f>6000000-152000-1210622-633767.3-91250.19-81671.63</f>
        <v>3830688.8800000004</v>
      </c>
      <c r="M86" s="476"/>
      <c r="N86" s="445">
        <f>290887+99819</f>
        <v>390706</v>
      </c>
      <c r="O86" s="365"/>
      <c r="P86" s="1099">
        <f t="shared" si="0"/>
        <v>10.199366543179043</v>
      </c>
      <c r="Q86" s="1070"/>
    </row>
    <row r="87" spans="1:17" s="366" customFormat="1" ht="47.4" x14ac:dyDescent="0.35">
      <c r="A87" s="1090">
        <v>10</v>
      </c>
      <c r="B87" s="447" t="s">
        <v>562</v>
      </c>
      <c r="C87" s="365"/>
      <c r="D87" s="365"/>
      <c r="E87" s="365"/>
      <c r="F87" s="365"/>
      <c r="G87" s="365"/>
      <c r="H87" s="365"/>
      <c r="I87" s="1125" t="s">
        <v>1345</v>
      </c>
      <c r="J87" s="430"/>
      <c r="K87" s="1124">
        <f>K88+K92+K95+K96+K98+K104+K107+K114+K116+K118+K117+K115+K119+K97+K113+K112+K94+K103+K93</f>
        <v>76069071.390000001</v>
      </c>
      <c r="L87" s="473">
        <f>L88+L92+L95+L96+L98+L104+L107+L114+L116+L118+L117+L115+L119+L97+L113+L112+L94+L103+L93</f>
        <v>83122968.940000013</v>
      </c>
      <c r="M87" s="476"/>
      <c r="N87" s="677">
        <f>N88+N92+N95+N96+N98+N104+N107+N114+N116+N118+N117+N115+N119+N97+N113+N112+N94+N103+N93</f>
        <v>80508500.660000011</v>
      </c>
      <c r="O87" s="365"/>
      <c r="P87" s="1100">
        <f t="shared" ref="P87:P150" si="1">N87/L87*100</f>
        <v>96.854698149813217</v>
      </c>
      <c r="Q87" s="1106" t="s">
        <v>1135</v>
      </c>
    </row>
    <row r="88" spans="1:17" s="366" customFormat="1" ht="15.6" x14ac:dyDescent="0.3">
      <c r="A88" s="1428"/>
      <c r="B88" s="1346" t="s">
        <v>796</v>
      </c>
      <c r="C88" s="387" t="s">
        <v>1131</v>
      </c>
      <c r="D88" s="388"/>
      <c r="E88" s="388"/>
      <c r="F88" s="388"/>
      <c r="G88" s="388"/>
      <c r="H88" s="388"/>
      <c r="I88" s="389" t="s">
        <v>1299</v>
      </c>
      <c r="J88" s="363"/>
      <c r="K88" s="1112">
        <f>K89+K90+K91</f>
        <v>10546860.609999999</v>
      </c>
      <c r="L88" s="457">
        <f>L89+L90+L91</f>
        <v>10421254.289999999</v>
      </c>
      <c r="M88" s="476"/>
      <c r="N88" s="457">
        <f>N89+N90+N91</f>
        <v>10079486.379999999</v>
      </c>
      <c r="O88" s="365"/>
      <c r="P88" s="1099">
        <f t="shared" si="1"/>
        <v>96.720472406781653</v>
      </c>
      <c r="Q88" s="1350" t="s">
        <v>1136</v>
      </c>
    </row>
    <row r="89" spans="1:17" s="366" customFormat="1" ht="15.6" x14ac:dyDescent="0.3">
      <c r="A89" s="1429"/>
      <c r="B89" s="1430"/>
      <c r="C89" s="887"/>
      <c r="D89" s="386"/>
      <c r="E89" s="386"/>
      <c r="F89" s="386"/>
      <c r="G89" s="386"/>
      <c r="H89" s="386"/>
      <c r="I89" s="888"/>
      <c r="J89" s="363" t="s">
        <v>162</v>
      </c>
      <c r="K89" s="1112">
        <v>9687260.6099999994</v>
      </c>
      <c r="L89" s="464">
        <f>9687260.61-41000</f>
        <v>9646260.6099999994</v>
      </c>
      <c r="M89" s="476"/>
      <c r="N89" s="445">
        <f>524429.57+75+158298.21+536955.67+75+192902.57+568054.78+75+162342.28+648114.12+75+198805.22+573128.6+2476.7+169380.03+1012284.12+1094285.75+362322.37+3991+106547.75+533877.68+75+153615+674763.5+75+195898.49+593342.25+75+185246+751304.71+975+211880.28</f>
        <v>9615746.6500000004</v>
      </c>
      <c r="O89" s="365"/>
      <c r="P89" s="1099">
        <f t="shared" si="1"/>
        <v>99.683670582480772</v>
      </c>
      <c r="Q89" s="1431"/>
    </row>
    <row r="90" spans="1:17" s="366" customFormat="1" ht="15.6" x14ac:dyDescent="0.3">
      <c r="A90" s="1429"/>
      <c r="B90" s="1430"/>
      <c r="C90" s="887"/>
      <c r="D90" s="362"/>
      <c r="E90" s="362"/>
      <c r="F90" s="362"/>
      <c r="G90" s="362"/>
      <c r="H90" s="362"/>
      <c r="I90" s="888"/>
      <c r="J90" s="363" t="s">
        <v>586</v>
      </c>
      <c r="K90" s="1112">
        <v>847600</v>
      </c>
      <c r="L90" s="457">
        <f>847600-84606.32</f>
        <v>762993.67999999993</v>
      </c>
      <c r="M90" s="476"/>
      <c r="N90" s="445">
        <f>815.14+20591.29+30465.97+12189.2+28272.17+30034.85+19269.7+57149.1+19560.63+73044.36+31507.45+140015.67</f>
        <v>462915.53</v>
      </c>
      <c r="O90" s="365"/>
      <c r="P90" s="1099">
        <f t="shared" si="1"/>
        <v>60.67095208442619</v>
      </c>
      <c r="Q90" s="1431"/>
    </row>
    <row r="91" spans="1:17" s="366" customFormat="1" ht="15.6" x14ac:dyDescent="0.3">
      <c r="A91" s="1345"/>
      <c r="B91" s="1299"/>
      <c r="C91" s="384"/>
      <c r="D91" s="362"/>
      <c r="E91" s="362"/>
      <c r="F91" s="362"/>
      <c r="G91" s="362"/>
      <c r="H91" s="362"/>
      <c r="I91" s="385"/>
      <c r="J91" s="363" t="s">
        <v>528</v>
      </c>
      <c r="K91" s="1112">
        <v>12000</v>
      </c>
      <c r="L91" s="457">
        <v>12000</v>
      </c>
      <c r="M91" s="476"/>
      <c r="N91" s="445">
        <f>800+24.2</f>
        <v>824.2</v>
      </c>
      <c r="O91" s="365"/>
      <c r="P91" s="1099">
        <f t="shared" si="1"/>
        <v>6.8683333333333332</v>
      </c>
      <c r="Q91" s="1431"/>
    </row>
    <row r="92" spans="1:17" s="366" customFormat="1" ht="78" x14ac:dyDescent="0.35">
      <c r="A92" s="1090"/>
      <c r="B92" s="478" t="s">
        <v>810</v>
      </c>
      <c r="C92" s="387" t="s">
        <v>1133</v>
      </c>
      <c r="D92" s="365"/>
      <c r="E92" s="365"/>
      <c r="F92" s="365"/>
      <c r="G92" s="365"/>
      <c r="H92" s="365"/>
      <c r="I92" s="452" t="s">
        <v>1302</v>
      </c>
      <c r="J92" s="363" t="s">
        <v>813</v>
      </c>
      <c r="K92" s="1112">
        <v>18000000</v>
      </c>
      <c r="L92" s="457">
        <v>18000000</v>
      </c>
      <c r="M92" s="476"/>
      <c r="N92" s="445">
        <f>2126908+1469292+2403796+1499999+1499999+1499999+1499999+1499999+1499999+1499999+1500011</f>
        <v>18000000</v>
      </c>
      <c r="O92" s="365"/>
      <c r="P92" s="1099">
        <f t="shared" si="1"/>
        <v>100</v>
      </c>
      <c r="Q92" s="1431"/>
    </row>
    <row r="93" spans="1:17" s="366" customFormat="1" ht="27" customHeight="1" x14ac:dyDescent="0.3">
      <c r="A93" s="1461"/>
      <c r="B93" s="1463" t="s">
        <v>1405</v>
      </c>
      <c r="C93" s="387" t="s">
        <v>1418</v>
      </c>
      <c r="D93" s="365"/>
      <c r="E93" s="365"/>
      <c r="F93" s="365"/>
      <c r="G93" s="365"/>
      <c r="H93" s="365"/>
      <c r="I93" s="1295" t="s">
        <v>1404</v>
      </c>
      <c r="J93" s="363" t="s">
        <v>813</v>
      </c>
      <c r="K93" s="1112"/>
      <c r="L93" s="464">
        <f>100000+240000-165002</f>
        <v>174998</v>
      </c>
      <c r="M93" s="476"/>
      <c r="N93" s="445">
        <f>100000+74998</f>
        <v>174998</v>
      </c>
      <c r="O93" s="365"/>
      <c r="P93" s="1099">
        <f t="shared" si="1"/>
        <v>100</v>
      </c>
      <c r="Q93" s="1466"/>
    </row>
    <row r="94" spans="1:17" s="366" customFormat="1" ht="34.5" customHeight="1" x14ac:dyDescent="0.3">
      <c r="A94" s="1462"/>
      <c r="B94" s="1464"/>
      <c r="C94" s="387" t="s">
        <v>1403</v>
      </c>
      <c r="D94" s="365"/>
      <c r="E94" s="365"/>
      <c r="F94" s="365"/>
      <c r="G94" s="365"/>
      <c r="H94" s="365"/>
      <c r="I94" s="1296"/>
      <c r="J94" s="363" t="s">
        <v>813</v>
      </c>
      <c r="K94" s="1112"/>
      <c r="L94" s="464">
        <f>150000+210466.03+165002</f>
        <v>525468.03</v>
      </c>
      <c r="M94" s="476"/>
      <c r="N94" s="445">
        <f>150000+210466.03+165002</f>
        <v>525468.03</v>
      </c>
      <c r="O94" s="365"/>
      <c r="P94" s="1099">
        <f t="shared" si="1"/>
        <v>100</v>
      </c>
      <c r="Q94" s="1431"/>
    </row>
    <row r="95" spans="1:17" s="366" customFormat="1" ht="31.2" x14ac:dyDescent="0.35">
      <c r="A95" s="1090"/>
      <c r="B95" s="459" t="s">
        <v>805</v>
      </c>
      <c r="C95" s="387" t="s">
        <v>1132</v>
      </c>
      <c r="D95" s="365"/>
      <c r="E95" s="365"/>
      <c r="F95" s="365"/>
      <c r="G95" s="365"/>
      <c r="H95" s="365"/>
      <c r="I95" s="452" t="s">
        <v>1301</v>
      </c>
      <c r="J95" s="363" t="s">
        <v>808</v>
      </c>
      <c r="K95" s="1112">
        <v>51963.839999999997</v>
      </c>
      <c r="L95" s="457">
        <f>51963.84-51963.84</f>
        <v>0</v>
      </c>
      <c r="M95" s="476"/>
      <c r="N95" s="445"/>
      <c r="O95" s="365"/>
      <c r="P95" s="1099"/>
      <c r="Q95" s="1431"/>
    </row>
    <row r="96" spans="1:17" s="366" customFormat="1" ht="18" x14ac:dyDescent="0.35">
      <c r="A96" s="889"/>
      <c r="B96" s="1297" t="s">
        <v>801</v>
      </c>
      <c r="C96" s="1372" t="s">
        <v>1131</v>
      </c>
      <c r="D96" s="890"/>
      <c r="E96" s="890"/>
      <c r="F96" s="890"/>
      <c r="G96" s="890"/>
      <c r="H96" s="890"/>
      <c r="I96" s="1295" t="s">
        <v>1300</v>
      </c>
      <c r="J96" s="363" t="s">
        <v>162</v>
      </c>
      <c r="K96" s="1112"/>
      <c r="L96" s="464">
        <f>600000+10000-41603.73</f>
        <v>568396.27</v>
      </c>
      <c r="M96" s="476"/>
      <c r="N96" s="445">
        <f>30041.46+9072.51+32340.46+8828.94+38624.73+10544.55+33976.9+10661.72+35118.46+8201.31+38242.77+59610.06+68927.73+20816.17+7544.56+7211.4+39053.46+11794.15+30041.46+9072.51+45062.19+13608.77</f>
        <v>568396.27</v>
      </c>
      <c r="O96" s="365"/>
      <c r="P96" s="1099">
        <f t="shared" si="1"/>
        <v>100</v>
      </c>
      <c r="Q96" s="1352"/>
    </row>
    <row r="97" spans="1:17" s="366" customFormat="1" ht="30.75" customHeight="1" x14ac:dyDescent="0.35">
      <c r="A97" s="494"/>
      <c r="B97" s="1299"/>
      <c r="C97" s="1348"/>
      <c r="D97" s="890"/>
      <c r="E97" s="890"/>
      <c r="F97" s="890"/>
      <c r="G97" s="890"/>
      <c r="H97" s="890"/>
      <c r="I97" s="1285"/>
      <c r="J97" s="363" t="s">
        <v>586</v>
      </c>
      <c r="K97" s="1112">
        <v>600000</v>
      </c>
      <c r="L97" s="464">
        <v>41603.730000000003</v>
      </c>
      <c r="M97" s="476"/>
      <c r="N97" s="745">
        <v>41603.730000000003</v>
      </c>
      <c r="O97" s="365"/>
      <c r="P97" s="1099">
        <f t="shared" si="1"/>
        <v>100</v>
      </c>
      <c r="Q97" s="1063"/>
    </row>
    <row r="98" spans="1:17" s="366" customFormat="1" ht="15.6" x14ac:dyDescent="0.3">
      <c r="A98" s="1428"/>
      <c r="B98" s="1297" t="s">
        <v>904</v>
      </c>
      <c r="C98" s="387" t="s">
        <v>1134</v>
      </c>
      <c r="D98" s="388"/>
      <c r="E98" s="388"/>
      <c r="F98" s="388"/>
      <c r="G98" s="388"/>
      <c r="H98" s="388"/>
      <c r="I98" s="389" t="s">
        <v>1328</v>
      </c>
      <c r="J98" s="363"/>
      <c r="K98" s="457">
        <f>K99+K100+K101</f>
        <v>5332603.96</v>
      </c>
      <c r="L98" s="457">
        <f>L99+L100+L101</f>
        <v>5262585.96</v>
      </c>
      <c r="M98" s="476"/>
      <c r="N98" s="457">
        <f>N99+N100+N101</f>
        <v>5129383.3999999994</v>
      </c>
      <c r="O98" s="365"/>
      <c r="P98" s="1099">
        <f t="shared" si="1"/>
        <v>97.468876308863173</v>
      </c>
      <c r="Q98" s="1288" t="s">
        <v>1097</v>
      </c>
    </row>
    <row r="99" spans="1:17" s="366" customFormat="1" ht="15.6" x14ac:dyDescent="0.3">
      <c r="A99" s="1429"/>
      <c r="B99" s="1430"/>
      <c r="C99" s="887"/>
      <c r="D99" s="386"/>
      <c r="E99" s="386"/>
      <c r="F99" s="386"/>
      <c r="G99" s="386"/>
      <c r="H99" s="386"/>
      <c r="I99" s="888"/>
      <c r="J99" s="363" t="s">
        <v>162</v>
      </c>
      <c r="K99" s="1112">
        <v>5094348.96</v>
      </c>
      <c r="L99" s="464">
        <f>5094348.96-70018-10000</f>
        <v>5014330.96</v>
      </c>
      <c r="M99" s="476"/>
      <c r="N99" s="445">
        <f>267156.78+80681.33+323666.55+97747.31+286809.24+85408.41+372193.19+370.8+103763+293452.7+87623.72+368354.62+545951.71+242026.78+6525.8+73092.09+312056.18+12392.9+93032.97+294232.7+87650.27+270920.35+81817.95-120+381242.64+600+113374.12</f>
        <v>4882024.1099999994</v>
      </c>
      <c r="O99" s="365"/>
      <c r="P99" s="1099">
        <f t="shared" si="1"/>
        <v>97.361425660662803</v>
      </c>
      <c r="Q99" s="1441"/>
    </row>
    <row r="100" spans="1:17" s="366" customFormat="1" ht="15.6" x14ac:dyDescent="0.3">
      <c r="A100" s="1429"/>
      <c r="B100" s="1430"/>
      <c r="C100" s="887"/>
      <c r="D100" s="362"/>
      <c r="E100" s="362"/>
      <c r="F100" s="362"/>
      <c r="G100" s="362"/>
      <c r="H100" s="362"/>
      <c r="I100" s="888"/>
      <c r="J100" s="363" t="s">
        <v>586</v>
      </c>
      <c r="K100" s="1112">
        <v>237874</v>
      </c>
      <c r="L100" s="464">
        <f>237874-2000-1000+10000</f>
        <v>244874</v>
      </c>
      <c r="M100" s="476"/>
      <c r="N100" s="445">
        <f>2490+14256+5500+20000+10000+32261.6+4000+73944.71+59656.48+22250.5</f>
        <v>244359.29</v>
      </c>
      <c r="O100" s="365"/>
      <c r="P100" s="1099">
        <f t="shared" si="1"/>
        <v>99.789806186038533</v>
      </c>
      <c r="Q100" s="1441"/>
    </row>
    <row r="101" spans="1:17" s="366" customFormat="1" ht="15.6" x14ac:dyDescent="0.3">
      <c r="A101" s="1345"/>
      <c r="B101" s="1299"/>
      <c r="C101" s="384"/>
      <c r="D101" s="362"/>
      <c r="E101" s="362"/>
      <c r="F101" s="362"/>
      <c r="G101" s="362"/>
      <c r="H101" s="362"/>
      <c r="I101" s="852"/>
      <c r="J101" s="363" t="s">
        <v>528</v>
      </c>
      <c r="K101" s="1112">
        <v>381</v>
      </c>
      <c r="L101" s="457">
        <f>381+2000+1000</f>
        <v>3381</v>
      </c>
      <c r="M101" s="476"/>
      <c r="N101" s="445">
        <f>2000+1000</f>
        <v>3000</v>
      </c>
      <c r="O101" s="365"/>
      <c r="P101" s="1099">
        <f t="shared" si="1"/>
        <v>88.731144631765744</v>
      </c>
      <c r="Q101" s="1290"/>
    </row>
    <row r="102" spans="1:17" s="366" customFormat="1" ht="18" hidden="1" x14ac:dyDescent="0.35">
      <c r="A102" s="891"/>
      <c r="B102" s="1084"/>
      <c r="C102" s="850"/>
      <c r="D102" s="851"/>
      <c r="E102" s="851"/>
      <c r="F102" s="851"/>
      <c r="G102" s="851"/>
      <c r="H102" s="851"/>
      <c r="I102" s="852"/>
      <c r="J102" s="564"/>
      <c r="K102" s="1112"/>
      <c r="L102" s="372"/>
      <c r="M102" s="932"/>
      <c r="N102" s="745"/>
      <c r="O102" s="365"/>
      <c r="P102" s="1099" t="e">
        <f t="shared" si="1"/>
        <v>#DIV/0!</v>
      </c>
      <c r="Q102" s="856"/>
    </row>
    <row r="103" spans="1:17" s="366" customFormat="1" ht="31.2" x14ac:dyDescent="0.3">
      <c r="A103" s="1442"/>
      <c r="B103" s="1408" t="s">
        <v>909</v>
      </c>
      <c r="C103" s="855" t="s">
        <v>1411</v>
      </c>
      <c r="D103" s="362"/>
      <c r="E103" s="362"/>
      <c r="F103" s="362"/>
      <c r="G103" s="362"/>
      <c r="H103" s="362"/>
      <c r="I103" s="389" t="s">
        <v>1329</v>
      </c>
      <c r="J103" s="363" t="s">
        <v>586</v>
      </c>
      <c r="K103" s="1112"/>
      <c r="L103" s="674">
        <f>200000+257000-156899.46</f>
        <v>300100.54000000004</v>
      </c>
      <c r="M103" s="476"/>
      <c r="N103" s="678">
        <v>300100.53999999998</v>
      </c>
      <c r="O103" s="365"/>
      <c r="P103" s="1099">
        <f t="shared" si="1"/>
        <v>99.999999999999972</v>
      </c>
      <c r="Q103" s="856" t="s">
        <v>151</v>
      </c>
    </row>
    <row r="104" spans="1:17" s="366" customFormat="1" ht="15.6" x14ac:dyDescent="0.3">
      <c r="A104" s="1442"/>
      <c r="B104" s="1408"/>
      <c r="C104" s="853" t="s">
        <v>1134</v>
      </c>
      <c r="D104" s="854"/>
      <c r="E104" s="854"/>
      <c r="F104" s="854"/>
      <c r="G104" s="854"/>
      <c r="H104" s="854"/>
      <c r="I104" s="1086" t="s">
        <v>1329</v>
      </c>
      <c r="J104" s="662"/>
      <c r="K104" s="1112">
        <f>K105+K106</f>
        <v>828876.26</v>
      </c>
      <c r="L104" s="553">
        <f>L105+L106</f>
        <v>2991989.5300000003</v>
      </c>
      <c r="M104" s="933"/>
      <c r="N104" s="553">
        <f>N105+N106</f>
        <v>2382044.12</v>
      </c>
      <c r="O104" s="365"/>
      <c r="P104" s="1099">
        <f t="shared" si="1"/>
        <v>79.614052660137475</v>
      </c>
      <c r="Q104" s="1288" t="s">
        <v>1097</v>
      </c>
    </row>
    <row r="105" spans="1:17" s="366" customFormat="1" ht="15.6" x14ac:dyDescent="0.3">
      <c r="A105" s="1442"/>
      <c r="B105" s="1408"/>
      <c r="C105" s="1303"/>
      <c r="D105" s="482"/>
      <c r="E105" s="482"/>
      <c r="F105" s="482"/>
      <c r="G105" s="482"/>
      <c r="H105" s="482"/>
      <c r="I105" s="1305"/>
      <c r="J105" s="363" t="s">
        <v>586</v>
      </c>
      <c r="K105" s="1116">
        <v>810750.26</v>
      </c>
      <c r="L105" s="650">
        <f>810750.26+771343.92+219062+1472707.35+300000-30000-600000</f>
        <v>2943863.5300000003</v>
      </c>
      <c r="M105" s="476"/>
      <c r="N105" s="445">
        <f>26103.04+260144.02+193989.2+163893.5+435030.02+144610.14+58497.8+68416.08+196431.79+157882.58+177182.62+498213.33</f>
        <v>2380394.12</v>
      </c>
      <c r="O105" s="365"/>
      <c r="P105" s="1099">
        <f t="shared" si="1"/>
        <v>80.85952680014347</v>
      </c>
      <c r="Q105" s="1317"/>
    </row>
    <row r="106" spans="1:17" s="366" customFormat="1" ht="15.6" x14ac:dyDescent="0.3">
      <c r="A106" s="1442"/>
      <c r="B106" s="1408"/>
      <c r="C106" s="1304"/>
      <c r="D106" s="482"/>
      <c r="E106" s="482"/>
      <c r="F106" s="482"/>
      <c r="G106" s="482"/>
      <c r="H106" s="482"/>
      <c r="I106" s="1306"/>
      <c r="J106" s="363" t="s">
        <v>528</v>
      </c>
      <c r="K106" s="1116">
        <v>18126</v>
      </c>
      <c r="L106" s="372">
        <f>18126+30000</f>
        <v>48126</v>
      </c>
      <c r="M106" s="476"/>
      <c r="N106" s="445">
        <f>850+800</f>
        <v>1650</v>
      </c>
      <c r="O106" s="365"/>
      <c r="P106" s="1099">
        <f t="shared" si="1"/>
        <v>3.4285001870091008</v>
      </c>
      <c r="Q106" s="1290"/>
    </row>
    <row r="107" spans="1:17" s="474" customFormat="1" ht="15.6" x14ac:dyDescent="0.3">
      <c r="A107" s="1433"/>
      <c r="B107" s="1434" t="s">
        <v>1230</v>
      </c>
      <c r="C107" s="395" t="s">
        <v>1093</v>
      </c>
      <c r="D107" s="475"/>
      <c r="E107" s="475"/>
      <c r="F107" s="475"/>
      <c r="G107" s="475"/>
      <c r="H107" s="475"/>
      <c r="I107" s="397" t="s">
        <v>1226</v>
      </c>
      <c r="J107" s="371"/>
      <c r="K107" s="372">
        <f>K108+K109+K110</f>
        <v>28501970.560000002</v>
      </c>
      <c r="L107" s="372">
        <f>L108+L109+L110</f>
        <v>28902841.560000002</v>
      </c>
      <c r="M107" s="476"/>
      <c r="N107" s="372">
        <f>N108+N109+N110</f>
        <v>28128302.110000003</v>
      </c>
      <c r="O107" s="476"/>
      <c r="P107" s="1099">
        <f t="shared" si="1"/>
        <v>97.320196187658169</v>
      </c>
      <c r="Q107" s="1280" t="s">
        <v>151</v>
      </c>
    </row>
    <row r="108" spans="1:17" s="474" customFormat="1" ht="15.6" x14ac:dyDescent="0.3">
      <c r="A108" s="1433"/>
      <c r="B108" s="1434"/>
      <c r="C108" s="892"/>
      <c r="D108" s="517"/>
      <c r="E108" s="517"/>
      <c r="F108" s="517"/>
      <c r="G108" s="517"/>
      <c r="H108" s="517"/>
      <c r="I108" s="893"/>
      <c r="J108" s="371" t="s">
        <v>162</v>
      </c>
      <c r="K108" s="1116">
        <v>24557419.370000001</v>
      </c>
      <c r="L108" s="650">
        <f>24557419.37-365566-80593.54+746871+41000</f>
        <v>24899130.830000002</v>
      </c>
      <c r="M108" s="476"/>
      <c r="N108" s="445">
        <f>1217872.51+88843.54+627345.62+1042801.37+36724.5+434017.63+1452587.28+18150+467538.72+1868313.96+17423.5+199936.57+1685104.01-72964.54+667346.52+2026170.98+2707229+1213020.31+5719.4+384756.79+608037.09+48655.2+1526188.87+1252207.2+27519.54+461355.57+1195154.11+31906.1+423285.39+2119256.39+14687.7+653182.12</f>
        <v>24449372.950000003</v>
      </c>
      <c r="O108" s="476"/>
      <c r="P108" s="1099">
        <f t="shared" si="1"/>
        <v>98.193680401654419</v>
      </c>
      <c r="Q108" s="1435"/>
    </row>
    <row r="109" spans="1:17" s="474" customFormat="1" ht="15.6" x14ac:dyDescent="0.3">
      <c r="A109" s="1433"/>
      <c r="B109" s="1434"/>
      <c r="C109" s="892"/>
      <c r="D109" s="518"/>
      <c r="E109" s="518"/>
      <c r="F109" s="518"/>
      <c r="G109" s="518"/>
      <c r="H109" s="518"/>
      <c r="I109" s="893"/>
      <c r="J109" s="371" t="s">
        <v>586</v>
      </c>
      <c r="K109" s="743">
        <v>3678500</v>
      </c>
      <c r="L109" s="650">
        <f>3678500+365566+80593.54+40000-250000</f>
        <v>3914659.54</v>
      </c>
      <c r="M109" s="476"/>
      <c r="N109" s="445">
        <f>101785.52+235044.2+480428.05+313585.37+311743.82+225066.21+183478.32+428902.15+91332.07+250513.65+372687.91+640171.89</f>
        <v>3634739.16</v>
      </c>
      <c r="O109" s="476"/>
      <c r="P109" s="1099">
        <f t="shared" si="1"/>
        <v>92.849432316149773</v>
      </c>
      <c r="Q109" s="1435"/>
    </row>
    <row r="110" spans="1:17" s="474" customFormat="1" ht="15.6" x14ac:dyDescent="0.3">
      <c r="A110" s="1359"/>
      <c r="B110" s="1362"/>
      <c r="C110" s="392"/>
      <c r="D110" s="518"/>
      <c r="E110" s="518"/>
      <c r="F110" s="518"/>
      <c r="G110" s="518"/>
      <c r="H110" s="518"/>
      <c r="I110" s="393"/>
      <c r="J110" s="371" t="s">
        <v>528</v>
      </c>
      <c r="K110" s="743">
        <v>266051.19</v>
      </c>
      <c r="L110" s="650">
        <f>266051.19-177000</f>
        <v>89051.19</v>
      </c>
      <c r="M110" s="476"/>
      <c r="N110" s="445">
        <f>3197+6613+19753+3014+6613+5000</f>
        <v>44190</v>
      </c>
      <c r="O110" s="476"/>
      <c r="P110" s="1099">
        <f t="shared" si="1"/>
        <v>49.623143722166994</v>
      </c>
      <c r="Q110" s="1435"/>
    </row>
    <row r="111" spans="1:17" s="474" customFormat="1" ht="15.6" x14ac:dyDescent="0.3">
      <c r="A111" s="1436"/>
      <c r="B111" s="1437" t="s">
        <v>1383</v>
      </c>
      <c r="C111" s="1085" t="s">
        <v>1134</v>
      </c>
      <c r="D111" s="518"/>
      <c r="E111" s="518"/>
      <c r="F111" s="518"/>
      <c r="G111" s="518"/>
      <c r="H111" s="518"/>
      <c r="I111" s="1439" t="s">
        <v>1384</v>
      </c>
      <c r="J111" s="371" t="s">
        <v>586</v>
      </c>
      <c r="K111" s="1116"/>
      <c r="L111" s="372"/>
      <c r="M111" s="476"/>
      <c r="N111" s="445"/>
      <c r="O111" s="476"/>
      <c r="P111" s="1100"/>
      <c r="Q111" s="1435"/>
    </row>
    <row r="112" spans="1:17" s="474" customFormat="1" ht="15.6" x14ac:dyDescent="0.3">
      <c r="A112" s="1359"/>
      <c r="B112" s="1438"/>
      <c r="C112" s="1085" t="s">
        <v>1130</v>
      </c>
      <c r="D112" s="518"/>
      <c r="E112" s="518"/>
      <c r="F112" s="518"/>
      <c r="G112" s="518"/>
      <c r="H112" s="518"/>
      <c r="I112" s="1440"/>
      <c r="J112" s="371" t="s">
        <v>528</v>
      </c>
      <c r="K112" s="1116"/>
      <c r="L112" s="372">
        <f>494846.92+10000+100000</f>
        <v>604846.91999999993</v>
      </c>
      <c r="M112" s="476"/>
      <c r="N112" s="445">
        <f>6000+304037.52+120048.92+1458.05</f>
        <v>431544.49</v>
      </c>
      <c r="O112" s="476"/>
      <c r="P112" s="1099">
        <f t="shared" si="1"/>
        <v>71.347720510836041</v>
      </c>
      <c r="Q112" s="1435"/>
    </row>
    <row r="113" spans="1:17" s="474" customFormat="1" ht="31.2" x14ac:dyDescent="0.3">
      <c r="A113" s="708"/>
      <c r="B113" s="709" t="s">
        <v>1353</v>
      </c>
      <c r="C113" s="395" t="s">
        <v>1130</v>
      </c>
      <c r="D113" s="475"/>
      <c r="E113" s="475"/>
      <c r="F113" s="475"/>
      <c r="G113" s="475"/>
      <c r="H113" s="475"/>
      <c r="I113" s="397" t="s">
        <v>1354</v>
      </c>
      <c r="J113" s="371" t="s">
        <v>528</v>
      </c>
      <c r="K113" s="1116"/>
      <c r="L113" s="650">
        <f>400000-79252.72</f>
        <v>320747.28000000003</v>
      </c>
      <c r="M113" s="476"/>
      <c r="N113" s="445">
        <v>320747.28000000003</v>
      </c>
      <c r="O113" s="476"/>
      <c r="P113" s="1099">
        <f t="shared" si="1"/>
        <v>100</v>
      </c>
      <c r="Q113" s="1435"/>
    </row>
    <row r="114" spans="1:17" s="366" customFormat="1" ht="46.2" customHeight="1" x14ac:dyDescent="0.3">
      <c r="A114" s="388"/>
      <c r="B114" s="459" t="s">
        <v>610</v>
      </c>
      <c r="C114" s="387" t="s">
        <v>1130</v>
      </c>
      <c r="D114" s="365"/>
      <c r="E114" s="365"/>
      <c r="F114" s="365"/>
      <c r="G114" s="365"/>
      <c r="H114" s="365"/>
      <c r="I114" s="452" t="s">
        <v>1233</v>
      </c>
      <c r="J114" s="363" t="s">
        <v>613</v>
      </c>
      <c r="K114" s="1112">
        <v>11822578.16</v>
      </c>
      <c r="L114" s="457">
        <f>11822578.16+2851340.67</f>
        <v>14673918.83</v>
      </c>
      <c r="M114" s="476"/>
      <c r="N114" s="445">
        <f>582207.78+1087559.96+1228848.09+1469746.84+1031323.13+1145567.72+1672440.16+1232477.82+845373.83+1286072.8+1017730.5+1827077.68</f>
        <v>14426426.310000001</v>
      </c>
      <c r="O114" s="365"/>
      <c r="P114" s="1099">
        <f t="shared" si="1"/>
        <v>98.313384973249171</v>
      </c>
      <c r="Q114" s="1435"/>
    </row>
    <row r="115" spans="1:17" s="366" customFormat="1" ht="15.6" hidden="1" x14ac:dyDescent="0.3">
      <c r="A115" s="388"/>
      <c r="B115" s="459" t="s">
        <v>1174</v>
      </c>
      <c r="C115" s="387" t="s">
        <v>1130</v>
      </c>
      <c r="D115" s="365"/>
      <c r="E115" s="365"/>
      <c r="F115" s="365"/>
      <c r="G115" s="365"/>
      <c r="H115" s="365"/>
      <c r="I115" s="452" t="s">
        <v>1175</v>
      </c>
      <c r="J115" s="363" t="s">
        <v>528</v>
      </c>
      <c r="K115" s="1112"/>
      <c r="L115" s="457"/>
      <c r="M115" s="476"/>
      <c r="N115" s="445"/>
      <c r="O115" s="365"/>
      <c r="P115" s="1099" t="e">
        <f t="shared" si="1"/>
        <v>#DIV/0!</v>
      </c>
      <c r="Q115" s="1435"/>
    </row>
    <row r="116" spans="1:17" s="474" customFormat="1" ht="15.6" x14ac:dyDescent="0.3">
      <c r="A116" s="475"/>
      <c r="B116" s="423" t="s">
        <v>604</v>
      </c>
      <c r="C116" s="395" t="s">
        <v>1129</v>
      </c>
      <c r="D116" s="476"/>
      <c r="E116" s="476"/>
      <c r="F116" s="476"/>
      <c r="G116" s="476"/>
      <c r="H116" s="476"/>
      <c r="I116" s="477" t="s">
        <v>1229</v>
      </c>
      <c r="J116" s="371" t="s">
        <v>528</v>
      </c>
      <c r="K116" s="1116">
        <v>334218</v>
      </c>
      <c r="L116" s="457">
        <v>334218</v>
      </c>
      <c r="M116" s="476"/>
      <c r="N116" s="445"/>
      <c r="O116" s="476"/>
      <c r="P116" s="1099">
        <f t="shared" si="1"/>
        <v>0</v>
      </c>
      <c r="Q116" s="1435"/>
    </row>
    <row r="117" spans="1:17" s="366" customFormat="1" ht="31.2" x14ac:dyDescent="0.3">
      <c r="A117" s="388"/>
      <c r="B117" s="459" t="s">
        <v>771</v>
      </c>
      <c r="C117" s="387" t="s">
        <v>1111</v>
      </c>
      <c r="D117" s="365"/>
      <c r="E117" s="365"/>
      <c r="F117" s="365"/>
      <c r="G117" s="365"/>
      <c r="H117" s="365"/>
      <c r="I117" s="452" t="s">
        <v>1290</v>
      </c>
      <c r="J117" s="363" t="s">
        <v>586</v>
      </c>
      <c r="K117" s="1112">
        <v>50000</v>
      </c>
      <c r="L117" s="457">
        <f>50000-50000</f>
        <v>0</v>
      </c>
      <c r="M117" s="476"/>
      <c r="N117" s="445"/>
      <c r="O117" s="365"/>
      <c r="P117" s="1099"/>
      <c r="Q117" s="1435"/>
    </row>
    <row r="118" spans="1:17" s="366" customFormat="1" ht="62.4" hidden="1" x14ac:dyDescent="0.3">
      <c r="A118" s="388"/>
      <c r="B118" s="483" t="s">
        <v>1187</v>
      </c>
      <c r="C118" s="387" t="s">
        <v>1161</v>
      </c>
      <c r="D118" s="365"/>
      <c r="E118" s="365"/>
      <c r="F118" s="365"/>
      <c r="G118" s="365"/>
      <c r="H118" s="365"/>
      <c r="I118" s="452" t="s">
        <v>1162</v>
      </c>
      <c r="J118" s="363" t="s">
        <v>528</v>
      </c>
      <c r="K118" s="1112"/>
      <c r="L118" s="372"/>
      <c r="M118" s="476"/>
      <c r="N118" s="445"/>
      <c r="O118" s="365"/>
      <c r="P118" s="1100" t="e">
        <f t="shared" si="1"/>
        <v>#DIV/0!</v>
      </c>
      <c r="Q118" s="1283"/>
    </row>
    <row r="119" spans="1:17" s="366" customFormat="1" ht="62.4" hidden="1" x14ac:dyDescent="0.3">
      <c r="A119" s="388"/>
      <c r="B119" s="423" t="s">
        <v>1188</v>
      </c>
      <c r="C119" s="387" t="s">
        <v>1185</v>
      </c>
      <c r="D119" s="365"/>
      <c r="E119" s="365"/>
      <c r="F119" s="365"/>
      <c r="G119" s="365"/>
      <c r="H119" s="365"/>
      <c r="I119" s="484" t="s">
        <v>1186</v>
      </c>
      <c r="J119" s="389" t="s">
        <v>528</v>
      </c>
      <c r="K119" s="1113"/>
      <c r="L119" s="740"/>
      <c r="M119" s="476"/>
      <c r="N119" s="661"/>
      <c r="O119" s="365"/>
      <c r="P119" s="1100" t="e">
        <f t="shared" si="1"/>
        <v>#DIV/0!</v>
      </c>
      <c r="Q119" s="1074" t="s">
        <v>968</v>
      </c>
    </row>
    <row r="120" spans="1:17" s="366" customFormat="1" ht="52.8" customHeight="1" x14ac:dyDescent="0.35">
      <c r="A120" s="425">
        <v>11</v>
      </c>
      <c r="B120" s="435" t="s">
        <v>563</v>
      </c>
      <c r="C120" s="428"/>
      <c r="D120" s="428"/>
      <c r="E120" s="428"/>
      <c r="F120" s="428"/>
      <c r="G120" s="428"/>
      <c r="H120" s="428"/>
      <c r="I120" s="1125" t="s">
        <v>1346</v>
      </c>
      <c r="J120" s="430"/>
      <c r="K120" s="677">
        <f>K121+K122+K123+K124+K125+K126+K128+K129+K127</f>
        <v>5308249.99</v>
      </c>
      <c r="L120" s="677">
        <f>L121+L122+L123+L124+L125+L126+L128+L129+L127</f>
        <v>4060784.95</v>
      </c>
      <c r="M120" s="1126"/>
      <c r="N120" s="677">
        <f>N121+N122+N123+N124+N125+N126+N128+N129+N127</f>
        <v>3832669.2699999996</v>
      </c>
      <c r="O120" s="428"/>
      <c r="P120" s="1100">
        <f t="shared" si="1"/>
        <v>94.382473270346395</v>
      </c>
      <c r="Q120" s="1106" t="s">
        <v>1147</v>
      </c>
    </row>
    <row r="121" spans="1:17" s="366" customFormat="1" ht="46.8" x14ac:dyDescent="0.35">
      <c r="A121" s="425"/>
      <c r="B121" s="459" t="s">
        <v>618</v>
      </c>
      <c r="C121" s="387" t="s">
        <v>1137</v>
      </c>
      <c r="D121" s="428"/>
      <c r="E121" s="428"/>
      <c r="F121" s="428"/>
      <c r="G121" s="428"/>
      <c r="H121" s="428"/>
      <c r="I121" s="452" t="s">
        <v>1235</v>
      </c>
      <c r="J121" s="363" t="s">
        <v>586</v>
      </c>
      <c r="K121" s="1112">
        <v>515000</v>
      </c>
      <c r="L121" s="457">
        <f>515000-250000-100000-86000</f>
        <v>79000</v>
      </c>
      <c r="M121" s="568"/>
      <c r="N121" s="569">
        <f>30000-25141+5000-500+19092+1800+5000+17000</f>
        <v>52251</v>
      </c>
      <c r="O121" s="428"/>
      <c r="P121" s="1099">
        <f t="shared" si="1"/>
        <v>66.140506329113919</v>
      </c>
      <c r="Q121" s="1288" t="s">
        <v>151</v>
      </c>
    </row>
    <row r="122" spans="1:17" s="366" customFormat="1" ht="18" x14ac:dyDescent="0.35">
      <c r="A122" s="425"/>
      <c r="B122" s="459" t="s">
        <v>621</v>
      </c>
      <c r="C122" s="387" t="s">
        <v>1137</v>
      </c>
      <c r="D122" s="428"/>
      <c r="E122" s="428"/>
      <c r="F122" s="428"/>
      <c r="G122" s="428"/>
      <c r="H122" s="428"/>
      <c r="I122" s="452" t="s">
        <v>1236</v>
      </c>
      <c r="J122" s="363" t="s">
        <v>586</v>
      </c>
      <c r="K122" s="1112">
        <v>212500</v>
      </c>
      <c r="L122" s="464">
        <f>212500+250000-20531.04-100000</f>
        <v>341968.96</v>
      </c>
      <c r="M122" s="568"/>
      <c r="N122" s="569">
        <f>20531.04+316190</f>
        <v>336721.04</v>
      </c>
      <c r="O122" s="428"/>
      <c r="P122" s="1099">
        <f t="shared" si="1"/>
        <v>98.46538118547366</v>
      </c>
      <c r="Q122" s="1454"/>
    </row>
    <row r="123" spans="1:17" s="366" customFormat="1" ht="31.2" x14ac:dyDescent="0.35">
      <c r="A123" s="425"/>
      <c r="B123" s="459" t="s">
        <v>731</v>
      </c>
      <c r="C123" s="387" t="s">
        <v>1107</v>
      </c>
      <c r="D123" s="428"/>
      <c r="E123" s="428"/>
      <c r="F123" s="428"/>
      <c r="G123" s="428"/>
      <c r="H123" s="428"/>
      <c r="I123" s="452" t="s">
        <v>1274</v>
      </c>
      <c r="J123" s="363" t="s">
        <v>586</v>
      </c>
      <c r="K123" s="1112">
        <v>50000</v>
      </c>
      <c r="L123" s="457">
        <f>50000-50000</f>
        <v>0</v>
      </c>
      <c r="M123" s="568"/>
      <c r="N123" s="569"/>
      <c r="O123" s="428"/>
      <c r="P123" s="1100"/>
      <c r="Q123" s="1454"/>
    </row>
    <row r="124" spans="1:17" s="515" customFormat="1" ht="31.2" x14ac:dyDescent="0.35">
      <c r="A124" s="567"/>
      <c r="B124" s="423" t="s">
        <v>736</v>
      </c>
      <c r="C124" s="395" t="s">
        <v>1107</v>
      </c>
      <c r="D124" s="568"/>
      <c r="E124" s="568"/>
      <c r="F124" s="568"/>
      <c r="G124" s="568"/>
      <c r="H124" s="568"/>
      <c r="I124" s="477" t="s">
        <v>1275</v>
      </c>
      <c r="J124" s="371" t="s">
        <v>586</v>
      </c>
      <c r="K124" s="1116">
        <v>53000</v>
      </c>
      <c r="L124" s="457">
        <f>53000-53000</f>
        <v>0</v>
      </c>
      <c r="M124" s="568"/>
      <c r="N124" s="569"/>
      <c r="O124" s="570"/>
      <c r="P124" s="1099"/>
      <c r="Q124" s="1290"/>
    </row>
    <row r="125" spans="1:17" s="366" customFormat="1" ht="31.2" x14ac:dyDescent="0.35">
      <c r="A125" s="425"/>
      <c r="B125" s="459" t="s">
        <v>834</v>
      </c>
      <c r="C125" s="387" t="s">
        <v>1105</v>
      </c>
      <c r="D125" s="428"/>
      <c r="E125" s="428"/>
      <c r="F125" s="428"/>
      <c r="G125" s="428"/>
      <c r="H125" s="428"/>
      <c r="I125" s="452" t="s">
        <v>1308</v>
      </c>
      <c r="J125" s="363" t="s">
        <v>613</v>
      </c>
      <c r="K125" s="1112">
        <v>1650000</v>
      </c>
      <c r="L125" s="457">
        <f>1650000-600000+112440</f>
        <v>1162440</v>
      </c>
      <c r="M125" s="568"/>
      <c r="N125" s="569">
        <f>102182.2+139939+920317.56</f>
        <v>1162438.76</v>
      </c>
      <c r="O125" s="428"/>
      <c r="P125" s="1099">
        <f t="shared" si="1"/>
        <v>99.999893327827678</v>
      </c>
      <c r="Q125" s="1291" t="s">
        <v>968</v>
      </c>
    </row>
    <row r="126" spans="1:17" s="366" customFormat="1" ht="18" x14ac:dyDescent="0.35">
      <c r="A126" s="1481"/>
      <c r="B126" s="1293" t="s">
        <v>831</v>
      </c>
      <c r="C126" s="387" t="s">
        <v>1105</v>
      </c>
      <c r="D126" s="428"/>
      <c r="E126" s="428"/>
      <c r="F126" s="428"/>
      <c r="G126" s="428"/>
      <c r="H126" s="428"/>
      <c r="I126" s="1295" t="s">
        <v>1307</v>
      </c>
      <c r="J126" s="363" t="s">
        <v>613</v>
      </c>
      <c r="K126" s="1112">
        <v>300000</v>
      </c>
      <c r="L126" s="457">
        <f>300000-300000+115057</f>
        <v>115057</v>
      </c>
      <c r="M126" s="568"/>
      <c r="N126" s="569">
        <v>115057</v>
      </c>
      <c r="O126" s="428"/>
      <c r="P126" s="1099">
        <f t="shared" si="1"/>
        <v>100</v>
      </c>
      <c r="Q126" s="1292"/>
    </row>
    <row r="127" spans="1:17" s="366" customFormat="1" ht="18" x14ac:dyDescent="0.35">
      <c r="A127" s="1482"/>
      <c r="B127" s="1294"/>
      <c r="C127" s="387" t="s">
        <v>1142</v>
      </c>
      <c r="D127" s="428"/>
      <c r="E127" s="428"/>
      <c r="F127" s="428"/>
      <c r="G127" s="428"/>
      <c r="H127" s="428"/>
      <c r="I127" s="1296"/>
      <c r="J127" s="363" t="s">
        <v>613</v>
      </c>
      <c r="K127" s="1112"/>
      <c r="L127" s="372">
        <v>184569</v>
      </c>
      <c r="M127" s="568"/>
      <c r="N127" s="569">
        <v>184569</v>
      </c>
      <c r="O127" s="428"/>
      <c r="P127" s="1099">
        <f t="shared" si="1"/>
        <v>100</v>
      </c>
      <c r="Q127" s="1083"/>
    </row>
    <row r="128" spans="1:17" s="366" customFormat="1" ht="31.2" x14ac:dyDescent="0.35">
      <c r="A128" s="425"/>
      <c r="B128" s="459" t="s">
        <v>912</v>
      </c>
      <c r="C128" s="387" t="s">
        <v>1138</v>
      </c>
      <c r="D128" s="428"/>
      <c r="E128" s="428"/>
      <c r="F128" s="428"/>
      <c r="G128" s="428"/>
      <c r="H128" s="428"/>
      <c r="I128" s="452" t="s">
        <v>1421</v>
      </c>
      <c r="J128" s="363" t="s">
        <v>613</v>
      </c>
      <c r="K128" s="1112">
        <v>2497749.9900000002</v>
      </c>
      <c r="L128" s="650">
        <f>2497749.99-350000</f>
        <v>2147749.9900000002</v>
      </c>
      <c r="M128" s="568"/>
      <c r="N128" s="569">
        <f>156868.34+144625.25+188115.22+194249.18+207874.54+133937.95+184909.36+164178.67+150574.29+142095+132992.78+151283.89</f>
        <v>1951704.4699999997</v>
      </c>
      <c r="O128" s="428"/>
      <c r="P128" s="1099">
        <f t="shared" si="1"/>
        <v>90.872051173889162</v>
      </c>
      <c r="Q128" s="495" t="s">
        <v>1097</v>
      </c>
    </row>
    <row r="129" spans="1:17" s="366" customFormat="1" ht="46.8" x14ac:dyDescent="0.35">
      <c r="A129" s="425"/>
      <c r="B129" s="521" t="s">
        <v>1198</v>
      </c>
      <c r="C129" s="387" t="s">
        <v>1107</v>
      </c>
      <c r="D129" s="428"/>
      <c r="E129" s="428"/>
      <c r="F129" s="428"/>
      <c r="G129" s="428"/>
      <c r="H129" s="428"/>
      <c r="I129" s="484" t="s">
        <v>1276</v>
      </c>
      <c r="J129" s="389" t="s">
        <v>586</v>
      </c>
      <c r="K129" s="1113">
        <v>30000</v>
      </c>
      <c r="L129" s="740">
        <v>30000</v>
      </c>
      <c r="M129" s="568"/>
      <c r="N129" s="554">
        <f>22843+910+6175</f>
        <v>29928</v>
      </c>
      <c r="O129" s="428"/>
      <c r="P129" s="1099">
        <f t="shared" si="1"/>
        <v>99.76</v>
      </c>
      <c r="Q129" s="495"/>
    </row>
    <row r="130" spans="1:17" s="366" customFormat="1" ht="36" customHeight="1" x14ac:dyDescent="0.35">
      <c r="A130" s="425">
        <v>12</v>
      </c>
      <c r="B130" s="435" t="s">
        <v>558</v>
      </c>
      <c r="C130" s="428"/>
      <c r="D130" s="428"/>
      <c r="E130" s="428"/>
      <c r="F130" s="428"/>
      <c r="G130" s="428"/>
      <c r="H130" s="428"/>
      <c r="I130" s="1125" t="s">
        <v>1347</v>
      </c>
      <c r="J130" s="430"/>
      <c r="K130" s="677">
        <f>K131+K132+K133+K134+K135+K136+K137+K138+K139+K140+K141+K144+K145+K146+K147+K151+K155+K143+K142</f>
        <v>197100075.58000004</v>
      </c>
      <c r="L130" s="677">
        <f>L131+L132+L133+L134+L135+L136+L137+L138+L139+L140+L141+L144+L145+L146+L147+L151+L155+L143+L142</f>
        <v>201443618.51999998</v>
      </c>
      <c r="M130" s="1126"/>
      <c r="N130" s="677">
        <f>N131+N132+N133+N134+N135+N136+N137+N138+N139+N140+N141+N144+N145+N146+N147+N151+N155+N143+N142</f>
        <v>174468525.81000003</v>
      </c>
      <c r="O130" s="428"/>
      <c r="P130" s="1100">
        <f t="shared" si="1"/>
        <v>86.609110326658595</v>
      </c>
      <c r="Q130" s="1106" t="s">
        <v>1147</v>
      </c>
    </row>
    <row r="131" spans="1:17" s="366" customFormat="1" ht="18" hidden="1" x14ac:dyDescent="0.35">
      <c r="A131" s="425"/>
      <c r="B131" s="423" t="s">
        <v>1153</v>
      </c>
      <c r="C131" s="387" t="s">
        <v>1139</v>
      </c>
      <c r="D131" s="428"/>
      <c r="E131" s="428"/>
      <c r="F131" s="428"/>
      <c r="G131" s="428"/>
      <c r="H131" s="428"/>
      <c r="I131" s="452" t="s">
        <v>818</v>
      </c>
      <c r="J131" s="363" t="s">
        <v>586</v>
      </c>
      <c r="K131" s="1112"/>
      <c r="L131" s="457">
        <v>0</v>
      </c>
      <c r="M131" s="568"/>
      <c r="N131" s="569"/>
      <c r="O131" s="428"/>
      <c r="P131" s="1100" t="e">
        <f t="shared" si="1"/>
        <v>#DIV/0!</v>
      </c>
      <c r="Q131" s="1288" t="s">
        <v>151</v>
      </c>
    </row>
    <row r="132" spans="1:17" s="366" customFormat="1" ht="18" x14ac:dyDescent="0.35">
      <c r="A132" s="425"/>
      <c r="B132" s="459" t="s">
        <v>725</v>
      </c>
      <c r="C132" s="387" t="s">
        <v>1140</v>
      </c>
      <c r="D132" s="428"/>
      <c r="E132" s="428"/>
      <c r="F132" s="428"/>
      <c r="G132" s="428"/>
      <c r="H132" s="428"/>
      <c r="I132" s="452" t="s">
        <v>1272</v>
      </c>
      <c r="J132" s="363" t="s">
        <v>586</v>
      </c>
      <c r="K132" s="1112">
        <v>8000000</v>
      </c>
      <c r="L132" s="457">
        <f>8000000-3198629.6</f>
        <v>4801370.4000000004</v>
      </c>
      <c r="M132" s="568"/>
      <c r="N132" s="569"/>
      <c r="O132" s="428"/>
      <c r="P132" s="1099">
        <f t="shared" si="1"/>
        <v>0</v>
      </c>
      <c r="Q132" s="1454"/>
    </row>
    <row r="133" spans="1:17" s="366" customFormat="1" ht="31.2" x14ac:dyDescent="0.35">
      <c r="A133" s="425"/>
      <c r="B133" s="459" t="s">
        <v>1278</v>
      </c>
      <c r="C133" s="387" t="s">
        <v>1107</v>
      </c>
      <c r="D133" s="428"/>
      <c r="E133" s="428"/>
      <c r="F133" s="428"/>
      <c r="G133" s="428"/>
      <c r="H133" s="428"/>
      <c r="I133" s="452" t="s">
        <v>1277</v>
      </c>
      <c r="J133" s="363" t="s">
        <v>586</v>
      </c>
      <c r="K133" s="1112">
        <v>114734.39999999999</v>
      </c>
      <c r="L133" s="457">
        <f>114734.4+167128.87+82871.13</f>
        <v>364734.4</v>
      </c>
      <c r="M133" s="568"/>
      <c r="N133" s="569">
        <f>1100+10234+53656.71+9000+36200+22007.39+11200+77620.52+30036.56+54400+23725.6</f>
        <v>329180.77999999997</v>
      </c>
      <c r="O133" s="428"/>
      <c r="P133" s="1099">
        <f t="shared" si="1"/>
        <v>90.252188990125404</v>
      </c>
      <c r="Q133" s="1290"/>
    </row>
    <row r="134" spans="1:17" s="366" customFormat="1" ht="31.2" x14ac:dyDescent="0.35">
      <c r="A134" s="425"/>
      <c r="B134" s="459" t="s">
        <v>915</v>
      </c>
      <c r="C134" s="387" t="s">
        <v>1146</v>
      </c>
      <c r="D134" s="428"/>
      <c r="E134" s="428"/>
      <c r="F134" s="428"/>
      <c r="G134" s="428"/>
      <c r="H134" s="428"/>
      <c r="I134" s="452" t="s">
        <v>1331</v>
      </c>
      <c r="J134" s="363" t="s">
        <v>613</v>
      </c>
      <c r="K134" s="1112">
        <v>7636834.5599999996</v>
      </c>
      <c r="L134" s="464">
        <f>7636834.56-2600000-300000</f>
        <v>4736834.5599999996</v>
      </c>
      <c r="M134" s="568"/>
      <c r="N134" s="569">
        <f>363230.85+492151.88+489303.4+384974.99+579918.09+351555.26+109310.48+95389.44+243833.74+435192.45+394627.3+634738.13</f>
        <v>4574226.01</v>
      </c>
      <c r="O134" s="428"/>
      <c r="P134" s="1099">
        <f t="shared" si="1"/>
        <v>96.567147365180517</v>
      </c>
      <c r="Q134" s="1071" t="s">
        <v>1097</v>
      </c>
    </row>
    <row r="135" spans="1:17" s="366" customFormat="1" ht="18" x14ac:dyDescent="0.35">
      <c r="A135" s="425"/>
      <c r="B135" s="459" t="s">
        <v>817</v>
      </c>
      <c r="C135" s="387" t="s">
        <v>1142</v>
      </c>
      <c r="D135" s="428"/>
      <c r="E135" s="428"/>
      <c r="F135" s="428"/>
      <c r="G135" s="428"/>
      <c r="H135" s="428"/>
      <c r="I135" s="452" t="s">
        <v>1304</v>
      </c>
      <c r="J135" s="363" t="s">
        <v>613</v>
      </c>
      <c r="K135" s="1112">
        <v>1200000</v>
      </c>
      <c r="L135" s="464">
        <f>3282185.35+8200000+626310-670513.03-15.76</f>
        <v>11437966.560000001</v>
      </c>
      <c r="M135" s="568"/>
      <c r="N135" s="569">
        <f>585817.49+80129.95+50000+99000+28788+34320+428496.66+658353.26+38351.62+111484+141153.77+91081+99795.6+151087.13+11835.7+15687.03+12584.28</f>
        <v>2637965.4899999998</v>
      </c>
      <c r="O135" s="428"/>
      <c r="P135" s="1099">
        <f t="shared" si="1"/>
        <v>23.063238348897567</v>
      </c>
      <c r="Q135" s="1288" t="s">
        <v>968</v>
      </c>
    </row>
    <row r="136" spans="1:17" s="366" customFormat="1" ht="31.2" x14ac:dyDescent="0.35">
      <c r="A136" s="425"/>
      <c r="B136" s="459" t="s">
        <v>814</v>
      </c>
      <c r="C136" s="387" t="s">
        <v>1142</v>
      </c>
      <c r="D136" s="428"/>
      <c r="E136" s="428"/>
      <c r="F136" s="428"/>
      <c r="G136" s="428"/>
      <c r="H136" s="428"/>
      <c r="I136" s="452" t="s">
        <v>1303</v>
      </c>
      <c r="J136" s="363" t="s">
        <v>613</v>
      </c>
      <c r="K136" s="1112">
        <v>34085991.490000002</v>
      </c>
      <c r="L136" s="464">
        <f>34085991.49+3149000+14433000+1500000-1500000+68250+28437.5</f>
        <v>51764678.990000002</v>
      </c>
      <c r="M136" s="568"/>
      <c r="N136" s="569">
        <f>2356160.12+452255.67+3660357.99+873532.27+21680+65980+4123273.33+883777.74+3586455.13+32990+710340.32+10840+3262742.11+26482.5+604256.74+10840+3477644.88+3290226.26+2350102.51+28482.5+577377.86+10840+2481480.7+26482.5+408573.45+10840+2437722.35+26482.5+699917.16+19279.5+1810378.39+26482.5+316284.09+16527.5+6289830.11+52965+1676419.2+33055</f>
        <v>46749357.879999995</v>
      </c>
      <c r="O136" s="428"/>
      <c r="P136" s="1099">
        <f t="shared" si="1"/>
        <v>90.311306458659047</v>
      </c>
      <c r="Q136" s="1454"/>
    </row>
    <row r="137" spans="1:17" s="366" customFormat="1" ht="31.2" x14ac:dyDescent="0.35">
      <c r="A137" s="425"/>
      <c r="B137" s="459" t="s">
        <v>837</v>
      </c>
      <c r="C137" s="387" t="s">
        <v>1105</v>
      </c>
      <c r="D137" s="428"/>
      <c r="E137" s="428"/>
      <c r="F137" s="428"/>
      <c r="G137" s="428"/>
      <c r="H137" s="428"/>
      <c r="I137" s="452" t="s">
        <v>1309</v>
      </c>
      <c r="J137" s="363" t="s">
        <v>613</v>
      </c>
      <c r="K137" s="1112">
        <v>95155748.659999996</v>
      </c>
      <c r="L137" s="464">
        <f>95155748.66+5078000-14769460.99-500000+500000-1606687.5-710000-852189.69-11000</f>
        <v>82284410.480000004</v>
      </c>
      <c r="M137" s="568"/>
      <c r="N137" s="569">
        <f>4290134.18+215001.81+6724002.5+346703.2+245656.77+23755+8882268.11+288534.14+6866405.26+180487+233607.5+11877.5+5549070.62+172487+196307.64+11877.5+4720390.26+4403226.67+3892303.24+168487+137633.55+11877.5+3392806.53+166487+244046.56+11877.5+5270188.11+166487+189872.89+11877.5+4411825.94+211081.5+37685.07+15507742+585549.5-2113230.6-106897.5</f>
        <v>75559492.950000003</v>
      </c>
      <c r="O137" s="428"/>
      <c r="P137" s="1099">
        <f t="shared" si="1"/>
        <v>91.827227671960344</v>
      </c>
      <c r="Q137" s="1454"/>
    </row>
    <row r="138" spans="1:17" s="366" customFormat="1" ht="31.2" x14ac:dyDescent="0.35">
      <c r="A138" s="425"/>
      <c r="B138" s="459" t="s">
        <v>840</v>
      </c>
      <c r="C138" s="387" t="s">
        <v>1105</v>
      </c>
      <c r="D138" s="428"/>
      <c r="E138" s="428"/>
      <c r="F138" s="428"/>
      <c r="G138" s="428"/>
      <c r="H138" s="428"/>
      <c r="I138" s="452" t="s">
        <v>1310</v>
      </c>
      <c r="J138" s="363" t="s">
        <v>613</v>
      </c>
      <c r="K138" s="1112">
        <v>6355514.5199999996</v>
      </c>
      <c r="L138" s="464">
        <f>6355514.52+25000-1001029.83+710000+11000</f>
        <v>6100484.6899999995</v>
      </c>
      <c r="M138" s="568"/>
      <c r="N138" s="569">
        <f>588256.75+563774.2+525742.9+562037.94+1160756.67+98257.09+266848.78+67029.97+514141.86+580024.92+1170052.62</f>
        <v>6096923.7000000002</v>
      </c>
      <c r="O138" s="428"/>
      <c r="P138" s="1099">
        <f t="shared" si="1"/>
        <v>99.941627752859759</v>
      </c>
      <c r="Q138" s="1454"/>
    </row>
    <row r="139" spans="1:17" s="366" customFormat="1" ht="18" x14ac:dyDescent="0.35">
      <c r="A139" s="425"/>
      <c r="B139" s="459" t="s">
        <v>725</v>
      </c>
      <c r="C139" s="387" t="s">
        <v>1105</v>
      </c>
      <c r="D139" s="428"/>
      <c r="E139" s="428"/>
      <c r="F139" s="428"/>
      <c r="G139" s="428"/>
      <c r="H139" s="428"/>
      <c r="I139" s="452" t="s">
        <v>1272</v>
      </c>
      <c r="J139" s="363" t="s">
        <v>613</v>
      </c>
      <c r="K139" s="1112">
        <v>17174500</v>
      </c>
      <c r="L139" s="457">
        <f>17174500+1467814.65-500000-1500000-5499600+1200000+387560</f>
        <v>12730274.649999999</v>
      </c>
      <c r="M139" s="568"/>
      <c r="N139" s="569">
        <f>2307366.72+54716.15+53834+411162.21+250477+1245413.01+1771690.14+1798610.19+2057112.68-77022.02+830235.6+1561908.4-54716.15</f>
        <v>12210787.93</v>
      </c>
      <c r="O139" s="428"/>
      <c r="P139" s="1099">
        <f t="shared" si="1"/>
        <v>95.9192811287854</v>
      </c>
      <c r="Q139" s="1454"/>
    </row>
    <row r="140" spans="1:17" s="366" customFormat="1" ht="15.6" x14ac:dyDescent="0.3">
      <c r="A140" s="388"/>
      <c r="B140" s="459" t="s">
        <v>844</v>
      </c>
      <c r="C140" s="387" t="s">
        <v>1105</v>
      </c>
      <c r="D140" s="365"/>
      <c r="E140" s="365"/>
      <c r="F140" s="365"/>
      <c r="G140" s="365"/>
      <c r="H140" s="365"/>
      <c r="I140" s="452" t="s">
        <v>1311</v>
      </c>
      <c r="J140" s="363" t="s">
        <v>613</v>
      </c>
      <c r="K140" s="1112">
        <v>483000</v>
      </c>
      <c r="L140" s="457">
        <f>483000-15016</f>
        <v>467984</v>
      </c>
      <c r="M140" s="476"/>
      <c r="N140" s="569">
        <f>36608.7+1260.6+102660.8+14382.7+95000</f>
        <v>249912.80000000002</v>
      </c>
      <c r="O140" s="365"/>
      <c r="P140" s="1099">
        <f t="shared" si="1"/>
        <v>53.401996649458106</v>
      </c>
      <c r="Q140" s="1454"/>
    </row>
    <row r="141" spans="1:17" s="366" customFormat="1" ht="46.8" x14ac:dyDescent="0.3">
      <c r="A141" s="388"/>
      <c r="B141" s="459" t="s">
        <v>847</v>
      </c>
      <c r="C141" s="387" t="s">
        <v>1105</v>
      </c>
      <c r="D141" s="365"/>
      <c r="E141" s="365"/>
      <c r="F141" s="365"/>
      <c r="G141" s="365"/>
      <c r="H141" s="365"/>
      <c r="I141" s="452" t="s">
        <v>1312</v>
      </c>
      <c r="J141" s="363" t="s">
        <v>613</v>
      </c>
      <c r="K141" s="1112">
        <v>50000</v>
      </c>
      <c r="L141" s="457">
        <f>50000-670</f>
        <v>49330</v>
      </c>
      <c r="M141" s="476"/>
      <c r="N141" s="569">
        <v>49330</v>
      </c>
      <c r="O141" s="365"/>
      <c r="P141" s="1099">
        <f t="shared" si="1"/>
        <v>100</v>
      </c>
      <c r="Q141" s="1454"/>
    </row>
    <row r="142" spans="1:17" s="366" customFormat="1" ht="15.6" x14ac:dyDescent="0.3">
      <c r="A142" s="1443"/>
      <c r="B142" s="1297" t="s">
        <v>864</v>
      </c>
      <c r="C142" s="1303" t="s">
        <v>1143</v>
      </c>
      <c r="D142" s="365"/>
      <c r="E142" s="365"/>
      <c r="F142" s="365"/>
      <c r="G142" s="365"/>
      <c r="H142" s="365"/>
      <c r="I142" s="1355" t="s">
        <v>1317</v>
      </c>
      <c r="J142" s="363" t="s">
        <v>586</v>
      </c>
      <c r="K142" s="1112"/>
      <c r="L142" s="457">
        <f>100000+5000</f>
        <v>105000</v>
      </c>
      <c r="M142" s="476"/>
      <c r="N142" s="569">
        <f>24500+7000+73500</f>
        <v>105000</v>
      </c>
      <c r="O142" s="365"/>
      <c r="P142" s="1099">
        <f t="shared" si="1"/>
        <v>100</v>
      </c>
      <c r="Q142" s="1454"/>
    </row>
    <row r="143" spans="1:17" s="366" customFormat="1" ht="15.6" x14ac:dyDescent="0.3">
      <c r="A143" s="1444"/>
      <c r="B143" s="1445"/>
      <c r="C143" s="1446"/>
      <c r="D143" s="365"/>
      <c r="E143" s="365"/>
      <c r="F143" s="365"/>
      <c r="G143" s="365"/>
      <c r="H143" s="365"/>
      <c r="I143" s="1447"/>
      <c r="J143" s="363" t="s">
        <v>764</v>
      </c>
      <c r="K143" s="1112"/>
      <c r="L143" s="457"/>
      <c r="M143" s="476"/>
      <c r="N143" s="569"/>
      <c r="O143" s="365"/>
      <c r="P143" s="1099"/>
      <c r="Q143" s="1317"/>
    </row>
    <row r="144" spans="1:17" s="366" customFormat="1" ht="15.6" x14ac:dyDescent="0.3">
      <c r="A144" s="1308"/>
      <c r="B144" s="1299"/>
      <c r="C144" s="1304"/>
      <c r="D144" s="365"/>
      <c r="E144" s="365"/>
      <c r="F144" s="365"/>
      <c r="G144" s="365"/>
      <c r="H144" s="365"/>
      <c r="I144" s="1356"/>
      <c r="J144" s="363" t="s">
        <v>613</v>
      </c>
      <c r="K144" s="1112">
        <v>1900000</v>
      </c>
      <c r="L144" s="457">
        <f>1900000+500000-5000-587.87</f>
        <v>2394412.13</v>
      </c>
      <c r="M144" s="476"/>
      <c r="N144" s="569">
        <f>405934.4+14760+30982.8+707149.6+842145.33+186638+106832+99970</f>
        <v>2394412.13</v>
      </c>
      <c r="O144" s="365"/>
      <c r="P144" s="1099">
        <f t="shared" si="1"/>
        <v>100</v>
      </c>
      <c r="Q144" s="1317"/>
    </row>
    <row r="145" spans="1:17" s="366" customFormat="1" ht="31.2" x14ac:dyDescent="0.3">
      <c r="A145" s="388"/>
      <c r="B145" s="459" t="s">
        <v>867</v>
      </c>
      <c r="C145" s="387" t="s">
        <v>1143</v>
      </c>
      <c r="D145" s="365"/>
      <c r="E145" s="365"/>
      <c r="F145" s="365"/>
      <c r="G145" s="365"/>
      <c r="H145" s="365"/>
      <c r="I145" s="452" t="s">
        <v>1318</v>
      </c>
      <c r="J145" s="363" t="s">
        <v>613</v>
      </c>
      <c r="K145" s="1112">
        <v>100000</v>
      </c>
      <c r="L145" s="457">
        <f>100000-100000</f>
        <v>0</v>
      </c>
      <c r="M145" s="476"/>
      <c r="N145" s="569"/>
      <c r="O145" s="365"/>
      <c r="P145" s="1099"/>
      <c r="Q145" s="1317"/>
    </row>
    <row r="146" spans="1:17" s="366" customFormat="1" ht="15.6" hidden="1" x14ac:dyDescent="0.3">
      <c r="A146" s="388"/>
      <c r="B146" s="459" t="s">
        <v>870</v>
      </c>
      <c r="C146" s="1085" t="s">
        <v>1143</v>
      </c>
      <c r="D146" s="482"/>
      <c r="E146" s="482"/>
      <c r="F146" s="482"/>
      <c r="G146" s="482"/>
      <c r="H146" s="482"/>
      <c r="I146" s="480" t="s">
        <v>871</v>
      </c>
      <c r="J146" s="363" t="s">
        <v>613</v>
      </c>
      <c r="K146" s="1112"/>
      <c r="L146" s="457">
        <v>0</v>
      </c>
      <c r="M146" s="476"/>
      <c r="N146" s="569"/>
      <c r="O146" s="365"/>
      <c r="P146" s="1099" t="e">
        <f t="shared" si="1"/>
        <v>#DIV/0!</v>
      </c>
      <c r="Q146" s="1317"/>
    </row>
    <row r="147" spans="1:17" s="366" customFormat="1" ht="15.6" x14ac:dyDescent="0.3">
      <c r="A147" s="1443"/>
      <c r="B147" s="1297" t="s">
        <v>877</v>
      </c>
      <c r="C147" s="387" t="s">
        <v>1144</v>
      </c>
      <c r="D147" s="388"/>
      <c r="E147" s="388"/>
      <c r="F147" s="388"/>
      <c r="G147" s="388"/>
      <c r="H147" s="388"/>
      <c r="I147" s="389" t="s">
        <v>1320</v>
      </c>
      <c r="J147" s="363"/>
      <c r="K147" s="457">
        <f>K148+K149+K150</f>
        <v>5523184.1100000003</v>
      </c>
      <c r="L147" s="457">
        <f>L148+L149+L150</f>
        <v>5523184.1100000003</v>
      </c>
      <c r="M147" s="476"/>
      <c r="N147" s="457">
        <f>N148+N149+N150</f>
        <v>5309169.09</v>
      </c>
      <c r="O147" s="365"/>
      <c r="P147" s="1099">
        <f t="shared" si="1"/>
        <v>96.125151439139685</v>
      </c>
      <c r="Q147" s="1317"/>
    </row>
    <row r="148" spans="1:17" s="366" customFormat="1" ht="15.6" x14ac:dyDescent="0.3">
      <c r="A148" s="1444"/>
      <c r="B148" s="1445"/>
      <c r="C148" s="1448"/>
      <c r="D148" s="386"/>
      <c r="E148" s="386"/>
      <c r="F148" s="386"/>
      <c r="G148" s="386"/>
      <c r="H148" s="386"/>
      <c r="I148" s="1451"/>
      <c r="J148" s="363" t="s">
        <v>162</v>
      </c>
      <c r="K148" s="1112">
        <v>5429984.1100000003</v>
      </c>
      <c r="L148" s="464">
        <f>5429984.11-23000+10000</f>
        <v>5416984.1100000003</v>
      </c>
      <c r="M148" s="476"/>
      <c r="N148" s="569">
        <f>267903.28+3600+367432.83+1840+187591.01+312722.84+1715+86278.38+380556.18+112813.98+282694.46+9938.7+47519.41+707646.03+634171.59+228372.57+2300+67107.36+225315.45+400+85950.76+261516.03+5476+71393.87+63000+6795+86757.67+590924.38+3241.7+99994.61</f>
        <v>5202969.09</v>
      </c>
      <c r="O148" s="365"/>
      <c r="P148" s="1099">
        <f t="shared" si="1"/>
        <v>96.04918501413141</v>
      </c>
      <c r="Q148" s="1317"/>
    </row>
    <row r="149" spans="1:17" s="366" customFormat="1" ht="15.6" x14ac:dyDescent="0.3">
      <c r="A149" s="1444"/>
      <c r="B149" s="1445"/>
      <c r="C149" s="1449"/>
      <c r="D149" s="362"/>
      <c r="E149" s="362"/>
      <c r="F149" s="362"/>
      <c r="G149" s="362"/>
      <c r="H149" s="362"/>
      <c r="I149" s="1452"/>
      <c r="J149" s="363" t="s">
        <v>586</v>
      </c>
      <c r="K149" s="1112">
        <v>93200</v>
      </c>
      <c r="L149" s="464">
        <f>93200-33+23000-10000</f>
        <v>106167</v>
      </c>
      <c r="M149" s="476"/>
      <c r="N149" s="569">
        <f>6475.39+5003.42+5126.63+4386.41+5102.65+3520.62+7114.51+9668.7+4060.91+32494.25+23213.51</f>
        <v>106167</v>
      </c>
      <c r="O149" s="365"/>
      <c r="P149" s="1099">
        <f t="shared" si="1"/>
        <v>100</v>
      </c>
      <c r="Q149" s="1454"/>
    </row>
    <row r="150" spans="1:17" s="366" customFormat="1" ht="15.6" x14ac:dyDescent="0.3">
      <c r="A150" s="1308"/>
      <c r="B150" s="1299"/>
      <c r="C150" s="1450"/>
      <c r="D150" s="851"/>
      <c r="E150" s="851"/>
      <c r="F150" s="851"/>
      <c r="G150" s="851"/>
      <c r="H150" s="851"/>
      <c r="I150" s="1453"/>
      <c r="J150" s="363" t="s">
        <v>528</v>
      </c>
      <c r="K150" s="1112">
        <v>0</v>
      </c>
      <c r="L150" s="457">
        <v>33</v>
      </c>
      <c r="M150" s="476"/>
      <c r="N150" s="569">
        <v>33</v>
      </c>
      <c r="O150" s="365"/>
      <c r="P150" s="1099">
        <f t="shared" si="1"/>
        <v>100</v>
      </c>
      <c r="Q150" s="1317"/>
    </row>
    <row r="151" spans="1:17" s="366" customFormat="1" ht="15.6" x14ac:dyDescent="0.3">
      <c r="A151" s="1443"/>
      <c r="B151" s="1297" t="s">
        <v>882</v>
      </c>
      <c r="C151" s="387" t="s">
        <v>1144</v>
      </c>
      <c r="D151" s="388"/>
      <c r="E151" s="388"/>
      <c r="F151" s="388"/>
      <c r="G151" s="388"/>
      <c r="H151" s="388"/>
      <c r="I151" s="389" t="s">
        <v>1321</v>
      </c>
      <c r="J151" s="363"/>
      <c r="K151" s="457">
        <f>K152+K153+K154</f>
        <v>16641770.050000001</v>
      </c>
      <c r="L151" s="457">
        <f>L152+L153+L154</f>
        <v>16187799.880000001</v>
      </c>
      <c r="M151" s="476"/>
      <c r="N151" s="457">
        <f>N152+N153+N154</f>
        <v>15819339.900000002</v>
      </c>
      <c r="O151" s="365"/>
      <c r="P151" s="1099">
        <f t="shared" ref="P151:P215" si="2">N151/L151*100</f>
        <v>97.723841518109992</v>
      </c>
      <c r="Q151" s="1317"/>
    </row>
    <row r="152" spans="1:17" s="366" customFormat="1" ht="15.6" x14ac:dyDescent="0.3">
      <c r="A152" s="1444"/>
      <c r="B152" s="1445"/>
      <c r="C152" s="1448"/>
      <c r="D152" s="386"/>
      <c r="E152" s="386"/>
      <c r="F152" s="386"/>
      <c r="G152" s="386"/>
      <c r="H152" s="386"/>
      <c r="I152" s="1451"/>
      <c r="J152" s="363" t="s">
        <v>162</v>
      </c>
      <c r="K152" s="1112">
        <v>12358242.65</v>
      </c>
      <c r="L152" s="464">
        <f>12358242.65+1001029.83-60000+100000</f>
        <v>13399272.48</v>
      </c>
      <c r="M152" s="476"/>
      <c r="N152" s="569">
        <f>641319.57+6605.75+854663.7+4600+442773.64+706630.5+212830.71+2982353.46+4600+889773.06-2202613.77-4600-662210.1+724964.69+17598.8+225547.34+2721952.83+1111184.22+704464.36+5200+204907.84-281467.91+675096.08+3200+216358.36+677991.38+8600-68403.1+281467.91+225000+3675+1453542.97+4600+493154.55</f>
        <v>13285361.840000002</v>
      </c>
      <c r="O152" s="365"/>
      <c r="P152" s="1099">
        <f t="shared" si="2"/>
        <v>99.149874441541328</v>
      </c>
      <c r="Q152" s="1454"/>
    </row>
    <row r="153" spans="1:17" s="366" customFormat="1" ht="15.6" x14ac:dyDescent="0.3">
      <c r="A153" s="1444"/>
      <c r="B153" s="1445"/>
      <c r="C153" s="1449"/>
      <c r="D153" s="362"/>
      <c r="E153" s="362"/>
      <c r="F153" s="362"/>
      <c r="G153" s="362"/>
      <c r="H153" s="362"/>
      <c r="I153" s="1452"/>
      <c r="J153" s="363" t="s">
        <v>586</v>
      </c>
      <c r="K153" s="1112">
        <v>4275140.4000000004</v>
      </c>
      <c r="L153" s="464">
        <f>4275140.4-10000+45000-1500000+60000-95540</f>
        <v>2774600.4000000004</v>
      </c>
      <c r="M153" s="476"/>
      <c r="N153" s="569">
        <f>37923.85+226540.51+208735.04+279803.86+241274.93+318025.26+61612.79+198576.02+154696.56+153937.04+181820.16+457105.04</f>
        <v>2520051.06</v>
      </c>
      <c r="O153" s="365"/>
      <c r="P153" s="1099">
        <f t="shared" si="2"/>
        <v>90.825729715889892</v>
      </c>
      <c r="Q153" s="1454"/>
    </row>
    <row r="154" spans="1:17" s="366" customFormat="1" ht="15.6" x14ac:dyDescent="0.3">
      <c r="A154" s="1308"/>
      <c r="B154" s="1299"/>
      <c r="C154" s="1339"/>
      <c r="D154" s="362"/>
      <c r="E154" s="362"/>
      <c r="F154" s="362"/>
      <c r="G154" s="362"/>
      <c r="H154" s="362"/>
      <c r="I154" s="1342"/>
      <c r="J154" s="363" t="s">
        <v>528</v>
      </c>
      <c r="K154" s="1112">
        <v>8387</v>
      </c>
      <c r="L154" s="464">
        <f>8387+10000-4460</f>
        <v>13927</v>
      </c>
      <c r="M154" s="476"/>
      <c r="N154" s="569">
        <f>2652+45+38+1852+4800+2688+1852</f>
        <v>13927</v>
      </c>
      <c r="O154" s="365"/>
      <c r="P154" s="1099">
        <f t="shared" si="2"/>
        <v>100</v>
      </c>
      <c r="Q154" s="1317"/>
    </row>
    <row r="155" spans="1:17" s="366" customFormat="1" ht="31.2" x14ac:dyDescent="0.3">
      <c r="A155" s="388"/>
      <c r="B155" s="459" t="s">
        <v>887</v>
      </c>
      <c r="C155" s="1068" t="s">
        <v>1144</v>
      </c>
      <c r="D155" s="489"/>
      <c r="E155" s="489"/>
      <c r="F155" s="489"/>
      <c r="G155" s="489"/>
      <c r="H155" s="489"/>
      <c r="I155" s="490" t="s">
        <v>1322</v>
      </c>
      <c r="J155" s="363" t="s">
        <v>613</v>
      </c>
      <c r="K155" s="1112">
        <v>2678797.79</v>
      </c>
      <c r="L155" s="464">
        <f>2678797.79-293644.12+110000</f>
        <v>2495153.67</v>
      </c>
      <c r="M155" s="476"/>
      <c r="N155" s="569">
        <f>170122.74+204050.19+272354.51+235420.64+293941.25+143350.46+203116.69+145172.06+119910.99+160916.64+98359.09+336711.89</f>
        <v>2383427.15</v>
      </c>
      <c r="O155" s="365"/>
      <c r="P155" s="1099">
        <f t="shared" si="2"/>
        <v>95.522258955697907</v>
      </c>
      <c r="Q155" s="1290"/>
    </row>
    <row r="156" spans="1:17" s="366" customFormat="1" ht="36" x14ac:dyDescent="0.35">
      <c r="A156" s="1090">
        <v>13</v>
      </c>
      <c r="B156" s="447" t="s">
        <v>564</v>
      </c>
      <c r="C156" s="448"/>
      <c r="D156" s="448"/>
      <c r="E156" s="448"/>
      <c r="F156" s="448"/>
      <c r="G156" s="448"/>
      <c r="H156" s="448"/>
      <c r="I156" s="1125" t="s">
        <v>1348</v>
      </c>
      <c r="J156" s="430"/>
      <c r="K156" s="940">
        <f>K157+K159+K162+K163+K164+K165+K166+K169+K172+K173+K174</f>
        <v>9767934.9199999999</v>
      </c>
      <c r="L156" s="940">
        <f>L157+L159+L161+L162+L163+L164+L165+L166+L167+L168+L172+L173+L174+L158+L160+L169+L170+L171</f>
        <v>13884728.25</v>
      </c>
      <c r="M156" s="1127"/>
      <c r="N156" s="940">
        <f>N157+N159+N161+N162+N163+N164+N165+N166+N167+N168+N172+N173+N174+N158+N160+N169+N170+N171</f>
        <v>12119307.149999999</v>
      </c>
      <c r="O156" s="448"/>
      <c r="P156" s="1100">
        <f t="shared" si="2"/>
        <v>87.285159145984721</v>
      </c>
      <c r="Q156" s="1106" t="s">
        <v>1083</v>
      </c>
    </row>
    <row r="157" spans="1:17" s="366" customFormat="1" ht="15.6" x14ac:dyDescent="0.3">
      <c r="A157" s="388"/>
      <c r="B157" s="459" t="s">
        <v>654</v>
      </c>
      <c r="C157" s="387" t="s">
        <v>1148</v>
      </c>
      <c r="D157" s="365"/>
      <c r="E157" s="365"/>
      <c r="F157" s="365"/>
      <c r="G157" s="365"/>
      <c r="H157" s="365"/>
      <c r="I157" s="452" t="s">
        <v>1251</v>
      </c>
      <c r="J157" s="363" t="s">
        <v>586</v>
      </c>
      <c r="K157" s="1112">
        <v>300000</v>
      </c>
      <c r="L157" s="464">
        <f>300000+1938000+163183.98</f>
        <v>2401183.98</v>
      </c>
      <c r="M157" s="476"/>
      <c r="N157" s="445">
        <v>2025000</v>
      </c>
      <c r="O157" s="365"/>
      <c r="P157" s="1099">
        <f t="shared" si="2"/>
        <v>84.333396227306167</v>
      </c>
      <c r="Q157" s="1280" t="s">
        <v>151</v>
      </c>
    </row>
    <row r="158" spans="1:17" s="366" customFormat="1" ht="15.6" x14ac:dyDescent="0.3">
      <c r="A158" s="388"/>
      <c r="B158" s="459" t="s">
        <v>1357</v>
      </c>
      <c r="C158" s="387" t="s">
        <v>1148</v>
      </c>
      <c r="D158" s="365"/>
      <c r="E158" s="365"/>
      <c r="F158" s="365"/>
      <c r="G158" s="365"/>
      <c r="H158" s="365"/>
      <c r="I158" s="452" t="s">
        <v>1356</v>
      </c>
      <c r="J158" s="363" t="s">
        <v>586</v>
      </c>
      <c r="K158" s="1112"/>
      <c r="L158" s="464">
        <f>5400000-800000-2766734.35-70598.98</f>
        <v>1762666.67</v>
      </c>
      <c r="M158" s="476"/>
      <c r="N158" s="445">
        <v>1762666.67</v>
      </c>
      <c r="O158" s="365"/>
      <c r="P158" s="1099">
        <f t="shared" si="2"/>
        <v>100</v>
      </c>
      <c r="Q158" s="1281"/>
    </row>
    <row r="159" spans="1:17" s="366" customFormat="1" ht="31.2" x14ac:dyDescent="0.3">
      <c r="A159" s="388"/>
      <c r="B159" s="459" t="s">
        <v>657</v>
      </c>
      <c r="C159" s="387" t="s">
        <v>1148</v>
      </c>
      <c r="D159" s="365"/>
      <c r="E159" s="365"/>
      <c r="F159" s="365"/>
      <c r="G159" s="365"/>
      <c r="H159" s="365"/>
      <c r="I159" s="452" t="s">
        <v>1252</v>
      </c>
      <c r="J159" s="363" t="s">
        <v>586</v>
      </c>
      <c r="K159" s="1112">
        <v>59000</v>
      </c>
      <c r="L159" s="464">
        <f>59000+351000-133505</f>
        <v>276495</v>
      </c>
      <c r="M159" s="476"/>
      <c r="N159" s="445">
        <f>82948.5+193546.5</f>
        <v>276495</v>
      </c>
      <c r="O159" s="365"/>
      <c r="P159" s="1099">
        <f t="shared" si="2"/>
        <v>100</v>
      </c>
      <c r="Q159" s="1281"/>
    </row>
    <row r="160" spans="1:17" s="366" customFormat="1" ht="31.2" x14ac:dyDescent="0.3">
      <c r="A160" s="388"/>
      <c r="B160" s="181" t="s">
        <v>660</v>
      </c>
      <c r="C160" s="387" t="s">
        <v>1148</v>
      </c>
      <c r="D160" s="365"/>
      <c r="E160" s="365"/>
      <c r="F160" s="365"/>
      <c r="G160" s="365"/>
      <c r="H160" s="365"/>
      <c r="I160" s="452" t="s">
        <v>1358</v>
      </c>
      <c r="J160" s="363" t="s">
        <v>586</v>
      </c>
      <c r="K160" s="1112"/>
      <c r="L160" s="464">
        <f>50000+51000-9080</f>
        <v>91920</v>
      </c>
      <c r="M160" s="476"/>
      <c r="N160" s="445">
        <f>47090+17400+27430</f>
        <v>91920</v>
      </c>
      <c r="O160" s="365"/>
      <c r="P160" s="1099">
        <f t="shared" si="2"/>
        <v>100</v>
      </c>
      <c r="Q160" s="1281"/>
    </row>
    <row r="161" spans="1:17" s="366" customFormat="1" ht="31.2" hidden="1" x14ac:dyDescent="0.3">
      <c r="A161" s="388"/>
      <c r="B161" s="459" t="s">
        <v>660</v>
      </c>
      <c r="C161" s="387" t="s">
        <v>1148</v>
      </c>
      <c r="D161" s="365"/>
      <c r="E161" s="365"/>
      <c r="F161" s="365"/>
      <c r="G161" s="365"/>
      <c r="H161" s="365"/>
      <c r="I161" s="452" t="s">
        <v>661</v>
      </c>
      <c r="J161" s="363" t="s">
        <v>586</v>
      </c>
      <c r="K161" s="1112"/>
      <c r="L161" s="457"/>
      <c r="M161" s="476"/>
      <c r="N161" s="445"/>
      <c r="O161" s="365"/>
      <c r="P161" s="1099" t="e">
        <f t="shared" si="2"/>
        <v>#DIV/0!</v>
      </c>
      <c r="Q161" s="1281"/>
    </row>
    <row r="162" spans="1:17" s="366" customFormat="1" ht="15.6" x14ac:dyDescent="0.3">
      <c r="A162" s="388"/>
      <c r="B162" s="459" t="s">
        <v>663</v>
      </c>
      <c r="C162" s="387" t="s">
        <v>1148</v>
      </c>
      <c r="D162" s="365"/>
      <c r="E162" s="365"/>
      <c r="F162" s="365"/>
      <c r="G162" s="365"/>
      <c r="H162" s="365"/>
      <c r="I162" s="452" t="s">
        <v>1253</v>
      </c>
      <c r="J162" s="363" t="s">
        <v>586</v>
      </c>
      <c r="K162" s="1112">
        <v>360000</v>
      </c>
      <c r="L162" s="457">
        <f>360000+206000-5000</f>
        <v>561000</v>
      </c>
      <c r="M162" s="476"/>
      <c r="N162" s="445">
        <f>171000+390000</f>
        <v>561000</v>
      </c>
      <c r="O162" s="365"/>
      <c r="P162" s="1099">
        <f t="shared" si="2"/>
        <v>100</v>
      </c>
      <c r="Q162" s="1281"/>
    </row>
    <row r="163" spans="1:17" s="366" customFormat="1" ht="31.2" x14ac:dyDescent="0.3">
      <c r="A163" s="388"/>
      <c r="B163" s="459" t="s">
        <v>666</v>
      </c>
      <c r="C163" s="387" t="s">
        <v>1148</v>
      </c>
      <c r="D163" s="365"/>
      <c r="E163" s="365"/>
      <c r="F163" s="365"/>
      <c r="G163" s="365"/>
      <c r="H163" s="365"/>
      <c r="I163" s="452" t="s">
        <v>1254</v>
      </c>
      <c r="J163" s="363" t="s">
        <v>528</v>
      </c>
      <c r="K163" s="1112">
        <v>500000</v>
      </c>
      <c r="L163" s="457">
        <f>500000-50000-10000-440000</f>
        <v>0</v>
      </c>
      <c r="M163" s="476"/>
      <c r="N163" s="445"/>
      <c r="O163" s="365"/>
      <c r="P163" s="1100"/>
      <c r="Q163" s="1281"/>
    </row>
    <row r="164" spans="1:17" s="366" customFormat="1" ht="15.6" x14ac:dyDescent="0.3">
      <c r="A164" s="388"/>
      <c r="B164" s="459" t="s">
        <v>669</v>
      </c>
      <c r="C164" s="387" t="s">
        <v>1148</v>
      </c>
      <c r="D164" s="365"/>
      <c r="E164" s="365"/>
      <c r="F164" s="365"/>
      <c r="G164" s="365"/>
      <c r="H164" s="365"/>
      <c r="I164" s="452" t="s">
        <v>1255</v>
      </c>
      <c r="J164" s="363" t="s">
        <v>586</v>
      </c>
      <c r="K164" s="1112">
        <v>150000</v>
      </c>
      <c r="L164" s="464">
        <f>150000-150000</f>
        <v>0</v>
      </c>
      <c r="M164" s="476"/>
      <c r="N164" s="445"/>
      <c r="O164" s="365"/>
      <c r="P164" s="1100"/>
      <c r="Q164" s="1281"/>
    </row>
    <row r="165" spans="1:17" s="366" customFormat="1" ht="46.8" x14ac:dyDescent="0.3">
      <c r="A165" s="388"/>
      <c r="B165" s="459" t="s">
        <v>672</v>
      </c>
      <c r="C165" s="387" t="s">
        <v>1148</v>
      </c>
      <c r="D165" s="365"/>
      <c r="E165" s="365"/>
      <c r="F165" s="365"/>
      <c r="G165" s="365"/>
      <c r="H165" s="365"/>
      <c r="I165" s="452" t="s">
        <v>1256</v>
      </c>
      <c r="J165" s="363" t="s">
        <v>586</v>
      </c>
      <c r="K165" s="1112">
        <v>106000</v>
      </c>
      <c r="L165" s="464">
        <f>106000-7050</f>
        <v>98950</v>
      </c>
      <c r="M165" s="476"/>
      <c r="N165" s="445">
        <v>98950</v>
      </c>
      <c r="O165" s="365"/>
      <c r="P165" s="1099">
        <f t="shared" si="2"/>
        <v>100</v>
      </c>
      <c r="Q165" s="1281"/>
    </row>
    <row r="166" spans="1:17" s="366" customFormat="1" ht="31.2" x14ac:dyDescent="0.3">
      <c r="A166" s="388"/>
      <c r="B166" s="519" t="s">
        <v>675</v>
      </c>
      <c r="C166" s="1085" t="s">
        <v>1148</v>
      </c>
      <c r="D166" s="482"/>
      <c r="E166" s="482"/>
      <c r="F166" s="482"/>
      <c r="G166" s="482"/>
      <c r="H166" s="482"/>
      <c r="I166" s="480" t="s">
        <v>1257</v>
      </c>
      <c r="J166" s="363" t="s">
        <v>586</v>
      </c>
      <c r="K166" s="1112">
        <v>4966877.4000000004</v>
      </c>
      <c r="L166" s="372"/>
      <c r="M166" s="476"/>
      <c r="N166" s="445">
        <f>183800-183800</f>
        <v>0</v>
      </c>
      <c r="O166" s="365"/>
      <c r="P166" s="1100"/>
      <c r="Q166" s="1281"/>
    </row>
    <row r="167" spans="1:17" s="532" customFormat="1" ht="31.2" x14ac:dyDescent="0.3">
      <c r="A167" s="572"/>
      <c r="B167" s="849" t="s">
        <v>675</v>
      </c>
      <c r="C167" s="387" t="s">
        <v>1163</v>
      </c>
      <c r="D167" s="574"/>
      <c r="E167" s="574"/>
      <c r="F167" s="574"/>
      <c r="G167" s="574"/>
      <c r="H167" s="574"/>
      <c r="I167" s="576" t="s">
        <v>1257</v>
      </c>
      <c r="J167" s="576" t="s">
        <v>586</v>
      </c>
      <c r="K167" s="1120"/>
      <c r="L167" s="372">
        <f>4966877.4-1076104.48-400000</f>
        <v>3490772.9200000004</v>
      </c>
      <c r="M167" s="476"/>
      <c r="N167" s="445">
        <f>182571.51+362696.52+121714+220783.81+691000+72005+98350+1230.44+351184.52</f>
        <v>2101535.7999999998</v>
      </c>
      <c r="O167" s="368"/>
      <c r="P167" s="1099">
        <f t="shared" si="2"/>
        <v>60.202592610922387</v>
      </c>
      <c r="Q167" s="1281"/>
    </row>
    <row r="168" spans="1:17" s="366" customFormat="1" ht="46.8" hidden="1" x14ac:dyDescent="0.3">
      <c r="A168" s="1091"/>
      <c r="B168" s="455" t="s">
        <v>681</v>
      </c>
      <c r="C168" s="387" t="s">
        <v>1148</v>
      </c>
      <c r="D168" s="482"/>
      <c r="E168" s="482"/>
      <c r="F168" s="482"/>
      <c r="G168" s="482"/>
      <c r="H168" s="482"/>
      <c r="I168" s="363" t="s">
        <v>682</v>
      </c>
      <c r="J168" s="564" t="s">
        <v>586</v>
      </c>
      <c r="K168" s="1112"/>
      <c r="L168" s="372">
        <v>0</v>
      </c>
      <c r="M168" s="932"/>
      <c r="N168" s="934"/>
      <c r="O168" s="365"/>
      <c r="P168" s="1099" t="e">
        <f t="shared" si="2"/>
        <v>#DIV/0!</v>
      </c>
      <c r="Q168" s="1281"/>
    </row>
    <row r="169" spans="1:17" s="366" customFormat="1" ht="15.6" x14ac:dyDescent="0.3">
      <c r="A169" s="388"/>
      <c r="B169" s="1408" t="s">
        <v>681</v>
      </c>
      <c r="C169" s="1407" t="s">
        <v>1163</v>
      </c>
      <c r="D169" s="365"/>
      <c r="E169" s="365"/>
      <c r="F169" s="365"/>
      <c r="G169" s="365"/>
      <c r="H169" s="365"/>
      <c r="I169" s="1409" t="s">
        <v>1258</v>
      </c>
      <c r="J169" s="363"/>
      <c r="K169" s="1112">
        <f>K170</f>
        <v>3176057.52</v>
      </c>
      <c r="L169" s="381"/>
      <c r="M169" s="476"/>
      <c r="N169" s="445"/>
      <c r="O169" s="365"/>
      <c r="P169" s="1099"/>
      <c r="Q169" s="1281"/>
    </row>
    <row r="170" spans="1:17" s="366" customFormat="1" ht="15.6" x14ac:dyDescent="0.3">
      <c r="A170" s="388"/>
      <c r="B170" s="1408"/>
      <c r="C170" s="1407"/>
      <c r="D170" s="658"/>
      <c r="E170" s="658"/>
      <c r="F170" s="658"/>
      <c r="G170" s="658"/>
      <c r="H170" s="658"/>
      <c r="I170" s="1409"/>
      <c r="J170" s="363" t="s">
        <v>586</v>
      </c>
      <c r="K170" s="1112">
        <v>3176057.52</v>
      </c>
      <c r="L170" s="381">
        <f>3176057.52-2000000-1176057.52</f>
        <v>0</v>
      </c>
      <c r="M170" s="476"/>
      <c r="N170" s="445">
        <v>0</v>
      </c>
      <c r="O170" s="365"/>
      <c r="P170" s="1099">
        <v>0</v>
      </c>
      <c r="Q170" s="1283"/>
    </row>
    <row r="171" spans="1:17" s="366" customFormat="1" ht="15.6" x14ac:dyDescent="0.3">
      <c r="A171" s="388"/>
      <c r="B171" s="1408"/>
      <c r="C171" s="1088" t="s">
        <v>1386</v>
      </c>
      <c r="D171" s="658"/>
      <c r="E171" s="658"/>
      <c r="F171" s="658"/>
      <c r="G171" s="658"/>
      <c r="H171" s="658"/>
      <c r="I171" s="1409"/>
      <c r="J171" s="363" t="s">
        <v>813</v>
      </c>
      <c r="K171" s="1112"/>
      <c r="L171" s="674">
        <f>2000000+2252162+400000+300000+100000-22.32</f>
        <v>5052139.68</v>
      </c>
      <c r="M171" s="476"/>
      <c r="N171" s="445">
        <f>1000000+3652162+300000+100000-22.32</f>
        <v>5052139.68</v>
      </c>
      <c r="O171" s="365"/>
      <c r="P171" s="1099">
        <f t="shared" si="2"/>
        <v>100</v>
      </c>
      <c r="Q171" s="1082" t="s">
        <v>1407</v>
      </c>
    </row>
    <row r="172" spans="1:17" s="366" customFormat="1" ht="15.6" x14ac:dyDescent="0.3">
      <c r="A172" s="1079"/>
      <c r="B172" s="534" t="s">
        <v>852</v>
      </c>
      <c r="C172" s="1068" t="s">
        <v>1105</v>
      </c>
      <c r="D172" s="489"/>
      <c r="E172" s="489"/>
      <c r="F172" s="489"/>
      <c r="G172" s="489"/>
      <c r="H172" s="489"/>
      <c r="I172" s="490" t="s">
        <v>1314</v>
      </c>
      <c r="J172" s="662" t="s">
        <v>613</v>
      </c>
      <c r="K172" s="1112">
        <v>80000</v>
      </c>
      <c r="L172" s="553">
        <f>80000-253.42</f>
        <v>79746.58</v>
      </c>
      <c r="M172" s="933"/>
      <c r="N172" s="739">
        <v>79746.58</v>
      </c>
      <c r="O172" s="365"/>
      <c r="P172" s="1099">
        <f t="shared" si="2"/>
        <v>100</v>
      </c>
      <c r="Q172" s="1280" t="s">
        <v>968</v>
      </c>
    </row>
    <row r="173" spans="1:17" s="366" customFormat="1" ht="15.6" x14ac:dyDescent="0.3">
      <c r="A173" s="388"/>
      <c r="B173" s="459" t="s">
        <v>855</v>
      </c>
      <c r="C173" s="387" t="s">
        <v>1105</v>
      </c>
      <c r="D173" s="365"/>
      <c r="E173" s="365"/>
      <c r="F173" s="365"/>
      <c r="G173" s="365"/>
      <c r="H173" s="365"/>
      <c r="I173" s="452" t="s">
        <v>1315</v>
      </c>
      <c r="J173" s="363" t="s">
        <v>613</v>
      </c>
      <c r="K173" s="1112">
        <v>50000</v>
      </c>
      <c r="L173" s="457">
        <f>50000-146.58</f>
        <v>49853.42</v>
      </c>
      <c r="M173" s="476"/>
      <c r="N173" s="445">
        <v>49853.42</v>
      </c>
      <c r="O173" s="365"/>
      <c r="P173" s="1099">
        <f t="shared" si="2"/>
        <v>100</v>
      </c>
      <c r="Q173" s="1281"/>
    </row>
    <row r="174" spans="1:17" s="366" customFormat="1" ht="15.6" x14ac:dyDescent="0.3">
      <c r="A174" s="388"/>
      <c r="B174" s="459" t="s">
        <v>858</v>
      </c>
      <c r="C174" s="387" t="s">
        <v>1105</v>
      </c>
      <c r="D174" s="365"/>
      <c r="E174" s="365"/>
      <c r="F174" s="365"/>
      <c r="G174" s="365"/>
      <c r="H174" s="365"/>
      <c r="I174" s="452" t="s">
        <v>1316</v>
      </c>
      <c r="J174" s="363" t="s">
        <v>613</v>
      </c>
      <c r="K174" s="1112">
        <v>20000</v>
      </c>
      <c r="L174" s="457">
        <v>20000</v>
      </c>
      <c r="M174" s="476"/>
      <c r="N174" s="445">
        <v>20000</v>
      </c>
      <c r="O174" s="365"/>
      <c r="P174" s="1099">
        <f t="shared" si="2"/>
        <v>100</v>
      </c>
      <c r="Q174" s="1283"/>
    </row>
    <row r="175" spans="1:17" s="433" customFormat="1" ht="18" x14ac:dyDescent="0.35">
      <c r="A175" s="425">
        <v>14</v>
      </c>
      <c r="B175" s="426" t="s">
        <v>559</v>
      </c>
      <c r="C175" s="427"/>
      <c r="D175" s="428"/>
      <c r="E175" s="428"/>
      <c r="F175" s="428"/>
      <c r="G175" s="428"/>
      <c r="H175" s="428"/>
      <c r="I175" s="1125" t="s">
        <v>1349</v>
      </c>
      <c r="J175" s="430"/>
      <c r="K175" s="612">
        <f>K178+K179+K181+K180+K176+K177</f>
        <v>440000</v>
      </c>
      <c r="L175" s="612">
        <f>L178+L179+L181+L180+L176+L177</f>
        <v>2108190.61</v>
      </c>
      <c r="M175" s="1126"/>
      <c r="N175" s="612">
        <f>N178+N179+N181+N180+N176+N177</f>
        <v>2081317.46</v>
      </c>
      <c r="O175" s="428"/>
      <c r="P175" s="1100">
        <f t="shared" si="2"/>
        <v>98.725297898940937</v>
      </c>
      <c r="Q175" s="432"/>
    </row>
    <row r="176" spans="1:17" s="433" customFormat="1" ht="18" x14ac:dyDescent="0.35">
      <c r="A176" s="425"/>
      <c r="B176" s="521" t="s">
        <v>709</v>
      </c>
      <c r="C176" s="1085" t="s">
        <v>1101</v>
      </c>
      <c r="D176" s="365"/>
      <c r="E176" s="365"/>
      <c r="F176" s="365"/>
      <c r="G176" s="365"/>
      <c r="H176" s="365"/>
      <c r="I176" s="452" t="s">
        <v>1268</v>
      </c>
      <c r="J176" s="363" t="s">
        <v>586</v>
      </c>
      <c r="K176" s="1112">
        <v>100000</v>
      </c>
      <c r="L176" s="464">
        <v>40000</v>
      </c>
      <c r="M176" s="568"/>
      <c r="N176" s="740">
        <v>39943.85</v>
      </c>
      <c r="O176" s="428"/>
      <c r="P176" s="1099">
        <f t="shared" si="2"/>
        <v>99.859624999999994</v>
      </c>
      <c r="Q176" s="520"/>
    </row>
    <row r="177" spans="1:17" s="433" customFormat="1" ht="18" x14ac:dyDescent="0.35">
      <c r="A177" s="425"/>
      <c r="B177" s="466" t="s">
        <v>712</v>
      </c>
      <c r="C177" s="1085" t="s">
        <v>1101</v>
      </c>
      <c r="D177" s="365"/>
      <c r="E177" s="365"/>
      <c r="F177" s="365"/>
      <c r="G177" s="365"/>
      <c r="H177" s="365"/>
      <c r="I177" s="452" t="s">
        <v>1361</v>
      </c>
      <c r="J177" s="363" t="s">
        <v>586</v>
      </c>
      <c r="K177" s="1112"/>
      <c r="L177" s="457">
        <f>3500000-1429771-243710.02</f>
        <v>1826518.98</v>
      </c>
      <c r="M177" s="568"/>
      <c r="N177" s="740">
        <v>1826518.98</v>
      </c>
      <c r="O177" s="428"/>
      <c r="P177" s="1099">
        <f t="shared" si="2"/>
        <v>100</v>
      </c>
      <c r="Q177" s="520"/>
    </row>
    <row r="178" spans="1:17" s="366" customFormat="1" ht="15.6" x14ac:dyDescent="0.3">
      <c r="A178" s="388"/>
      <c r="B178" s="534" t="s">
        <v>715</v>
      </c>
      <c r="C178" s="1085" t="s">
        <v>1101</v>
      </c>
      <c r="D178" s="365"/>
      <c r="E178" s="365"/>
      <c r="F178" s="365"/>
      <c r="G178" s="365"/>
      <c r="H178" s="365"/>
      <c r="I178" s="452" t="s">
        <v>1269</v>
      </c>
      <c r="J178" s="363" t="s">
        <v>586</v>
      </c>
      <c r="K178" s="1112">
        <v>200000</v>
      </c>
      <c r="L178" s="457">
        <v>200000</v>
      </c>
      <c r="M178" s="476"/>
      <c r="N178" s="445">
        <v>173183</v>
      </c>
      <c r="O178" s="365"/>
      <c r="P178" s="1099">
        <f t="shared" si="2"/>
        <v>86.591499999999996</v>
      </c>
      <c r="Q178" s="1380" t="s">
        <v>151</v>
      </c>
    </row>
    <row r="179" spans="1:17" s="366" customFormat="1" ht="15.6" x14ac:dyDescent="0.3">
      <c r="A179" s="388"/>
      <c r="B179" s="459" t="s">
        <v>718</v>
      </c>
      <c r="C179" s="1085" t="s">
        <v>1101</v>
      </c>
      <c r="D179" s="365"/>
      <c r="E179" s="365"/>
      <c r="F179" s="365"/>
      <c r="G179" s="365"/>
      <c r="H179" s="365"/>
      <c r="I179" s="452" t="s">
        <v>1270</v>
      </c>
      <c r="J179" s="363" t="s">
        <v>586</v>
      </c>
      <c r="K179" s="1112">
        <v>40000</v>
      </c>
      <c r="L179" s="372">
        <f>40000-40000</f>
        <v>0</v>
      </c>
      <c r="M179" s="476"/>
      <c r="N179" s="743"/>
      <c r="O179" s="365"/>
      <c r="P179" s="1099"/>
      <c r="Q179" s="1381"/>
    </row>
    <row r="180" spans="1:17" s="366" customFormat="1" ht="15.6" x14ac:dyDescent="0.3">
      <c r="A180" s="388"/>
      <c r="B180" s="521" t="s">
        <v>1205</v>
      </c>
      <c r="C180" s="1085" t="s">
        <v>1101</v>
      </c>
      <c r="D180" s="365"/>
      <c r="E180" s="365"/>
      <c r="F180" s="365"/>
      <c r="G180" s="365"/>
      <c r="H180" s="365"/>
      <c r="I180" s="484" t="s">
        <v>1271</v>
      </c>
      <c r="J180" s="389" t="s">
        <v>586</v>
      </c>
      <c r="K180" s="1113">
        <v>100000</v>
      </c>
      <c r="L180" s="1104">
        <f>100000+50000-108328.37</f>
        <v>41671.630000000005</v>
      </c>
      <c r="M180" s="476"/>
      <c r="N180" s="661">
        <v>41671.629999999997</v>
      </c>
      <c r="O180" s="365"/>
      <c r="P180" s="1099">
        <f t="shared" si="2"/>
        <v>99.999999999999972</v>
      </c>
      <c r="Q180" s="581"/>
    </row>
    <row r="181" spans="1:17" s="366" customFormat="1" ht="15.6" hidden="1" x14ac:dyDescent="0.3">
      <c r="A181" s="388"/>
      <c r="B181" s="521" t="s">
        <v>1205</v>
      </c>
      <c r="C181" s="1085" t="s">
        <v>1159</v>
      </c>
      <c r="D181" s="365"/>
      <c r="E181" s="365"/>
      <c r="F181" s="365"/>
      <c r="G181" s="365"/>
      <c r="H181" s="365"/>
      <c r="I181" s="389" t="s">
        <v>1206</v>
      </c>
      <c r="J181" s="389" t="s">
        <v>813</v>
      </c>
      <c r="K181" s="1113"/>
      <c r="L181" s="582"/>
      <c r="M181" s="476"/>
      <c r="N181" s="661"/>
      <c r="O181" s="365"/>
      <c r="P181" s="1100" t="e">
        <f t="shared" si="2"/>
        <v>#DIV/0!</v>
      </c>
      <c r="Q181" s="1082" t="s">
        <v>1136</v>
      </c>
    </row>
    <row r="182" spans="1:17" ht="21" x14ac:dyDescent="0.4">
      <c r="A182" s="1130"/>
      <c r="B182" s="1131" t="s">
        <v>1149</v>
      </c>
      <c r="C182" s="1132"/>
      <c r="D182" s="1130"/>
      <c r="E182" s="1130"/>
      <c r="F182" s="1130"/>
      <c r="G182" s="1130"/>
      <c r="H182" s="1130"/>
      <c r="I182" s="1133"/>
      <c r="J182" s="1134"/>
      <c r="K182" s="1135">
        <f>K21+K35+K37+K48+K61+K69+K71+K75+K81+K87+K120+K130+K156+K175</f>
        <v>319925539.85000008</v>
      </c>
      <c r="L182" s="1135">
        <f>L21+L35+L37+L48+L61+L69+L71+L75+L81+L87+L120+L130+L156+L175</f>
        <v>376886692.14999998</v>
      </c>
      <c r="M182" s="1136"/>
      <c r="N182" s="1135">
        <f>N21+N35+N37+N48+N61+N69+N71+N75+N81+N87+N120+N130+N156+N175</f>
        <v>307940502.43000001</v>
      </c>
      <c r="O182" s="1137"/>
      <c r="P182" s="1138">
        <f t="shared" si="2"/>
        <v>81.706387846520315</v>
      </c>
      <c r="Q182" s="1137"/>
    </row>
    <row r="183" spans="1:17" ht="15.6" x14ac:dyDescent="0.3">
      <c r="A183" s="146"/>
      <c r="B183" s="146"/>
      <c r="C183" s="146"/>
      <c r="D183" s="146"/>
      <c r="E183" s="146"/>
      <c r="F183" s="146"/>
      <c r="G183" s="146"/>
      <c r="H183" s="146"/>
      <c r="I183" s="358"/>
      <c r="J183" s="360"/>
      <c r="K183" s="1121"/>
      <c r="L183" s="747"/>
      <c r="M183" s="938"/>
      <c r="N183" s="938"/>
      <c r="O183" s="146"/>
      <c r="P183" s="1100"/>
      <c r="Q183" s="146"/>
    </row>
    <row r="184" spans="1:17" s="375" customFormat="1" ht="38.25" customHeight="1" x14ac:dyDescent="0.3">
      <c r="A184" s="1382">
        <v>1</v>
      </c>
      <c r="B184" s="1456" t="s">
        <v>1355</v>
      </c>
      <c r="C184" s="395" t="s">
        <v>1110</v>
      </c>
      <c r="D184" s="396"/>
      <c r="E184" s="396"/>
      <c r="F184" s="396"/>
      <c r="G184" s="396"/>
      <c r="H184" s="396"/>
      <c r="I184" s="397" t="s">
        <v>1287</v>
      </c>
      <c r="J184" s="371"/>
      <c r="K184" s="421">
        <f>K185+K186</f>
        <v>573400</v>
      </c>
      <c r="L184" s="421">
        <f>L185+L186</f>
        <v>573397.05000000005</v>
      </c>
      <c r="M184" s="476"/>
      <c r="N184" s="421">
        <f>N185+N186</f>
        <v>544830.35000000009</v>
      </c>
      <c r="O184" s="373"/>
      <c r="P184" s="1100">
        <f t="shared" si="2"/>
        <v>95.017989715852224</v>
      </c>
      <c r="Q184" s="374" t="s">
        <v>151</v>
      </c>
    </row>
    <row r="185" spans="1:17" s="375" customFormat="1" ht="34.5" customHeight="1" x14ac:dyDescent="0.3">
      <c r="A185" s="1455"/>
      <c r="B185" s="1457"/>
      <c r="C185" s="894"/>
      <c r="D185" s="895"/>
      <c r="E185" s="895"/>
      <c r="F185" s="895"/>
      <c r="G185" s="895"/>
      <c r="H185" s="895"/>
      <c r="I185" s="896"/>
      <c r="J185" s="371" t="s">
        <v>162</v>
      </c>
      <c r="K185" s="1116">
        <v>541284</v>
      </c>
      <c r="L185" s="650">
        <f>541284-2.95-9600</f>
        <v>531681.05000000005</v>
      </c>
      <c r="M185" s="932"/>
      <c r="N185" s="934">
        <f>18151.56+5481.77+24149.77+5376.57+8916.96+27412.56+8278.59+51009.05+14196.73+27783+8390.46+37669.47+52023.78+15703.48+4742.45+26520.12+8009.08+81437.77+24594.22+27783+8390.48+13128.64+3964.84</f>
        <v>503114.35000000003</v>
      </c>
      <c r="O185" s="588"/>
      <c r="P185" s="1099">
        <f t="shared" si="2"/>
        <v>94.62709833273162</v>
      </c>
      <c r="Q185" s="374"/>
    </row>
    <row r="186" spans="1:17" s="375" customFormat="1" ht="36.75" customHeight="1" x14ac:dyDescent="0.3">
      <c r="A186" s="1384"/>
      <c r="B186" s="1368"/>
      <c r="C186" s="392"/>
      <c r="D186" s="897"/>
      <c r="E186" s="897"/>
      <c r="F186" s="897"/>
      <c r="G186" s="897"/>
      <c r="H186" s="897"/>
      <c r="I186" s="393"/>
      <c r="J186" s="371" t="s">
        <v>586</v>
      </c>
      <c r="K186" s="1116">
        <v>32116</v>
      </c>
      <c r="L186" s="650">
        <f>32116+9600</f>
        <v>41716</v>
      </c>
      <c r="M186" s="932"/>
      <c r="N186" s="934">
        <f>9336+21784+10596</f>
        <v>41716</v>
      </c>
      <c r="O186" s="588"/>
      <c r="P186" s="1099">
        <f t="shared" si="2"/>
        <v>100</v>
      </c>
      <c r="Q186" s="374"/>
    </row>
    <row r="187" spans="1:17" s="375" customFormat="1" ht="21.6" customHeight="1" x14ac:dyDescent="0.3">
      <c r="A187" s="1089"/>
      <c r="B187" s="1468" t="s">
        <v>1385</v>
      </c>
      <c r="C187" s="1471" t="s">
        <v>1386</v>
      </c>
      <c r="D187" s="377"/>
      <c r="E187" s="377"/>
      <c r="F187" s="377"/>
      <c r="G187" s="377"/>
      <c r="H187" s="377"/>
      <c r="I187" s="1439" t="s">
        <v>1387</v>
      </c>
      <c r="J187" s="371"/>
      <c r="K187" s="1116"/>
      <c r="L187" s="421">
        <f>L188+L189</f>
        <v>11885101</v>
      </c>
      <c r="M187" s="1023"/>
      <c r="N187" s="421">
        <f>N188+N189</f>
        <v>11817468.939999999</v>
      </c>
      <c r="O187" s="378"/>
      <c r="P187" s="1100">
        <f t="shared" si="2"/>
        <v>99.430950902310371</v>
      </c>
      <c r="Q187" s="380"/>
    </row>
    <row r="188" spans="1:17" s="375" customFormat="1" ht="18.600000000000001" customHeight="1" x14ac:dyDescent="0.3">
      <c r="A188" s="1089"/>
      <c r="B188" s="1469"/>
      <c r="C188" s="1472"/>
      <c r="D188" s="1021"/>
      <c r="E188" s="1021"/>
      <c r="F188" s="1021"/>
      <c r="G188" s="1021"/>
      <c r="H188" s="1021"/>
      <c r="I188" s="1473"/>
      <c r="J188" s="576" t="s">
        <v>586</v>
      </c>
      <c r="K188" s="1120"/>
      <c r="L188" s="372">
        <v>97617</v>
      </c>
      <c r="M188" s="1019"/>
      <c r="N188" s="1020">
        <v>29984.94</v>
      </c>
      <c r="O188" s="378"/>
      <c r="P188" s="1099">
        <f t="shared" si="2"/>
        <v>30.716924306217152</v>
      </c>
      <c r="Q188" s="380"/>
    </row>
    <row r="189" spans="1:17" s="375" customFormat="1" ht="18.600000000000001" customHeight="1" x14ac:dyDescent="0.3">
      <c r="A189" s="1089">
        <v>2</v>
      </c>
      <c r="B189" s="1470"/>
      <c r="C189" s="1411"/>
      <c r="D189" s="1022"/>
      <c r="E189" s="1022"/>
      <c r="F189" s="1022"/>
      <c r="G189" s="1022"/>
      <c r="H189" s="1022"/>
      <c r="I189" s="1474"/>
      <c r="J189" s="371" t="s">
        <v>813</v>
      </c>
      <c r="K189" s="1116"/>
      <c r="L189" s="372">
        <v>11787484</v>
      </c>
      <c r="M189" s="932"/>
      <c r="N189" s="934">
        <v>11787484</v>
      </c>
      <c r="O189" s="588"/>
      <c r="P189" s="1099">
        <f t="shared" si="2"/>
        <v>100</v>
      </c>
      <c r="Q189" s="374"/>
    </row>
    <row r="190" spans="1:17" s="375" customFormat="1" ht="46.8" x14ac:dyDescent="0.3">
      <c r="A190" s="1066">
        <v>3</v>
      </c>
      <c r="B190" s="584" t="s">
        <v>1104</v>
      </c>
      <c r="C190" s="1064" t="s">
        <v>1103</v>
      </c>
      <c r="D190" s="586"/>
      <c r="E190" s="586"/>
      <c r="F190" s="586"/>
      <c r="G190" s="586"/>
      <c r="H190" s="586"/>
      <c r="I190" s="587" t="s">
        <v>1265</v>
      </c>
      <c r="J190" s="371" t="s">
        <v>528</v>
      </c>
      <c r="K190" s="980">
        <v>87107200</v>
      </c>
      <c r="L190" s="421">
        <f>87107200-24.78-4760796.84+1770359.93-294751.45</f>
        <v>83821986.859999999</v>
      </c>
      <c r="M190" s="932"/>
      <c r="N190" s="980">
        <f>14417772.06+7298261.36+7240617.85+8882707.35+13776880.6+10727877.55+9950237.76+1125813.34+6334729.11+3669498.63</f>
        <v>83424395.610000014</v>
      </c>
      <c r="O190" s="588"/>
      <c r="P190" s="1100">
        <f t="shared" si="2"/>
        <v>99.525671885272729</v>
      </c>
      <c r="Q190" s="374" t="s">
        <v>151</v>
      </c>
    </row>
    <row r="191" spans="1:17" s="366" customFormat="1" ht="55.5" customHeight="1" x14ac:dyDescent="0.3">
      <c r="A191" s="1066">
        <v>4</v>
      </c>
      <c r="B191" s="590" t="s">
        <v>645</v>
      </c>
      <c r="C191" s="395" t="s">
        <v>1086</v>
      </c>
      <c r="D191" s="591"/>
      <c r="E191" s="592"/>
      <c r="F191" s="592"/>
      <c r="G191" s="592"/>
      <c r="H191" s="593"/>
      <c r="I191" s="594" t="s">
        <v>1245</v>
      </c>
      <c r="J191" s="371" t="s">
        <v>586</v>
      </c>
      <c r="K191" s="1128">
        <v>147000</v>
      </c>
      <c r="L191" s="421">
        <f>147000+58.82-130391.82-16667</f>
        <v>0</v>
      </c>
      <c r="M191" s="474"/>
      <c r="N191" s="445"/>
      <c r="O191" s="373"/>
      <c r="P191" s="1100"/>
      <c r="Q191" s="595" t="s">
        <v>151</v>
      </c>
    </row>
    <row r="192" spans="1:17" s="366" customFormat="1" ht="20.25" customHeight="1" x14ac:dyDescent="0.3">
      <c r="A192" s="1458">
        <v>5</v>
      </c>
      <c r="B192" s="1360" t="s">
        <v>893</v>
      </c>
      <c r="C192" s="1410" t="s">
        <v>1090</v>
      </c>
      <c r="D192" s="844"/>
      <c r="E192" s="844"/>
      <c r="F192" s="844"/>
      <c r="G192" s="844"/>
      <c r="H192" s="844"/>
      <c r="I192" s="1412" t="s">
        <v>1323</v>
      </c>
      <c r="J192" s="371" t="s">
        <v>586</v>
      </c>
      <c r="K192" s="1116"/>
      <c r="L192" s="659">
        <f>10000+3000+34.64</f>
        <v>13034.64</v>
      </c>
      <c r="M192" s="474"/>
      <c r="N192" s="445">
        <f>6209.28+3104.64+3034.64</f>
        <v>12348.56</v>
      </c>
      <c r="O192" s="373"/>
      <c r="P192" s="1100">
        <f t="shared" si="2"/>
        <v>94.736486776773276</v>
      </c>
      <c r="Q192" s="595"/>
    </row>
    <row r="193" spans="1:18" s="375" customFormat="1" ht="22.5" customHeight="1" x14ac:dyDescent="0.3">
      <c r="A193" s="1423"/>
      <c r="B193" s="1362"/>
      <c r="C193" s="1411"/>
      <c r="D193" s="844"/>
      <c r="E193" s="844"/>
      <c r="F193" s="844"/>
      <c r="G193" s="844"/>
      <c r="H193" s="844"/>
      <c r="I193" s="1413"/>
      <c r="J193" s="371" t="s">
        <v>764</v>
      </c>
      <c r="K193" s="1128">
        <v>1241900</v>
      </c>
      <c r="L193" s="673">
        <f>1241900-44-10000+357000-34.64</f>
        <v>1588821.36</v>
      </c>
      <c r="M193" s="474"/>
      <c r="N193" s="939">
        <f>620928+310464+300464+165232</f>
        <v>1397088</v>
      </c>
      <c r="O193" s="373"/>
      <c r="P193" s="1100">
        <f t="shared" si="2"/>
        <v>87.932352571090817</v>
      </c>
      <c r="Q193" s="595" t="s">
        <v>1084</v>
      </c>
      <c r="R193" s="599"/>
    </row>
    <row r="194" spans="1:18" s="375" customFormat="1" ht="22.5" customHeight="1" x14ac:dyDescent="0.3">
      <c r="A194" s="1458">
        <v>6</v>
      </c>
      <c r="B194" s="1360" t="s">
        <v>896</v>
      </c>
      <c r="C194" s="1378" t="s">
        <v>1091</v>
      </c>
      <c r="D194" s="844"/>
      <c r="E194" s="844"/>
      <c r="F194" s="844"/>
      <c r="G194" s="844"/>
      <c r="H194" s="844"/>
      <c r="I194" s="1389" t="s">
        <v>1324</v>
      </c>
      <c r="J194" s="371" t="s">
        <v>586</v>
      </c>
      <c r="K194" s="1116"/>
      <c r="L194" s="673">
        <v>136.38</v>
      </c>
      <c r="M194" s="474"/>
      <c r="N194" s="939">
        <v>136.38</v>
      </c>
      <c r="O194" s="373"/>
      <c r="P194" s="1100">
        <f t="shared" si="2"/>
        <v>100</v>
      </c>
      <c r="Q194" s="595"/>
      <c r="R194" s="599"/>
    </row>
    <row r="195" spans="1:18" s="375" customFormat="1" ht="30" customHeight="1" x14ac:dyDescent="0.3">
      <c r="A195" s="1423"/>
      <c r="B195" s="1362"/>
      <c r="C195" s="1379"/>
      <c r="D195" s="597"/>
      <c r="E195" s="597"/>
      <c r="F195" s="597"/>
      <c r="G195" s="597"/>
      <c r="H195" s="597"/>
      <c r="I195" s="1390"/>
      <c r="J195" s="371" t="s">
        <v>764</v>
      </c>
      <c r="K195" s="1128">
        <v>55100</v>
      </c>
      <c r="L195" s="673">
        <f>55100-2.48+13186.87</f>
        <v>68284.39</v>
      </c>
      <c r="M195" s="474"/>
      <c r="N195" s="939">
        <f>34095+13638+13638</f>
        <v>61371</v>
      </c>
      <c r="O195" s="373"/>
      <c r="P195" s="1100">
        <f t="shared" si="2"/>
        <v>89.875592357199068</v>
      </c>
      <c r="Q195" s="595" t="s">
        <v>1084</v>
      </c>
      <c r="R195" s="599"/>
    </row>
    <row r="196" spans="1:18" s="375" customFormat="1" ht="15.6" x14ac:dyDescent="0.3">
      <c r="A196" s="1375">
        <v>7</v>
      </c>
      <c r="B196" s="1385" t="s">
        <v>873</v>
      </c>
      <c r="C196" s="1064" t="s">
        <v>1090</v>
      </c>
      <c r="D196" s="597"/>
      <c r="E196" s="597"/>
      <c r="F196" s="597"/>
      <c r="G196" s="597"/>
      <c r="H196" s="597"/>
      <c r="I196" s="477" t="s">
        <v>1327</v>
      </c>
      <c r="J196" s="371"/>
      <c r="K196" s="1128">
        <f>K197+K198</f>
        <v>1750200</v>
      </c>
      <c r="L196" s="453">
        <f>L197+L198</f>
        <v>1750191.15</v>
      </c>
      <c r="M196" s="474"/>
      <c r="N196" s="453">
        <f>N197+N198</f>
        <v>1579598.4999999998</v>
      </c>
      <c r="O196" s="588"/>
      <c r="P196" s="1100">
        <f t="shared" si="2"/>
        <v>90.252913231791837</v>
      </c>
      <c r="Q196" s="595" t="s">
        <v>1084</v>
      </c>
      <c r="R196" s="600"/>
    </row>
    <row r="197" spans="1:18" s="375" customFormat="1" ht="15.6" x14ac:dyDescent="0.3">
      <c r="A197" s="1376"/>
      <c r="B197" s="1459"/>
      <c r="C197" s="1388"/>
      <c r="D197" s="597"/>
      <c r="E197" s="597"/>
      <c r="F197" s="597"/>
      <c r="G197" s="597"/>
      <c r="H197" s="597"/>
      <c r="I197" s="1389"/>
      <c r="J197" s="371" t="s">
        <v>162</v>
      </c>
      <c r="K197" s="1116">
        <v>1635414</v>
      </c>
      <c r="L197" s="457">
        <f>1635414-8.85-350-150000-30000</f>
        <v>1455055.15</v>
      </c>
      <c r="M197" s="474"/>
      <c r="N197" s="934">
        <f>71790.37+2972.2+22971.77+43749.18+352.62+26090+4450+14249.64+13428.56+119347.71+44706.09+88494.97-2638.65+26833.86+150861.83+68101.13+61644.67+5500+18616.69+38615.44+12435.7+113764.75-5500+4493+32728.44+87053.69+26290.21+156392.71+2925.6+46706.11</f>
        <v>1297428.2899999998</v>
      </c>
      <c r="O197" s="588"/>
      <c r="P197" s="1099">
        <f t="shared" si="2"/>
        <v>89.166949445180819</v>
      </c>
      <c r="Q197" s="595"/>
      <c r="R197" s="600"/>
    </row>
    <row r="198" spans="1:18" s="375" customFormat="1" ht="15.6" x14ac:dyDescent="0.3">
      <c r="A198" s="1365"/>
      <c r="B198" s="1387"/>
      <c r="C198" s="1379"/>
      <c r="D198" s="597"/>
      <c r="E198" s="597"/>
      <c r="F198" s="597"/>
      <c r="G198" s="597"/>
      <c r="H198" s="597"/>
      <c r="I198" s="1390"/>
      <c r="J198" s="371" t="s">
        <v>586</v>
      </c>
      <c r="K198" s="1116">
        <v>114786</v>
      </c>
      <c r="L198" s="457">
        <f>114786+350+150000+30000</f>
        <v>295136</v>
      </c>
      <c r="M198" s="474"/>
      <c r="N198" s="934">
        <f>26250+4000+28801.64+8344.79+350+30169.51+3801.78+7542.19+10114.61+34543.91+44639.56+47542.19+36070.03</f>
        <v>282170.20999999996</v>
      </c>
      <c r="O198" s="588"/>
      <c r="P198" s="1099">
        <f t="shared" si="2"/>
        <v>95.606842269326677</v>
      </c>
      <c r="Q198" s="595"/>
      <c r="R198" s="600"/>
    </row>
    <row r="199" spans="1:18" s="375" customFormat="1" ht="24.75" customHeight="1" x14ac:dyDescent="0.3">
      <c r="A199" s="1375">
        <v>8</v>
      </c>
      <c r="B199" s="1385" t="s">
        <v>899</v>
      </c>
      <c r="C199" s="1410" t="s">
        <v>1090</v>
      </c>
      <c r="D199" s="845"/>
      <c r="E199" s="846"/>
      <c r="F199" s="846"/>
      <c r="G199" s="846"/>
      <c r="H199" s="899"/>
      <c r="I199" s="1414" t="s">
        <v>1325</v>
      </c>
      <c r="J199" s="371" t="s">
        <v>586</v>
      </c>
      <c r="K199" s="1116"/>
      <c r="L199" s="464">
        <f>100000-100000</f>
        <v>0</v>
      </c>
      <c r="M199" s="474"/>
      <c r="N199" s="934"/>
      <c r="O199" s="588"/>
      <c r="P199" s="1100"/>
      <c r="Q199" s="595"/>
      <c r="R199" s="600"/>
    </row>
    <row r="200" spans="1:18" s="375" customFormat="1" ht="33.75" customHeight="1" x14ac:dyDescent="0.3">
      <c r="A200" s="1365"/>
      <c r="B200" s="1424"/>
      <c r="C200" s="1411"/>
      <c r="D200" s="845"/>
      <c r="E200" s="846"/>
      <c r="F200" s="846"/>
      <c r="G200" s="846"/>
      <c r="H200" s="899"/>
      <c r="I200" s="1413"/>
      <c r="J200" s="371" t="s">
        <v>764</v>
      </c>
      <c r="K200" s="1128">
        <v>15024600</v>
      </c>
      <c r="L200" s="673">
        <f>15024600+54.55-100000-3663248.83+1404986.76+1215724.78</f>
        <v>13882117.26</v>
      </c>
      <c r="M200" s="474"/>
      <c r="N200" s="980">
        <f>1902501+372964.26+186482.16+1933297+186482.1+927384+213822.55+1172850.86+1170050.79+981296+201957.87+1851653+403915.65+941242+201957.87+917045+201957.78</f>
        <v>13766859.889999997</v>
      </c>
      <c r="O200" s="588"/>
      <c r="P200" s="1100">
        <f t="shared" si="2"/>
        <v>99.169742137734957</v>
      </c>
      <c r="Q200" s="595" t="s">
        <v>1084</v>
      </c>
      <c r="R200" s="599"/>
    </row>
    <row r="201" spans="1:18" s="366" customFormat="1" ht="31.2" hidden="1" x14ac:dyDescent="0.3">
      <c r="A201" s="596">
        <v>8</v>
      </c>
      <c r="B201" s="605" t="s">
        <v>1032</v>
      </c>
      <c r="C201" s="395" t="s">
        <v>1111</v>
      </c>
      <c r="D201" s="592"/>
      <c r="E201" s="592"/>
      <c r="F201" s="592"/>
      <c r="G201" s="592"/>
      <c r="H201" s="592"/>
      <c r="I201" s="477" t="s">
        <v>1112</v>
      </c>
      <c r="J201" s="371" t="s">
        <v>586</v>
      </c>
      <c r="K201" s="1116"/>
      <c r="L201" s="453"/>
      <c r="M201" s="474"/>
      <c r="N201" s="939"/>
      <c r="P201" s="1100" t="e">
        <f t="shared" si="2"/>
        <v>#DIV/0!</v>
      </c>
      <c r="Q201" s="595" t="s">
        <v>151</v>
      </c>
    </row>
    <row r="202" spans="1:18" s="366" customFormat="1" ht="31.2" hidden="1" x14ac:dyDescent="0.3">
      <c r="A202" s="596">
        <v>8</v>
      </c>
      <c r="B202" s="423"/>
      <c r="C202" s="395"/>
      <c r="D202" s="592"/>
      <c r="E202" s="592"/>
      <c r="F202" s="592"/>
      <c r="G202" s="592"/>
      <c r="H202" s="592"/>
      <c r="I202" s="477"/>
      <c r="J202" s="371"/>
      <c r="K202" s="1116"/>
      <c r="L202" s="453"/>
      <c r="M202" s="474"/>
      <c r="N202" s="939"/>
      <c r="P202" s="1100" t="e">
        <f t="shared" si="2"/>
        <v>#DIV/0!</v>
      </c>
      <c r="Q202" s="595" t="s">
        <v>151</v>
      </c>
    </row>
    <row r="203" spans="1:18" s="366" customFormat="1" ht="31.2" x14ac:dyDescent="0.3">
      <c r="A203" s="1066">
        <v>9</v>
      </c>
      <c r="B203" s="606" t="s">
        <v>1365</v>
      </c>
      <c r="C203" s="1064" t="s">
        <v>1103</v>
      </c>
      <c r="D203" s="586"/>
      <c r="E203" s="586"/>
      <c r="F203" s="586"/>
      <c r="G203" s="586"/>
      <c r="H203" s="586"/>
      <c r="I203" s="587" t="s">
        <v>1366</v>
      </c>
      <c r="J203" s="371" t="s">
        <v>586</v>
      </c>
      <c r="K203" s="1116"/>
      <c r="L203" s="421">
        <f>2300000+1500000</f>
        <v>3800000</v>
      </c>
      <c r="M203" s="474"/>
      <c r="N203" s="939">
        <f>2300000+450000+1050000</f>
        <v>3800000</v>
      </c>
      <c r="P203" s="1100">
        <f t="shared" si="2"/>
        <v>100</v>
      </c>
      <c r="Q203" s="595"/>
    </row>
    <row r="204" spans="1:18" s="366" customFormat="1" ht="62.4" x14ac:dyDescent="0.3">
      <c r="A204" s="1066">
        <v>10</v>
      </c>
      <c r="B204" s="754" t="s">
        <v>1388</v>
      </c>
      <c r="C204" s="1064" t="s">
        <v>1111</v>
      </c>
      <c r="D204" s="586"/>
      <c r="E204" s="586"/>
      <c r="F204" s="586"/>
      <c r="G204" s="586"/>
      <c r="H204" s="586"/>
      <c r="I204" s="587" t="s">
        <v>1389</v>
      </c>
      <c r="J204" s="371" t="s">
        <v>764</v>
      </c>
      <c r="K204" s="1116"/>
      <c r="L204" s="421">
        <v>471100</v>
      </c>
      <c r="M204" s="474"/>
      <c r="N204" s="939">
        <v>471100</v>
      </c>
      <c r="P204" s="1100">
        <f t="shared" si="2"/>
        <v>100</v>
      </c>
      <c r="Q204" s="595"/>
    </row>
    <row r="205" spans="1:18" s="366" customFormat="1" ht="58.8" customHeight="1" x14ac:dyDescent="0.3">
      <c r="A205" s="1110"/>
      <c r="B205" s="606" t="s">
        <v>513</v>
      </c>
      <c r="C205" s="1109" t="s">
        <v>1113</v>
      </c>
      <c r="D205" s="833"/>
      <c r="E205" s="833"/>
      <c r="F205" s="833"/>
      <c r="G205" s="833"/>
      <c r="H205" s="833"/>
      <c r="I205" s="587" t="s">
        <v>1291</v>
      </c>
      <c r="J205" s="371" t="s">
        <v>700</v>
      </c>
      <c r="K205" s="1128">
        <v>4356000</v>
      </c>
      <c r="L205" s="421"/>
      <c r="M205" s="474"/>
      <c r="N205" s="939"/>
      <c r="P205" s="1100"/>
      <c r="Q205" s="595" t="s">
        <v>151</v>
      </c>
    </row>
    <row r="206" spans="1:18" s="366" customFormat="1" ht="62.4" x14ac:dyDescent="0.3">
      <c r="A206" s="1066">
        <v>11</v>
      </c>
      <c r="B206" s="606" t="s">
        <v>514</v>
      </c>
      <c r="C206" s="1064" t="s">
        <v>1113</v>
      </c>
      <c r="D206" s="586"/>
      <c r="E206" s="586"/>
      <c r="F206" s="586"/>
      <c r="G206" s="586"/>
      <c r="H206" s="586"/>
      <c r="I206" s="587" t="s">
        <v>1292</v>
      </c>
      <c r="J206" s="371" t="s">
        <v>700</v>
      </c>
      <c r="K206" s="1128">
        <v>2178000</v>
      </c>
      <c r="L206" s="421">
        <v>2178000</v>
      </c>
      <c r="M206" s="474"/>
      <c r="N206" s="939">
        <f>1518000+660000</f>
        <v>2178000</v>
      </c>
      <c r="P206" s="1100">
        <f t="shared" si="2"/>
        <v>100</v>
      </c>
      <c r="Q206" s="595" t="s">
        <v>151</v>
      </c>
    </row>
    <row r="207" spans="1:18" s="366" customFormat="1" ht="18" customHeight="1" x14ac:dyDescent="0.3">
      <c r="A207" s="1375">
        <v>12</v>
      </c>
      <c r="B207" s="1478" t="s">
        <v>1430</v>
      </c>
      <c r="C207" s="395" t="s">
        <v>1130</v>
      </c>
      <c r="D207" s="396"/>
      <c r="E207" s="396"/>
      <c r="F207" s="396"/>
      <c r="G207" s="396"/>
      <c r="H207" s="396"/>
      <c r="I207" s="397" t="s">
        <v>1234</v>
      </c>
      <c r="J207" s="371"/>
      <c r="K207" s="1128">
        <f>K208+K209</f>
        <v>584400</v>
      </c>
      <c r="L207" s="422">
        <f>L208+L209</f>
        <v>584381.05000000005</v>
      </c>
      <c r="M207" s="476"/>
      <c r="N207" s="422">
        <f>N208+N209</f>
        <v>481524.41000000009</v>
      </c>
      <c r="O207" s="365"/>
      <c r="P207" s="1100">
        <f t="shared" si="2"/>
        <v>82.399045964957295</v>
      </c>
      <c r="Q207" s="374" t="s">
        <v>151</v>
      </c>
    </row>
    <row r="208" spans="1:18" s="366" customFormat="1" ht="15.6" x14ac:dyDescent="0.3">
      <c r="A208" s="1376"/>
      <c r="B208" s="1479"/>
      <c r="C208" s="894"/>
      <c r="D208" s="399"/>
      <c r="E208" s="399"/>
      <c r="F208" s="399"/>
      <c r="G208" s="399"/>
      <c r="H208" s="399"/>
      <c r="I208" s="896"/>
      <c r="J208" s="371" t="s">
        <v>162</v>
      </c>
      <c r="K208" s="1116">
        <v>538299.93999999994</v>
      </c>
      <c r="L208" s="674">
        <f>538299.94-18.95+0.06</f>
        <v>538281.05000000005</v>
      </c>
      <c r="M208" s="476"/>
      <c r="N208" s="445">
        <f>25979.4+7845.78+10481.82+35807.18+13979.28+20153.79+6086.43+33773.22+10199.53+25979.4+7845.78+33825.17+33825.17+57325.77+16104.39+11808.78+3566.27+48511.91+14650.58+27784.76+8391</f>
        <v>453925.41000000009</v>
      </c>
      <c r="O208" s="365"/>
      <c r="P208" s="1099">
        <f t="shared" si="2"/>
        <v>84.328699663493651</v>
      </c>
      <c r="Q208" s="374"/>
    </row>
    <row r="209" spans="1:17" s="366" customFormat="1" ht="15.6" x14ac:dyDescent="0.3">
      <c r="A209" s="1365"/>
      <c r="B209" s="1480"/>
      <c r="C209" s="392"/>
      <c r="D209" s="370"/>
      <c r="E209" s="370"/>
      <c r="F209" s="370"/>
      <c r="G209" s="370"/>
      <c r="H209" s="370"/>
      <c r="I209" s="398"/>
      <c r="J209" s="371" t="s">
        <v>586</v>
      </c>
      <c r="K209" s="1116">
        <v>46100.06</v>
      </c>
      <c r="L209" s="674">
        <f>46100.06-0.06</f>
        <v>46100</v>
      </c>
      <c r="M209" s="476"/>
      <c r="N209" s="445">
        <f>8599+10000+1000+8000</f>
        <v>27599</v>
      </c>
      <c r="O209" s="365"/>
      <c r="P209" s="1099">
        <f t="shared" si="2"/>
        <v>59.867678958785255</v>
      </c>
      <c r="Q209" s="374"/>
    </row>
    <row r="210" spans="1:17" s="366" customFormat="1" ht="23.4" customHeight="1" x14ac:dyDescent="0.3">
      <c r="A210" s="1375">
        <v>13</v>
      </c>
      <c r="B210" s="607" t="s">
        <v>1215</v>
      </c>
      <c r="C210" s="392"/>
      <c r="D210" s="370"/>
      <c r="E210" s="370"/>
      <c r="F210" s="370"/>
      <c r="G210" s="370"/>
      <c r="H210" s="370"/>
      <c r="I210" s="497"/>
      <c r="J210" s="371"/>
      <c r="K210" s="1116"/>
      <c r="L210" s="381"/>
      <c r="M210" s="476"/>
      <c r="N210" s="661"/>
      <c r="O210" s="365"/>
      <c r="P210" s="1100"/>
      <c r="Q210" s="374"/>
    </row>
    <row r="211" spans="1:17" s="366" customFormat="1" ht="31.2" customHeight="1" x14ac:dyDescent="0.3">
      <c r="A211" s="1376"/>
      <c r="B211" s="1377" t="s">
        <v>1431</v>
      </c>
      <c r="C211" s="395" t="s">
        <v>1141</v>
      </c>
      <c r="D211" s="592"/>
      <c r="E211" s="592"/>
      <c r="F211" s="592"/>
      <c r="G211" s="592"/>
      <c r="H211" s="592"/>
      <c r="I211" s="594" t="s">
        <v>1279</v>
      </c>
      <c r="J211" s="371"/>
      <c r="K211" s="1128">
        <f>K212+K213</f>
        <v>573400</v>
      </c>
      <c r="L211" s="422">
        <f>L212+L213</f>
        <v>573397.1</v>
      </c>
      <c r="M211" s="476"/>
      <c r="N211" s="422">
        <f>N212+N213</f>
        <v>569381.21</v>
      </c>
      <c r="O211" s="365"/>
      <c r="P211" s="1100">
        <f t="shared" si="2"/>
        <v>99.29963196535175</v>
      </c>
      <c r="Q211" s="374" t="s">
        <v>151</v>
      </c>
    </row>
    <row r="212" spans="1:17" s="366" customFormat="1" ht="15.6" x14ac:dyDescent="0.3">
      <c r="A212" s="1376"/>
      <c r="B212" s="1377"/>
      <c r="C212" s="1388"/>
      <c r="D212" s="592"/>
      <c r="E212" s="592"/>
      <c r="F212" s="592"/>
      <c r="G212" s="592"/>
      <c r="H212" s="592"/>
      <c r="I212" s="1395"/>
      <c r="J212" s="371" t="s">
        <v>162</v>
      </c>
      <c r="K212" s="1116">
        <v>539686.9</v>
      </c>
      <c r="L212" s="674">
        <f>539686.9-2.9+1046.1</f>
        <v>540730.1</v>
      </c>
      <c r="M212" s="476"/>
      <c r="N212" s="445">
        <f>29652.04+8954.91+3932.34+57670.74+5700+18604.14+38547.65+11641.39+22413.32+78216.34+113.9+38264.52-113.9-113.9+40221.59+12146.92+29652.04+8954.91+35137.82+10611.63+25416.02+7675.64+38548.04+3224.6+11641.51</f>
        <v>536714.21</v>
      </c>
      <c r="O212" s="365"/>
      <c r="P212" s="1099">
        <f t="shared" si="2"/>
        <v>99.257320796456497</v>
      </c>
      <c r="Q212" s="374"/>
    </row>
    <row r="213" spans="1:17" s="366" customFormat="1" ht="15.6" x14ac:dyDescent="0.3">
      <c r="A213" s="1376"/>
      <c r="B213" s="1377"/>
      <c r="C213" s="1379"/>
      <c r="D213" s="592"/>
      <c r="E213" s="592"/>
      <c r="F213" s="592"/>
      <c r="G213" s="592"/>
      <c r="H213" s="592"/>
      <c r="I213" s="1393"/>
      <c r="J213" s="371" t="s">
        <v>586</v>
      </c>
      <c r="K213" s="1116">
        <v>33713.1</v>
      </c>
      <c r="L213" s="674">
        <f>33713.1-1046.1</f>
        <v>32667</v>
      </c>
      <c r="M213" s="476"/>
      <c r="N213" s="445">
        <f>1767.46+3423.81+1335.61+1731.41+1770+6770+1770+9551.5+1770+1770+1007.21</f>
        <v>32667</v>
      </c>
      <c r="O213" s="365"/>
      <c r="P213" s="1099">
        <f t="shared" si="2"/>
        <v>100</v>
      </c>
      <c r="Q213" s="374"/>
    </row>
    <row r="214" spans="1:17" s="366" customFormat="1" ht="62.4" x14ac:dyDescent="0.3">
      <c r="A214" s="1376"/>
      <c r="B214" s="608" t="s">
        <v>1217</v>
      </c>
      <c r="C214" s="395" t="s">
        <v>1142</v>
      </c>
      <c r="D214" s="592"/>
      <c r="E214" s="592"/>
      <c r="F214" s="592"/>
      <c r="G214" s="592"/>
      <c r="H214" s="592"/>
      <c r="I214" s="594" t="s">
        <v>1305</v>
      </c>
      <c r="J214" s="371" t="s">
        <v>613</v>
      </c>
      <c r="K214" s="1128">
        <v>43977400</v>
      </c>
      <c r="L214" s="675">
        <f>43977400-56.79-2398764.17-799588.05</f>
        <v>40778990.990000002</v>
      </c>
      <c r="M214" s="476"/>
      <c r="N214" s="939">
        <f>2619427.54+595333.96+2415772.19+683972.58+2501762.64+714093.95+2735760.22+679286.64+2690562.84+672144.96+3701564.9+3550587.42+2766357.03+730749.04+2485074.28+812624.29+2478755.87+938191.88+46770.53+313538.41+4959440.44+1687219.38</f>
        <v>40778990.989999995</v>
      </c>
      <c r="O214" s="365"/>
      <c r="P214" s="1100">
        <f t="shared" si="2"/>
        <v>99.999999999999972</v>
      </c>
      <c r="Q214" s="1350" t="s">
        <v>1436</v>
      </c>
    </row>
    <row r="215" spans="1:17" s="366" customFormat="1" ht="15.6" x14ac:dyDescent="0.3">
      <c r="A215" s="1376"/>
      <c r="B215" s="1377" t="s">
        <v>1218</v>
      </c>
      <c r="C215" s="395" t="s">
        <v>1105</v>
      </c>
      <c r="D215" s="592"/>
      <c r="E215" s="592"/>
      <c r="F215" s="592"/>
      <c r="G215" s="592"/>
      <c r="H215" s="592"/>
      <c r="I215" s="594" t="s">
        <v>1313</v>
      </c>
      <c r="J215" s="371"/>
      <c r="K215" s="1128">
        <f>K216+K217</f>
        <v>155831300</v>
      </c>
      <c r="L215" s="422">
        <f>L216+L217</f>
        <v>154784950.44999999</v>
      </c>
      <c r="M215" s="476"/>
      <c r="N215" s="422">
        <f>N216+N217</f>
        <v>154784950.44999999</v>
      </c>
      <c r="O215" s="365"/>
      <c r="P215" s="1100">
        <f t="shared" si="2"/>
        <v>100</v>
      </c>
      <c r="Q215" s="1394"/>
    </row>
    <row r="216" spans="1:17" s="366" customFormat="1" ht="15.6" x14ac:dyDescent="0.3">
      <c r="A216" s="1376"/>
      <c r="B216" s="1377"/>
      <c r="C216" s="1388"/>
      <c r="D216" s="592"/>
      <c r="E216" s="592"/>
      <c r="F216" s="592"/>
      <c r="G216" s="592"/>
      <c r="H216" s="592"/>
      <c r="I216" s="1395"/>
      <c r="J216" s="371" t="s">
        <v>586</v>
      </c>
      <c r="K216" s="1116"/>
      <c r="L216" s="381"/>
      <c r="M216" s="476"/>
      <c r="N216" s="445"/>
      <c r="O216" s="365"/>
      <c r="P216" s="1100"/>
      <c r="Q216" s="1394"/>
    </row>
    <row r="217" spans="1:17" s="366" customFormat="1" ht="15.6" x14ac:dyDescent="0.3">
      <c r="A217" s="1376"/>
      <c r="B217" s="1377"/>
      <c r="C217" s="1379"/>
      <c r="D217" s="592"/>
      <c r="E217" s="592"/>
      <c r="F217" s="592"/>
      <c r="G217" s="592"/>
      <c r="H217" s="592"/>
      <c r="I217" s="1393"/>
      <c r="J217" s="371" t="s">
        <v>613</v>
      </c>
      <c r="K217" s="1116">
        <v>155831300</v>
      </c>
      <c r="L217" s="674">
        <f>155831300-50.43-1046299.12</f>
        <v>154784950.44999999</v>
      </c>
      <c r="M217" s="476"/>
      <c r="N217" s="445">
        <f>9004508.92+591141.05+12556560.11+488552.18+11893748.58+540298.1+12499910.88+540211.56+690980.37+14512375.96+29462273.57+1904156.99+10441643.46+120603.79+531115.04+10735594.85+12092057.8+526081.85+1339416.2+29709609.01-5395889.82</f>
        <v>154784950.44999999</v>
      </c>
      <c r="O217" s="365"/>
      <c r="P217" s="1100">
        <f t="shared" ref="P217:P249" si="3">N217/L217*100</f>
        <v>100</v>
      </c>
      <c r="Q217" s="1394"/>
    </row>
    <row r="218" spans="1:17" s="366" customFormat="1" ht="15.6" x14ac:dyDescent="0.3">
      <c r="A218" s="1376"/>
      <c r="B218" s="1377" t="s">
        <v>1368</v>
      </c>
      <c r="C218" s="1388" t="s">
        <v>1145</v>
      </c>
      <c r="D218" s="592"/>
      <c r="E218" s="592"/>
      <c r="F218" s="592"/>
      <c r="G218" s="592"/>
      <c r="H218" s="592"/>
      <c r="I218" s="1395" t="s">
        <v>1326</v>
      </c>
      <c r="J218" s="371"/>
      <c r="K218" s="1128">
        <f>K219+K220+K221</f>
        <v>7075400</v>
      </c>
      <c r="L218" s="422">
        <f>L220+L221+L219</f>
        <v>10826938.460000001</v>
      </c>
      <c r="M218" s="476"/>
      <c r="N218" s="422">
        <f>N220+N221+N219</f>
        <v>10826938.459999999</v>
      </c>
      <c r="O218" s="365"/>
      <c r="P218" s="1100">
        <f t="shared" si="3"/>
        <v>99.999999999999972</v>
      </c>
      <c r="Q218" s="1394"/>
    </row>
    <row r="219" spans="1:17" s="366" customFormat="1" ht="15.6" x14ac:dyDescent="0.3">
      <c r="A219" s="1376"/>
      <c r="B219" s="1377"/>
      <c r="C219" s="1405"/>
      <c r="D219" s="592"/>
      <c r="E219" s="592"/>
      <c r="F219" s="592"/>
      <c r="G219" s="592"/>
      <c r="H219" s="592"/>
      <c r="I219" s="1406"/>
      <c r="J219" s="371" t="s">
        <v>586</v>
      </c>
      <c r="K219" s="1116"/>
      <c r="L219" s="674">
        <f>50400-26720.95</f>
        <v>23679.05</v>
      </c>
      <c r="M219" s="476"/>
      <c r="N219" s="740">
        <f>5615.36+5627.77+12412.51+23.41</f>
        <v>23679.05</v>
      </c>
      <c r="O219" s="365"/>
      <c r="P219" s="1099">
        <f t="shared" si="3"/>
        <v>100</v>
      </c>
      <c r="Q219" s="1394"/>
    </row>
    <row r="220" spans="1:17" s="366" customFormat="1" ht="15.6" x14ac:dyDescent="0.3">
      <c r="A220" s="1376"/>
      <c r="B220" s="1377"/>
      <c r="C220" s="1405"/>
      <c r="D220" s="592"/>
      <c r="E220" s="592"/>
      <c r="F220" s="592"/>
      <c r="G220" s="592"/>
      <c r="H220" s="592"/>
      <c r="I220" s="1406"/>
      <c r="J220" s="371" t="s">
        <v>764</v>
      </c>
      <c r="K220" s="1116">
        <v>7075400</v>
      </c>
      <c r="L220" s="674">
        <f>7075400+22.92-4825400-50400+1000000+80000+219674.82+400</f>
        <v>3499697.7399999998</v>
      </c>
      <c r="M220" s="476"/>
      <c r="N220" s="445">
        <f>615180.58+275872.01+285664.98+562777.7+215247.82+221672.44+242467.16+282847.32+279314.25+518653.48</f>
        <v>3499697.7399999998</v>
      </c>
      <c r="O220" s="365"/>
      <c r="P220" s="1099">
        <f t="shared" si="3"/>
        <v>100</v>
      </c>
      <c r="Q220" s="1394"/>
    </row>
    <row r="221" spans="1:17" s="366" customFormat="1" ht="15.6" x14ac:dyDescent="0.3">
      <c r="A221" s="1376"/>
      <c r="B221" s="1377"/>
      <c r="C221" s="1379"/>
      <c r="D221" s="592"/>
      <c r="E221" s="592"/>
      <c r="F221" s="592"/>
      <c r="G221" s="592"/>
      <c r="H221" s="592"/>
      <c r="I221" s="1393"/>
      <c r="J221" s="371" t="s">
        <v>613</v>
      </c>
      <c r="K221" s="1116"/>
      <c r="L221" s="674">
        <f>4825400+2751515.54-53279.05-219674.82-400</f>
        <v>7303561.6699999999</v>
      </c>
      <c r="M221" s="476"/>
      <c r="N221" s="445">
        <f>1295117.99+274734.8+136154.6+189158.35+527701.61+166435.54+1007935.24+166769.69+695979.16+270763.3+315679.25+161141.26+420683.31+196484.85+288210.83+217182.95+744966.63+228462.31</f>
        <v>7303561.6699999981</v>
      </c>
      <c r="O221" s="365"/>
      <c r="P221" s="1099">
        <f t="shared" si="3"/>
        <v>99.999999999999972</v>
      </c>
      <c r="Q221" s="1394"/>
    </row>
    <row r="222" spans="1:17" s="366" customFormat="1" ht="46.8" hidden="1" x14ac:dyDescent="0.3">
      <c r="A222" s="1376"/>
      <c r="B222" s="608" t="s">
        <v>1220</v>
      </c>
      <c r="C222" s="1065" t="s">
        <v>1105</v>
      </c>
      <c r="D222" s="592"/>
      <c r="E222" s="592"/>
      <c r="F222" s="592"/>
      <c r="G222" s="592"/>
      <c r="H222" s="592"/>
      <c r="I222" s="610" t="s">
        <v>1189</v>
      </c>
      <c r="J222" s="371" t="s">
        <v>613</v>
      </c>
      <c r="K222" s="1116"/>
      <c r="L222" s="422"/>
      <c r="M222" s="476"/>
      <c r="N222" s="939"/>
      <c r="O222" s="365"/>
      <c r="P222" s="1100" t="e">
        <f t="shared" si="3"/>
        <v>#DIV/0!</v>
      </c>
      <c r="Q222" s="1394"/>
    </row>
    <row r="223" spans="1:17" s="366" customFormat="1" ht="46.8" x14ac:dyDescent="0.3">
      <c r="A223" s="1465"/>
      <c r="B223" s="748" t="s">
        <v>1420</v>
      </c>
      <c r="C223" s="1065" t="s">
        <v>1142</v>
      </c>
      <c r="D223" s="592"/>
      <c r="E223" s="592"/>
      <c r="F223" s="592"/>
      <c r="G223" s="592"/>
      <c r="H223" s="592"/>
      <c r="I223" s="610" t="s">
        <v>1419</v>
      </c>
      <c r="J223" s="371" t="s">
        <v>700</v>
      </c>
      <c r="K223" s="1116"/>
      <c r="L223" s="422">
        <v>2957120.27</v>
      </c>
      <c r="M223" s="476"/>
      <c r="N223" s="940">
        <v>2957120.27</v>
      </c>
      <c r="O223" s="365"/>
      <c r="P223" s="1100">
        <f t="shared" si="3"/>
        <v>100</v>
      </c>
      <c r="Q223" s="1466"/>
    </row>
    <row r="224" spans="1:17" s="366" customFormat="1" ht="15.6" x14ac:dyDescent="0.3">
      <c r="A224" s="1376"/>
      <c r="B224" s="1377" t="s">
        <v>1221</v>
      </c>
      <c r="C224" s="1065" t="s">
        <v>1143</v>
      </c>
      <c r="D224" s="592"/>
      <c r="E224" s="592"/>
      <c r="F224" s="592"/>
      <c r="G224" s="592"/>
      <c r="H224" s="592"/>
      <c r="I224" s="610" t="s">
        <v>1319</v>
      </c>
      <c r="J224" s="371"/>
      <c r="K224" s="1128">
        <f>K225+K226+K227</f>
        <v>1361000</v>
      </c>
      <c r="L224" s="422">
        <f>L226+L227+L225</f>
        <v>1566340</v>
      </c>
      <c r="M224" s="476"/>
      <c r="N224" s="422">
        <f>N226+N227+N225</f>
        <v>1566340</v>
      </c>
      <c r="O224" s="365"/>
      <c r="P224" s="1100">
        <f t="shared" si="3"/>
        <v>100</v>
      </c>
      <c r="Q224" s="1394"/>
    </row>
    <row r="225" spans="1:66" s="366" customFormat="1" ht="15.6" x14ac:dyDescent="0.3">
      <c r="A225" s="1376"/>
      <c r="B225" s="1377"/>
      <c r="C225" s="1065"/>
      <c r="D225" s="592"/>
      <c r="E225" s="592"/>
      <c r="F225" s="592"/>
      <c r="G225" s="592"/>
      <c r="H225" s="592"/>
      <c r="I225" s="610"/>
      <c r="J225" s="371" t="s">
        <v>586</v>
      </c>
      <c r="K225" s="1116"/>
      <c r="L225" s="381">
        <v>239030.39999999999</v>
      </c>
      <c r="M225" s="476"/>
      <c r="N225" s="740">
        <v>239030.39999999999</v>
      </c>
      <c r="O225" s="365"/>
      <c r="P225" s="1099">
        <f t="shared" si="3"/>
        <v>100</v>
      </c>
      <c r="Q225" s="1394"/>
    </row>
    <row r="226" spans="1:66" s="366" customFormat="1" ht="15.6" x14ac:dyDescent="0.3">
      <c r="A226" s="1376"/>
      <c r="B226" s="1377"/>
      <c r="C226" s="1065"/>
      <c r="D226" s="592"/>
      <c r="E226" s="592"/>
      <c r="F226" s="592"/>
      <c r="G226" s="592"/>
      <c r="H226" s="592"/>
      <c r="I226" s="610"/>
      <c r="J226" s="371" t="s">
        <v>764</v>
      </c>
      <c r="K226" s="1116"/>
      <c r="L226" s="381"/>
      <c r="M226" s="476"/>
      <c r="N226" s="445"/>
      <c r="O226" s="365"/>
      <c r="P226" s="1099"/>
      <c r="Q226" s="1394"/>
    </row>
    <row r="227" spans="1:66" s="366" customFormat="1" ht="15.6" x14ac:dyDescent="0.3">
      <c r="A227" s="1376"/>
      <c r="B227" s="1377"/>
      <c r="C227" s="1065"/>
      <c r="D227" s="592"/>
      <c r="E227" s="592"/>
      <c r="F227" s="592"/>
      <c r="G227" s="592"/>
      <c r="H227" s="592"/>
      <c r="I227" s="610"/>
      <c r="J227" s="371" t="s">
        <v>613</v>
      </c>
      <c r="K227" s="1116">
        <v>1361000</v>
      </c>
      <c r="L227" s="381">
        <f>1361000+130+205210-239030.4</f>
        <v>1327309.6000000001</v>
      </c>
      <c r="M227" s="476"/>
      <c r="N227" s="445">
        <v>1327309.6000000001</v>
      </c>
      <c r="O227" s="365"/>
      <c r="P227" s="1099">
        <f t="shared" si="3"/>
        <v>100</v>
      </c>
      <c r="Q227" s="1394"/>
    </row>
    <row r="228" spans="1:66" s="366" customFormat="1" ht="33" customHeight="1" x14ac:dyDescent="0.3">
      <c r="A228" s="1376"/>
      <c r="B228" s="748" t="s">
        <v>1396</v>
      </c>
      <c r="C228" s="550" t="s">
        <v>1398</v>
      </c>
      <c r="D228" s="592"/>
      <c r="E228" s="592"/>
      <c r="F228" s="592"/>
      <c r="G228" s="592"/>
      <c r="H228" s="592"/>
      <c r="I228" s="611" t="s">
        <v>1399</v>
      </c>
      <c r="J228" s="397" t="s">
        <v>613</v>
      </c>
      <c r="K228" s="1122"/>
      <c r="L228" s="612">
        <v>456000</v>
      </c>
      <c r="M228" s="476"/>
      <c r="N228" s="677">
        <v>456000</v>
      </c>
      <c r="O228" s="365"/>
      <c r="P228" s="1100">
        <f t="shared" si="3"/>
        <v>100</v>
      </c>
      <c r="Q228" s="1394"/>
    </row>
    <row r="229" spans="1:66" s="713" customFormat="1" ht="31.2" x14ac:dyDescent="0.3">
      <c r="A229" s="1376"/>
      <c r="B229" s="608" t="s">
        <v>1223</v>
      </c>
      <c r="C229" s="550" t="s">
        <v>1142</v>
      </c>
      <c r="D229" s="592"/>
      <c r="E229" s="592"/>
      <c r="F229" s="592"/>
      <c r="G229" s="592"/>
      <c r="H229" s="592"/>
      <c r="I229" s="611" t="s">
        <v>1371</v>
      </c>
      <c r="J229" s="397" t="s">
        <v>700</v>
      </c>
      <c r="K229" s="1122"/>
      <c r="L229" s="612">
        <f>1929041.48+80226.97</f>
        <v>2009268.45</v>
      </c>
      <c r="M229" s="476"/>
      <c r="N229" s="940">
        <f>1929041.48+80226.97</f>
        <v>2009268.45</v>
      </c>
      <c r="O229" s="712"/>
      <c r="P229" s="1100">
        <f t="shared" si="3"/>
        <v>100</v>
      </c>
      <c r="Q229" s="1394"/>
      <c r="S229" s="366"/>
      <c r="T229" s="366"/>
      <c r="U229" s="366"/>
      <c r="V229" s="366"/>
      <c r="W229" s="366"/>
      <c r="X229" s="366"/>
      <c r="Y229" s="366"/>
      <c r="Z229" s="366"/>
      <c r="AA229" s="366"/>
      <c r="AB229" s="366"/>
      <c r="AC229" s="366"/>
      <c r="AD229" s="366"/>
      <c r="AE229" s="366"/>
      <c r="AF229" s="366"/>
      <c r="AG229" s="366"/>
      <c r="AH229" s="366"/>
      <c r="AI229" s="366"/>
      <c r="AJ229" s="366"/>
      <c r="AK229" s="366"/>
      <c r="AL229" s="366"/>
      <c r="AM229" s="366"/>
      <c r="AN229" s="366"/>
      <c r="AO229" s="366"/>
      <c r="AP229" s="366"/>
      <c r="AQ229" s="366"/>
      <c r="AR229" s="366"/>
      <c r="AS229" s="366"/>
      <c r="AT229" s="366"/>
      <c r="AU229" s="366"/>
      <c r="AV229" s="366"/>
      <c r="AW229" s="366"/>
      <c r="AX229" s="366"/>
      <c r="AY229" s="366"/>
      <c r="AZ229" s="366"/>
      <c r="BA229" s="366"/>
      <c r="BB229" s="366"/>
      <c r="BC229" s="366"/>
      <c r="BD229" s="366"/>
      <c r="BE229" s="366"/>
      <c r="BF229" s="366"/>
      <c r="BG229" s="366"/>
      <c r="BH229" s="366"/>
      <c r="BI229" s="366"/>
      <c r="BJ229" s="366"/>
      <c r="BK229" s="366"/>
      <c r="BL229" s="366"/>
      <c r="BM229" s="366"/>
      <c r="BN229" s="366"/>
    </row>
    <row r="230" spans="1:66" s="366" customFormat="1" ht="46.8" hidden="1" x14ac:dyDescent="0.3">
      <c r="A230" s="1376"/>
      <c r="B230" s="608" t="s">
        <v>1224</v>
      </c>
      <c r="C230" s="550" t="s">
        <v>1105</v>
      </c>
      <c r="D230" s="592"/>
      <c r="E230" s="592"/>
      <c r="F230" s="592"/>
      <c r="G230" s="592"/>
      <c r="H230" s="592"/>
      <c r="I230" s="611" t="s">
        <v>1193</v>
      </c>
      <c r="J230" s="397" t="s">
        <v>613</v>
      </c>
      <c r="K230" s="1122"/>
      <c r="L230" s="612"/>
      <c r="M230" s="476"/>
      <c r="N230" s="940"/>
      <c r="O230" s="365"/>
      <c r="P230" s="1100" t="e">
        <f t="shared" si="3"/>
        <v>#DIV/0!</v>
      </c>
      <c r="Q230" s="1352"/>
    </row>
    <row r="231" spans="1:66" s="366" customFormat="1" ht="17.399999999999999" x14ac:dyDescent="0.3">
      <c r="A231" s="1365"/>
      <c r="B231" s="614" t="s">
        <v>483</v>
      </c>
      <c r="C231" s="615"/>
      <c r="D231" s="616"/>
      <c r="E231" s="616"/>
      <c r="F231" s="616"/>
      <c r="G231" s="616"/>
      <c r="H231" s="616"/>
      <c r="I231" s="617"/>
      <c r="J231" s="371"/>
      <c r="K231" s="422">
        <f>K211+K214+K215+K218+K222+K224+K228+K229+K230+K223</f>
        <v>208818500</v>
      </c>
      <c r="L231" s="422">
        <f>L211+L214+L215+L218+L222+L224+L228+L229+L230+L223</f>
        <v>213953005.72</v>
      </c>
      <c r="M231" s="625"/>
      <c r="N231" s="422">
        <f>N211+N214+N215+N218+N222+N224+N228+N229+N230+N223</f>
        <v>213948989.82999998</v>
      </c>
      <c r="O231" s="365"/>
      <c r="P231" s="1100">
        <f t="shared" si="3"/>
        <v>99.998123003700513</v>
      </c>
      <c r="Q231" s="619"/>
    </row>
    <row r="232" spans="1:66" s="366" customFormat="1" ht="36" x14ac:dyDescent="0.35">
      <c r="A232" s="1067">
        <v>13</v>
      </c>
      <c r="B232" s="620" t="s">
        <v>1164</v>
      </c>
      <c r="C232" s="395" t="s">
        <v>1109</v>
      </c>
      <c r="D232" s="592"/>
      <c r="E232" s="592"/>
      <c r="F232" s="592"/>
      <c r="G232" s="592"/>
      <c r="H232" s="592"/>
      <c r="I232" s="611"/>
      <c r="J232" s="397"/>
      <c r="K232" s="1122"/>
      <c r="L232" s="612">
        <f>L233+L234+L235</f>
        <v>0</v>
      </c>
      <c r="M232" s="625"/>
      <c r="N232" s="612"/>
      <c r="O232" s="365"/>
      <c r="P232" s="1100"/>
      <c r="Q232" s="1106" t="s">
        <v>151</v>
      </c>
    </row>
    <row r="233" spans="1:66" s="366" customFormat="1" ht="46.8" hidden="1" x14ac:dyDescent="0.3">
      <c r="A233" s="1067">
        <v>14</v>
      </c>
      <c r="B233" s="621" t="s">
        <v>1165</v>
      </c>
      <c r="C233" s="395" t="s">
        <v>1109</v>
      </c>
      <c r="D233" s="592"/>
      <c r="E233" s="592"/>
      <c r="F233" s="592"/>
      <c r="G233" s="592"/>
      <c r="H233" s="592"/>
      <c r="I233" s="611" t="s">
        <v>1166</v>
      </c>
      <c r="J233" s="397" t="s">
        <v>700</v>
      </c>
      <c r="K233" s="1122"/>
      <c r="L233" s="612"/>
      <c r="M233" s="625"/>
      <c r="N233" s="622"/>
      <c r="O233" s="365"/>
      <c r="P233" s="1100" t="e">
        <f t="shared" si="3"/>
        <v>#DIV/0!</v>
      </c>
      <c r="Q233" s="619"/>
    </row>
    <row r="234" spans="1:66" s="366" customFormat="1" ht="31.2" hidden="1" x14ac:dyDescent="0.3">
      <c r="A234" s="1067">
        <v>15</v>
      </c>
      <c r="B234" s="466" t="s">
        <v>1176</v>
      </c>
      <c r="C234" s="451" t="s">
        <v>1109</v>
      </c>
      <c r="I234" s="531" t="s">
        <v>1177</v>
      </c>
      <c r="J234" s="397" t="s">
        <v>700</v>
      </c>
      <c r="K234" s="1122"/>
      <c r="L234" s="612"/>
      <c r="M234" s="625"/>
      <c r="N234" s="622"/>
      <c r="O234" s="365"/>
      <c r="P234" s="1100" t="e">
        <f t="shared" si="3"/>
        <v>#DIV/0!</v>
      </c>
      <c r="Q234" s="619"/>
    </row>
    <row r="235" spans="1:66" s="366" customFormat="1" ht="15.6" hidden="1" x14ac:dyDescent="0.3">
      <c r="A235" s="1067">
        <v>16</v>
      </c>
      <c r="B235" s="521" t="s">
        <v>1207</v>
      </c>
      <c r="C235" s="451" t="s">
        <v>1111</v>
      </c>
      <c r="I235" s="531" t="s">
        <v>1208</v>
      </c>
      <c r="J235" s="397" t="s">
        <v>764</v>
      </c>
      <c r="K235" s="1122"/>
      <c r="L235" s="612"/>
      <c r="M235" s="625"/>
      <c r="N235" s="612"/>
      <c r="O235" s="365"/>
      <c r="P235" s="1100" t="e">
        <f t="shared" si="3"/>
        <v>#DIV/0!</v>
      </c>
      <c r="Q235" s="619"/>
    </row>
    <row r="236" spans="1:66" s="366" customFormat="1" ht="18" hidden="1" x14ac:dyDescent="0.35">
      <c r="A236" s="1067">
        <v>17</v>
      </c>
      <c r="B236" s="623" t="s">
        <v>322</v>
      </c>
      <c r="C236" s="451" t="s">
        <v>1159</v>
      </c>
      <c r="I236" s="531" t="s">
        <v>1178</v>
      </c>
      <c r="J236" s="397" t="s">
        <v>813</v>
      </c>
      <c r="K236" s="1122"/>
      <c r="L236" s="612"/>
      <c r="M236" s="625"/>
      <c r="N236" s="612"/>
      <c r="O236" s="365"/>
      <c r="P236" s="1100" t="e">
        <f t="shared" si="3"/>
        <v>#DIV/0!</v>
      </c>
      <c r="Q236" s="448" t="s">
        <v>1179</v>
      </c>
    </row>
    <row r="237" spans="1:66" s="366" customFormat="1" ht="46.8" hidden="1" x14ac:dyDescent="0.3">
      <c r="A237" s="1067">
        <v>18</v>
      </c>
      <c r="B237" s="466" t="s">
        <v>1199</v>
      </c>
      <c r="C237" s="451" t="s">
        <v>1103</v>
      </c>
      <c r="I237" s="531" t="s">
        <v>1200</v>
      </c>
      <c r="J237" s="397" t="s">
        <v>586</v>
      </c>
      <c r="K237" s="1122"/>
      <c r="L237" s="612"/>
      <c r="M237" s="625"/>
      <c r="N237" s="612"/>
      <c r="O237" s="365"/>
      <c r="P237" s="1100" t="e">
        <f t="shared" si="3"/>
        <v>#DIV/0!</v>
      </c>
      <c r="Q237" s="432" t="s">
        <v>151</v>
      </c>
    </row>
    <row r="238" spans="1:66" s="474" customFormat="1" ht="62.4" x14ac:dyDescent="0.3">
      <c r="A238" s="624">
        <v>14</v>
      </c>
      <c r="B238" s="423" t="s">
        <v>601</v>
      </c>
      <c r="C238" s="550" t="s">
        <v>1227</v>
      </c>
      <c r="I238" s="611" t="s">
        <v>1228</v>
      </c>
      <c r="J238" s="397" t="s">
        <v>586</v>
      </c>
      <c r="K238" s="1129">
        <v>24200</v>
      </c>
      <c r="L238" s="612">
        <f>24200-13.73</f>
        <v>24186.27</v>
      </c>
      <c r="M238" s="625"/>
      <c r="N238" s="612">
        <f>10250+13936.27</f>
        <v>24186.27</v>
      </c>
      <c r="O238" s="476"/>
      <c r="P238" s="1099">
        <f t="shared" si="3"/>
        <v>100</v>
      </c>
      <c r="Q238" s="432"/>
    </row>
    <row r="239" spans="1:66" s="474" customFormat="1" ht="31.2" x14ac:dyDescent="0.3">
      <c r="A239" s="624">
        <v>15</v>
      </c>
      <c r="B239" s="416" t="s">
        <v>1369</v>
      </c>
      <c r="C239" s="550" t="s">
        <v>1109</v>
      </c>
      <c r="I239" s="611" t="s">
        <v>1370</v>
      </c>
      <c r="J239" s="397" t="s">
        <v>700</v>
      </c>
      <c r="K239" s="1122"/>
      <c r="L239" s="710">
        <f>7065202.59+155395336+188511872+155551-761200</f>
        <v>350366761.59000003</v>
      </c>
      <c r="M239" s="625"/>
      <c r="N239" s="612">
        <f>2660770.7-761200</f>
        <v>1899570.7000000002</v>
      </c>
      <c r="O239" s="476"/>
      <c r="P239" s="1099">
        <f t="shared" si="3"/>
        <v>0.54216635487326337</v>
      </c>
      <c r="Q239" s="432"/>
    </row>
    <row r="240" spans="1:66" ht="21" x14ac:dyDescent="0.4">
      <c r="A240" s="1139"/>
      <c r="B240" s="1131" t="s">
        <v>1151</v>
      </c>
      <c r="C240" s="1140"/>
      <c r="D240" s="1140"/>
      <c r="E240" s="1140"/>
      <c r="F240" s="1140"/>
      <c r="G240" s="1140"/>
      <c r="H240" s="1140"/>
      <c r="I240" s="1141"/>
      <c r="J240" s="1142"/>
      <c r="K240" s="1143">
        <f>K184+K190+K191+K193+K195+K196+K200+K201+K202+K206+K207+K231+K232+K234+K236+K237+K238+K203+K239+K204+K192+K199+K187+K194+K205</f>
        <v>321860500</v>
      </c>
      <c r="L240" s="1143">
        <f>L184+L190+L191+L193+L195+L196+L200+L201+L202+L206+L207+L231+L232+L234+L236+L237+L238+L203+L239+L204+L192+L199+L187+L194</f>
        <v>684960504.72000003</v>
      </c>
      <c r="M240" s="1144"/>
      <c r="N240" s="1143">
        <f>N184+N190+N191+N193+N195+N196+N200+N201+N202+N206+N207+N231+N232+N234+N236+N237+N238+N203+N239+N204+N192+N199+N187+N194</f>
        <v>335407468.43999994</v>
      </c>
      <c r="O240" s="1144"/>
      <c r="P240" s="1138">
        <f t="shared" si="3"/>
        <v>48.967417264022941</v>
      </c>
      <c r="Q240" s="1144"/>
    </row>
    <row r="241" spans="1:17" ht="46.8" x14ac:dyDescent="0.3">
      <c r="A241" s="444">
        <v>1</v>
      </c>
      <c r="B241" s="423" t="s">
        <v>513</v>
      </c>
      <c r="C241" s="1064" t="s">
        <v>1113</v>
      </c>
      <c r="D241" s="586"/>
      <c r="E241" s="586"/>
      <c r="F241" s="586"/>
      <c r="G241" s="586"/>
      <c r="H241" s="586"/>
      <c r="I241" s="587" t="s">
        <v>1291</v>
      </c>
      <c r="J241" s="834" t="s">
        <v>700</v>
      </c>
      <c r="K241" s="1116">
        <v>0</v>
      </c>
      <c r="L241" s="421">
        <f>4356000+1089000-101384</f>
        <v>5343616</v>
      </c>
      <c r="M241" s="474"/>
      <c r="N241" s="939">
        <f>195424+1705632+10432+850208+2545408</f>
        <v>5307104</v>
      </c>
      <c r="O241" s="366"/>
      <c r="P241" s="1100">
        <f t="shared" si="3"/>
        <v>99.316717368912734</v>
      </c>
      <c r="Q241" s="595" t="s">
        <v>151</v>
      </c>
    </row>
    <row r="242" spans="1:17" ht="15.6" x14ac:dyDescent="0.3">
      <c r="A242" s="1460">
        <v>2</v>
      </c>
      <c r="B242" s="1420" t="s">
        <v>1390</v>
      </c>
      <c r="C242" s="395" t="s">
        <v>1111</v>
      </c>
      <c r="D242" s="592"/>
      <c r="E242" s="592"/>
      <c r="F242" s="592"/>
      <c r="G242" s="592"/>
      <c r="H242" s="592"/>
      <c r="I242" s="397" t="s">
        <v>1391</v>
      </c>
      <c r="J242" s="397" t="s">
        <v>764</v>
      </c>
      <c r="K242" s="1122">
        <v>0</v>
      </c>
      <c r="L242" s="612">
        <f>400000-400000</f>
        <v>0</v>
      </c>
      <c r="M242" s="474"/>
      <c r="N242" s="939"/>
      <c r="O242" s="366"/>
      <c r="P242" s="1100"/>
      <c r="Q242" s="595"/>
    </row>
    <row r="243" spans="1:17" ht="15.6" x14ac:dyDescent="0.3">
      <c r="A243" s="1419"/>
      <c r="B243" s="1421"/>
      <c r="C243" s="395" t="s">
        <v>1111</v>
      </c>
      <c r="D243" s="592"/>
      <c r="E243" s="592"/>
      <c r="F243" s="592"/>
      <c r="G243" s="592"/>
      <c r="H243" s="592"/>
      <c r="I243" s="397" t="s">
        <v>1406</v>
      </c>
      <c r="J243" s="397" t="s">
        <v>764</v>
      </c>
      <c r="K243" s="1122">
        <v>0</v>
      </c>
      <c r="L243" s="612">
        <v>400000</v>
      </c>
      <c r="M243" s="474"/>
      <c r="N243" s="939">
        <v>400000</v>
      </c>
      <c r="O243" s="366"/>
      <c r="P243" s="1100">
        <f t="shared" si="3"/>
        <v>100</v>
      </c>
      <c r="Q243" s="595"/>
    </row>
    <row r="244" spans="1:17" ht="32.4" x14ac:dyDescent="0.4">
      <c r="A244" s="444">
        <v>3</v>
      </c>
      <c r="B244" s="348" t="s">
        <v>1378</v>
      </c>
      <c r="C244" s="835" t="s">
        <v>1130</v>
      </c>
      <c r="I244" s="836" t="s">
        <v>1379</v>
      </c>
      <c r="J244" s="1092" t="s">
        <v>586</v>
      </c>
      <c r="K244" s="1123">
        <v>0</v>
      </c>
      <c r="L244" s="1105">
        <f>638410.08-95763.09+95763.09-95763.09</f>
        <v>542646.99</v>
      </c>
      <c r="M244" s="1017"/>
      <c r="N244" s="443">
        <f>3500+502150+13857.99</f>
        <v>519507.99</v>
      </c>
      <c r="O244" s="354"/>
      <c r="P244" s="1099">
        <f t="shared" si="3"/>
        <v>95.735901898211949</v>
      </c>
      <c r="Q244" s="1107" t="s">
        <v>151</v>
      </c>
    </row>
    <row r="245" spans="1:17" ht="63.6" hidden="1" x14ac:dyDescent="0.4">
      <c r="A245" s="444">
        <v>2</v>
      </c>
      <c r="B245" s="115" t="s">
        <v>1210</v>
      </c>
      <c r="C245" s="351" t="s">
        <v>1105</v>
      </c>
      <c r="I245" s="357" t="s">
        <v>1211</v>
      </c>
      <c r="J245" s="415" t="s">
        <v>613</v>
      </c>
      <c r="K245" s="1123"/>
      <c r="L245" s="677"/>
      <c r="M245" s="1017"/>
      <c r="N245" s="440"/>
      <c r="O245" s="354"/>
      <c r="P245" s="1099" t="e">
        <f t="shared" si="3"/>
        <v>#DIV/0!</v>
      </c>
      <c r="Q245" s="342" t="s">
        <v>1152</v>
      </c>
    </row>
    <row r="246" spans="1:17" ht="39" customHeight="1" x14ac:dyDescent="0.4">
      <c r="A246" s="444">
        <v>4</v>
      </c>
      <c r="B246" s="748" t="s">
        <v>1396</v>
      </c>
      <c r="C246" s="351" t="s">
        <v>1105</v>
      </c>
      <c r="I246" s="357" t="s">
        <v>1397</v>
      </c>
      <c r="J246" s="415" t="s">
        <v>613</v>
      </c>
      <c r="K246" s="1123">
        <v>0</v>
      </c>
      <c r="L246" s="677">
        <v>1064000</v>
      </c>
      <c r="M246" s="1017"/>
      <c r="N246" s="440">
        <f>541011.66+522988.34</f>
        <v>1064000</v>
      </c>
      <c r="O246" s="354"/>
      <c r="P246" s="1099">
        <f t="shared" si="3"/>
        <v>100</v>
      </c>
      <c r="Q246" s="342"/>
    </row>
    <row r="247" spans="1:17" ht="19.2" customHeight="1" x14ac:dyDescent="0.4">
      <c r="A247" s="444"/>
      <c r="B247" s="115"/>
      <c r="C247" s="351"/>
      <c r="I247" s="357"/>
      <c r="J247" s="415"/>
      <c r="K247" s="1123"/>
      <c r="L247" s="677"/>
      <c r="M247" s="408"/>
      <c r="N247" s="440"/>
      <c r="O247" s="354"/>
      <c r="P247" s="1100"/>
      <c r="Q247" s="342"/>
    </row>
    <row r="248" spans="1:17" ht="21" hidden="1" x14ac:dyDescent="0.4">
      <c r="A248" s="444"/>
      <c r="B248" s="115"/>
      <c r="C248" s="351"/>
      <c r="I248" s="357"/>
      <c r="J248" s="415"/>
      <c r="K248" s="1123"/>
      <c r="L248" s="677"/>
      <c r="M248" s="408"/>
      <c r="N248" s="440"/>
      <c r="O248" s="354"/>
      <c r="P248" s="1100"/>
      <c r="Q248" s="342"/>
    </row>
    <row r="249" spans="1:17" ht="21" x14ac:dyDescent="0.4">
      <c r="A249" s="1139"/>
      <c r="B249" s="1131" t="s">
        <v>1212</v>
      </c>
      <c r="C249" s="1140"/>
      <c r="D249" s="1140"/>
      <c r="E249" s="1140"/>
      <c r="F249" s="1140"/>
      <c r="G249" s="1140"/>
      <c r="H249" s="1140"/>
      <c r="I249" s="1142"/>
      <c r="J249" s="1142"/>
      <c r="K249" s="1145">
        <f>K241+K244+K242+K246+K243</f>
        <v>0</v>
      </c>
      <c r="L249" s="1143">
        <f>L241+L244+L242+L246+L243</f>
        <v>7350262.9900000002</v>
      </c>
      <c r="M249" s="1144"/>
      <c r="N249" s="1145">
        <f>N241+N244+N242+N246+N243</f>
        <v>7290611.9900000002</v>
      </c>
      <c r="O249" s="1144"/>
      <c r="P249" s="1138">
        <f t="shared" si="3"/>
        <v>99.18845080671052</v>
      </c>
      <c r="Q249" s="1144"/>
    </row>
    <row r="252" spans="1:17" ht="18" x14ac:dyDescent="0.35">
      <c r="A252" s="331"/>
      <c r="B252" s="331"/>
      <c r="C252" s="331"/>
      <c r="D252" s="331"/>
      <c r="E252" s="331"/>
      <c r="F252" s="331"/>
      <c r="G252" s="331"/>
      <c r="H252" s="331"/>
      <c r="I252" s="355"/>
      <c r="J252" s="355"/>
      <c r="K252" s="355"/>
      <c r="L252" s="681"/>
      <c r="M252" s="355"/>
      <c r="N252" s="331"/>
      <c r="O252" s="331"/>
      <c r="P252" s="331"/>
      <c r="Q252" s="331"/>
    </row>
    <row r="253" spans="1:17" ht="18" x14ac:dyDescent="0.35">
      <c r="A253" s="331"/>
      <c r="B253" s="331"/>
      <c r="C253" s="331"/>
      <c r="D253" s="331"/>
      <c r="E253" s="331"/>
      <c r="F253" s="331"/>
      <c r="G253" s="331"/>
      <c r="H253" s="331"/>
      <c r="I253" s="355"/>
      <c r="J253" s="355"/>
      <c r="K253" s="355"/>
      <c r="L253" s="681"/>
      <c r="M253" s="355"/>
      <c r="N253" s="331"/>
      <c r="O253" s="1391"/>
      <c r="P253" s="1391"/>
      <c r="Q253" s="1391"/>
    </row>
    <row r="254" spans="1:17" ht="18" x14ac:dyDescent="0.35">
      <c r="A254" s="331"/>
      <c r="B254" s="331"/>
      <c r="C254" s="331"/>
      <c r="D254" s="331"/>
      <c r="E254" s="331"/>
      <c r="F254" s="331"/>
      <c r="G254" s="331"/>
      <c r="H254" s="331"/>
      <c r="I254" s="355"/>
      <c r="J254" s="355"/>
      <c r="K254" s="355"/>
      <c r="L254" s="681"/>
      <c r="M254" s="355"/>
      <c r="N254" s="331"/>
      <c r="O254" s="331"/>
      <c r="P254" s="331"/>
      <c r="Q254" s="331"/>
    </row>
    <row r="255" spans="1:17" ht="18" x14ac:dyDescent="0.35">
      <c r="A255" s="331"/>
      <c r="B255" s="331"/>
      <c r="C255" s="331"/>
      <c r="D255" s="331"/>
      <c r="E255" s="331"/>
      <c r="F255" s="331"/>
      <c r="G255" s="331"/>
      <c r="H255" s="331"/>
      <c r="I255" s="355"/>
      <c r="J255" s="355"/>
      <c r="K255" s="355"/>
      <c r="L255" s="681"/>
      <c r="M255" s="355"/>
      <c r="N255" s="331"/>
      <c r="O255" s="331"/>
      <c r="P255" s="331"/>
      <c r="Q255" s="331"/>
    </row>
    <row r="256" spans="1:17" ht="18" x14ac:dyDescent="0.35">
      <c r="A256" s="331"/>
      <c r="B256" s="331"/>
      <c r="C256" s="331"/>
      <c r="D256" s="331"/>
      <c r="E256" s="331"/>
      <c r="F256" s="331"/>
      <c r="G256" s="331"/>
      <c r="H256" s="331"/>
      <c r="I256" s="355"/>
      <c r="J256" s="355"/>
      <c r="K256" s="355"/>
      <c r="L256" s="681"/>
      <c r="M256" s="355"/>
      <c r="N256" s="331"/>
      <c r="O256" s="331"/>
      <c r="P256" s="331"/>
      <c r="Q256" s="331"/>
    </row>
    <row r="258" spans="1:14" ht="15.6" x14ac:dyDescent="0.3">
      <c r="A258" s="420"/>
      <c r="B258" s="414"/>
      <c r="C258" s="417"/>
      <c r="D258" s="336"/>
      <c r="E258" s="336"/>
      <c r="F258" s="336"/>
      <c r="G258" s="336"/>
      <c r="H258" s="336"/>
      <c r="I258" s="418"/>
      <c r="J258" s="418"/>
      <c r="K258" s="418"/>
      <c r="L258" s="367"/>
    </row>
    <row r="261" spans="1:14" ht="15.6" x14ac:dyDescent="0.3">
      <c r="B261" s="414"/>
      <c r="C261" s="417"/>
      <c r="D261" s="336"/>
      <c r="E261" s="336"/>
      <c r="F261" s="336"/>
      <c r="G261" s="336"/>
      <c r="H261" s="336"/>
      <c r="I261" s="418"/>
      <c r="J261" s="418"/>
      <c r="K261" s="418"/>
      <c r="L261" s="582"/>
      <c r="M261" s="336"/>
      <c r="N261" s="336"/>
    </row>
    <row r="262" spans="1:14" x14ac:dyDescent="0.3">
      <c r="B262" s="336"/>
      <c r="C262" s="336"/>
      <c r="D262" s="336"/>
      <c r="E262" s="336"/>
      <c r="F262" s="336"/>
      <c r="G262" s="336"/>
      <c r="H262" s="336"/>
      <c r="I262" s="336"/>
      <c r="J262" s="336"/>
      <c r="K262" s="336"/>
      <c r="L262" s="367"/>
      <c r="M262" s="336"/>
      <c r="N262" s="336"/>
    </row>
  </sheetData>
  <mergeCells count="145">
    <mergeCell ref="C15:K15"/>
    <mergeCell ref="K17:K20"/>
    <mergeCell ref="A242:A243"/>
    <mergeCell ref="B242:B243"/>
    <mergeCell ref="O253:Q253"/>
    <mergeCell ref="A210:A231"/>
    <mergeCell ref="B211:B213"/>
    <mergeCell ref="C212:C213"/>
    <mergeCell ref="I212:I213"/>
    <mergeCell ref="Q214:Q230"/>
    <mergeCell ref="B215:B217"/>
    <mergeCell ref="C216:C217"/>
    <mergeCell ref="I216:I217"/>
    <mergeCell ref="B218:B221"/>
    <mergeCell ref="C218:C221"/>
    <mergeCell ref="I218:I221"/>
    <mergeCell ref="B224:B227"/>
    <mergeCell ref="A196:A198"/>
    <mergeCell ref="B196:B198"/>
    <mergeCell ref="C197:C198"/>
    <mergeCell ref="I197:I198"/>
    <mergeCell ref="A199:A200"/>
    <mergeCell ref="B199:B200"/>
    <mergeCell ref="C199:C200"/>
    <mergeCell ref="I199:I200"/>
    <mergeCell ref="A207:A209"/>
    <mergeCell ref="B207:B209"/>
    <mergeCell ref="Q131:Q133"/>
    <mergeCell ref="I148:I150"/>
    <mergeCell ref="A151:A154"/>
    <mergeCell ref="B151:B154"/>
    <mergeCell ref="C152:C154"/>
    <mergeCell ref="I152:I154"/>
    <mergeCell ref="Q157:Q170"/>
    <mergeCell ref="B169:B171"/>
    <mergeCell ref="C169:C170"/>
    <mergeCell ref="I169:I171"/>
    <mergeCell ref="A194:A195"/>
    <mergeCell ref="B194:B195"/>
    <mergeCell ref="C194:C195"/>
    <mergeCell ref="I194:I195"/>
    <mergeCell ref="Q172:Q174"/>
    <mergeCell ref="Q178:Q179"/>
    <mergeCell ref="A184:A186"/>
    <mergeCell ref="B184:B186"/>
    <mergeCell ref="B187:B189"/>
    <mergeCell ref="C187:C189"/>
    <mergeCell ref="I187:I189"/>
    <mergeCell ref="A192:A193"/>
    <mergeCell ref="A2:B2"/>
    <mergeCell ref="N2:Q2"/>
    <mergeCell ref="A3:B3"/>
    <mergeCell ref="N3:Q3"/>
    <mergeCell ref="A4:B4"/>
    <mergeCell ref="A5:B5"/>
    <mergeCell ref="A10:B10"/>
    <mergeCell ref="I10:Q10"/>
    <mergeCell ref="A11:B11"/>
    <mergeCell ref="I11:Q11"/>
    <mergeCell ref="A12:B12"/>
    <mergeCell ref="A14:Q14"/>
    <mergeCell ref="A6:B6"/>
    <mergeCell ref="A7:B7"/>
    <mergeCell ref="A8:B8"/>
    <mergeCell ref="I8:Q8"/>
    <mergeCell ref="A9:B9"/>
    <mergeCell ref="I9:Q9"/>
    <mergeCell ref="B22:B23"/>
    <mergeCell ref="C22:C23"/>
    <mergeCell ref="I22:I23"/>
    <mergeCell ref="M17:M19"/>
    <mergeCell ref="N17:N20"/>
    <mergeCell ref="O17:O19"/>
    <mergeCell ref="Q17:R17"/>
    <mergeCell ref="Q18:Q20"/>
    <mergeCell ref="R18:R20"/>
    <mergeCell ref="A17:A20"/>
    <mergeCell ref="B17:B20"/>
    <mergeCell ref="C17:C20"/>
    <mergeCell ref="I17:I20"/>
    <mergeCell ref="J17:J20"/>
    <mergeCell ref="L17:L20"/>
    <mergeCell ref="Q22:Q30"/>
    <mergeCell ref="Q98:Q101"/>
    <mergeCell ref="I30:I31"/>
    <mergeCell ref="Q32:Q33"/>
    <mergeCell ref="Q38:Q41"/>
    <mergeCell ref="Q44:Q47"/>
    <mergeCell ref="Q50:Q58"/>
    <mergeCell ref="B52:B53"/>
    <mergeCell ref="I52:I53"/>
    <mergeCell ref="A55:A56"/>
    <mergeCell ref="B55:B56"/>
    <mergeCell ref="I55:I56"/>
    <mergeCell ref="I62:I63"/>
    <mergeCell ref="Q65:Q68"/>
    <mergeCell ref="A67:A68"/>
    <mergeCell ref="B67:B68"/>
    <mergeCell ref="Q72:Q73"/>
    <mergeCell ref="Q76:Q78"/>
    <mergeCell ref="Q82:Q85"/>
    <mergeCell ref="A88:A91"/>
    <mergeCell ref="B88:B91"/>
    <mergeCell ref="Q88:Q96"/>
    <mergeCell ref="A93:A94"/>
    <mergeCell ref="B93:B94"/>
    <mergeCell ref="I93:I94"/>
    <mergeCell ref="A126:A127"/>
    <mergeCell ref="B126:B127"/>
    <mergeCell ref="I126:I127"/>
    <mergeCell ref="A24:A25"/>
    <mergeCell ref="B24:B25"/>
    <mergeCell ref="C24:C25"/>
    <mergeCell ref="I24:I25"/>
    <mergeCell ref="A30:A31"/>
    <mergeCell ref="B30:B31"/>
    <mergeCell ref="A98:A101"/>
    <mergeCell ref="B98:B101"/>
    <mergeCell ref="B96:B97"/>
    <mergeCell ref="C96:C97"/>
    <mergeCell ref="I96:I97"/>
    <mergeCell ref="B192:B193"/>
    <mergeCell ref="C192:C193"/>
    <mergeCell ref="I192:I193"/>
    <mergeCell ref="A103:A106"/>
    <mergeCell ref="B103:B106"/>
    <mergeCell ref="Q104:Q106"/>
    <mergeCell ref="C105:C106"/>
    <mergeCell ref="I105:I106"/>
    <mergeCell ref="A107:A110"/>
    <mergeCell ref="B107:B110"/>
    <mergeCell ref="Q107:Q118"/>
    <mergeCell ref="Q135:Q155"/>
    <mergeCell ref="A142:A144"/>
    <mergeCell ref="B142:B144"/>
    <mergeCell ref="C142:C144"/>
    <mergeCell ref="I142:I144"/>
    <mergeCell ref="A147:A150"/>
    <mergeCell ref="B147:B150"/>
    <mergeCell ref="C148:C150"/>
    <mergeCell ref="A111:A112"/>
    <mergeCell ref="B111:B112"/>
    <mergeCell ref="I111:I112"/>
    <mergeCell ref="Q121:Q124"/>
    <mergeCell ref="Q125:Q126"/>
  </mergeCells>
  <pageMargins left="0.70866141732283472" right="0.70866141732283472" top="0.74803149606299213" bottom="0.74803149606299213" header="0.31496062992125984" footer="0.31496062992125984"/>
  <pageSetup paperSize="9" scale="56" fitToHeight="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topLeftCell="A4" zoomScaleNormal="100" workbookViewId="0">
      <selection activeCell="D53" sqref="D53"/>
    </sheetView>
  </sheetViews>
  <sheetFormatPr defaultRowHeight="14.4" x14ac:dyDescent="0.3"/>
  <cols>
    <col min="1" max="1" width="10.6640625" customWidth="1"/>
    <col min="2" max="2" width="6.6640625" customWidth="1"/>
    <col min="3" max="3" width="45.109375" customWidth="1"/>
    <col min="4" max="4" width="24" customWidth="1"/>
    <col min="5" max="6" width="20.33203125" customWidth="1"/>
    <col min="7" max="7" width="0.109375" customWidth="1"/>
    <col min="8" max="8" width="9" hidden="1" customWidth="1"/>
    <col min="9" max="11" width="9.109375" hidden="1" customWidth="1"/>
    <col min="13" max="15" width="13.5546875" bestFit="1" customWidth="1"/>
    <col min="257" max="257" width="10.6640625" customWidth="1"/>
    <col min="258" max="258" width="6.6640625" customWidth="1"/>
    <col min="259" max="259" width="30.6640625" customWidth="1"/>
    <col min="260" max="262" width="15.44140625" customWidth="1"/>
    <col min="263" max="263" width="13.109375" customWidth="1"/>
    <col min="264" max="266" width="9.109375" customWidth="1"/>
    <col min="513" max="513" width="10.6640625" customWidth="1"/>
    <col min="514" max="514" width="6.6640625" customWidth="1"/>
    <col min="515" max="515" width="30.6640625" customWidth="1"/>
    <col min="516" max="518" width="15.44140625" customWidth="1"/>
    <col min="519" max="519" width="13.109375" customWidth="1"/>
    <col min="520" max="522" width="9.109375" customWidth="1"/>
    <col min="769" max="769" width="10.6640625" customWidth="1"/>
    <col min="770" max="770" width="6.6640625" customWidth="1"/>
    <col min="771" max="771" width="30.6640625" customWidth="1"/>
    <col min="772" max="774" width="15.44140625" customWidth="1"/>
    <col min="775" max="775" width="13.109375" customWidth="1"/>
    <col min="776" max="778" width="9.109375" customWidth="1"/>
    <col min="1025" max="1025" width="10.6640625" customWidth="1"/>
    <col min="1026" max="1026" width="6.6640625" customWidth="1"/>
    <col min="1027" max="1027" width="30.6640625" customWidth="1"/>
    <col min="1028" max="1030" width="15.44140625" customWidth="1"/>
    <col min="1031" max="1031" width="13.109375" customWidth="1"/>
    <col min="1032" max="1034" width="9.109375" customWidth="1"/>
    <col min="1281" max="1281" width="10.6640625" customWidth="1"/>
    <col min="1282" max="1282" width="6.6640625" customWidth="1"/>
    <col min="1283" max="1283" width="30.6640625" customWidth="1"/>
    <col min="1284" max="1286" width="15.44140625" customWidth="1"/>
    <col min="1287" max="1287" width="13.109375" customWidth="1"/>
    <col min="1288" max="1290" width="9.109375" customWidth="1"/>
    <col min="1537" max="1537" width="10.6640625" customWidth="1"/>
    <col min="1538" max="1538" width="6.6640625" customWidth="1"/>
    <col min="1539" max="1539" width="30.6640625" customWidth="1"/>
    <col min="1540" max="1542" width="15.44140625" customWidth="1"/>
    <col min="1543" max="1543" width="13.109375" customWidth="1"/>
    <col min="1544" max="1546" width="9.109375" customWidth="1"/>
    <col min="1793" max="1793" width="10.6640625" customWidth="1"/>
    <col min="1794" max="1794" width="6.6640625" customWidth="1"/>
    <col min="1795" max="1795" width="30.6640625" customWidth="1"/>
    <col min="1796" max="1798" width="15.44140625" customWidth="1"/>
    <col min="1799" max="1799" width="13.109375" customWidth="1"/>
    <col min="1800" max="1802" width="9.109375" customWidth="1"/>
    <col min="2049" max="2049" width="10.6640625" customWidth="1"/>
    <col min="2050" max="2050" width="6.6640625" customWidth="1"/>
    <col min="2051" max="2051" width="30.6640625" customWidth="1"/>
    <col min="2052" max="2054" width="15.44140625" customWidth="1"/>
    <col min="2055" max="2055" width="13.109375" customWidth="1"/>
    <col min="2056" max="2058" width="9.109375" customWidth="1"/>
    <col min="2305" max="2305" width="10.6640625" customWidth="1"/>
    <col min="2306" max="2306" width="6.6640625" customWidth="1"/>
    <col min="2307" max="2307" width="30.6640625" customWidth="1"/>
    <col min="2308" max="2310" width="15.44140625" customWidth="1"/>
    <col min="2311" max="2311" width="13.109375" customWidth="1"/>
    <col min="2312" max="2314" width="9.109375" customWidth="1"/>
    <col min="2561" max="2561" width="10.6640625" customWidth="1"/>
    <col min="2562" max="2562" width="6.6640625" customWidth="1"/>
    <col min="2563" max="2563" width="30.6640625" customWidth="1"/>
    <col min="2564" max="2566" width="15.44140625" customWidth="1"/>
    <col min="2567" max="2567" width="13.109375" customWidth="1"/>
    <col min="2568" max="2570" width="9.109375" customWidth="1"/>
    <col min="2817" max="2817" width="10.6640625" customWidth="1"/>
    <col min="2818" max="2818" width="6.6640625" customWidth="1"/>
    <col min="2819" max="2819" width="30.6640625" customWidth="1"/>
    <col min="2820" max="2822" width="15.44140625" customWidth="1"/>
    <col min="2823" max="2823" width="13.109375" customWidth="1"/>
    <col min="2824" max="2826" width="9.109375" customWidth="1"/>
    <col min="3073" max="3073" width="10.6640625" customWidth="1"/>
    <col min="3074" max="3074" width="6.6640625" customWidth="1"/>
    <col min="3075" max="3075" width="30.6640625" customWidth="1"/>
    <col min="3076" max="3078" width="15.44140625" customWidth="1"/>
    <col min="3079" max="3079" width="13.109375" customWidth="1"/>
    <col min="3080" max="3082" width="9.109375" customWidth="1"/>
    <col min="3329" max="3329" width="10.6640625" customWidth="1"/>
    <col min="3330" max="3330" width="6.6640625" customWidth="1"/>
    <col min="3331" max="3331" width="30.6640625" customWidth="1"/>
    <col min="3332" max="3334" width="15.44140625" customWidth="1"/>
    <col min="3335" max="3335" width="13.109375" customWidth="1"/>
    <col min="3336" max="3338" width="9.109375" customWidth="1"/>
    <col min="3585" max="3585" width="10.6640625" customWidth="1"/>
    <col min="3586" max="3586" width="6.6640625" customWidth="1"/>
    <col min="3587" max="3587" width="30.6640625" customWidth="1"/>
    <col min="3588" max="3590" width="15.44140625" customWidth="1"/>
    <col min="3591" max="3591" width="13.109375" customWidth="1"/>
    <col min="3592" max="3594" width="9.109375" customWidth="1"/>
    <col min="3841" max="3841" width="10.6640625" customWidth="1"/>
    <col min="3842" max="3842" width="6.6640625" customWidth="1"/>
    <col min="3843" max="3843" width="30.6640625" customWidth="1"/>
    <col min="3844" max="3846" width="15.44140625" customWidth="1"/>
    <col min="3847" max="3847" width="13.109375" customWidth="1"/>
    <col min="3848" max="3850" width="9.109375" customWidth="1"/>
    <col min="4097" max="4097" width="10.6640625" customWidth="1"/>
    <col min="4098" max="4098" width="6.6640625" customWidth="1"/>
    <col min="4099" max="4099" width="30.6640625" customWidth="1"/>
    <col min="4100" max="4102" width="15.44140625" customWidth="1"/>
    <col min="4103" max="4103" width="13.109375" customWidth="1"/>
    <col min="4104" max="4106" width="9.109375" customWidth="1"/>
    <col min="4353" max="4353" width="10.6640625" customWidth="1"/>
    <col min="4354" max="4354" width="6.6640625" customWidth="1"/>
    <col min="4355" max="4355" width="30.6640625" customWidth="1"/>
    <col min="4356" max="4358" width="15.44140625" customWidth="1"/>
    <col min="4359" max="4359" width="13.109375" customWidth="1"/>
    <col min="4360" max="4362" width="9.109375" customWidth="1"/>
    <col min="4609" max="4609" width="10.6640625" customWidth="1"/>
    <col min="4610" max="4610" width="6.6640625" customWidth="1"/>
    <col min="4611" max="4611" width="30.6640625" customWidth="1"/>
    <col min="4612" max="4614" width="15.44140625" customWidth="1"/>
    <col min="4615" max="4615" width="13.109375" customWidth="1"/>
    <col min="4616" max="4618" width="9.109375" customWidth="1"/>
    <col min="4865" max="4865" width="10.6640625" customWidth="1"/>
    <col min="4866" max="4866" width="6.6640625" customWidth="1"/>
    <col min="4867" max="4867" width="30.6640625" customWidth="1"/>
    <col min="4868" max="4870" width="15.44140625" customWidth="1"/>
    <col min="4871" max="4871" width="13.109375" customWidth="1"/>
    <col min="4872" max="4874" width="9.109375" customWidth="1"/>
    <col min="5121" max="5121" width="10.6640625" customWidth="1"/>
    <col min="5122" max="5122" width="6.6640625" customWidth="1"/>
    <col min="5123" max="5123" width="30.6640625" customWidth="1"/>
    <col min="5124" max="5126" width="15.44140625" customWidth="1"/>
    <col min="5127" max="5127" width="13.109375" customWidth="1"/>
    <col min="5128" max="5130" width="9.109375" customWidth="1"/>
    <col min="5377" max="5377" width="10.6640625" customWidth="1"/>
    <col min="5378" max="5378" width="6.6640625" customWidth="1"/>
    <col min="5379" max="5379" width="30.6640625" customWidth="1"/>
    <col min="5380" max="5382" width="15.44140625" customWidth="1"/>
    <col min="5383" max="5383" width="13.109375" customWidth="1"/>
    <col min="5384" max="5386" width="9.109375" customWidth="1"/>
    <col min="5633" max="5633" width="10.6640625" customWidth="1"/>
    <col min="5634" max="5634" width="6.6640625" customWidth="1"/>
    <col min="5635" max="5635" width="30.6640625" customWidth="1"/>
    <col min="5636" max="5638" width="15.44140625" customWidth="1"/>
    <col min="5639" max="5639" width="13.109375" customWidth="1"/>
    <col min="5640" max="5642" width="9.109375" customWidth="1"/>
    <col min="5889" max="5889" width="10.6640625" customWidth="1"/>
    <col min="5890" max="5890" width="6.6640625" customWidth="1"/>
    <col min="5891" max="5891" width="30.6640625" customWidth="1"/>
    <col min="5892" max="5894" width="15.44140625" customWidth="1"/>
    <col min="5895" max="5895" width="13.109375" customWidth="1"/>
    <col min="5896" max="5898" width="9.109375" customWidth="1"/>
    <col min="6145" max="6145" width="10.6640625" customWidth="1"/>
    <col min="6146" max="6146" width="6.6640625" customWidth="1"/>
    <col min="6147" max="6147" width="30.6640625" customWidth="1"/>
    <col min="6148" max="6150" width="15.44140625" customWidth="1"/>
    <col min="6151" max="6151" width="13.109375" customWidth="1"/>
    <col min="6152" max="6154" width="9.109375" customWidth="1"/>
    <col min="6401" max="6401" width="10.6640625" customWidth="1"/>
    <col min="6402" max="6402" width="6.6640625" customWidth="1"/>
    <col min="6403" max="6403" width="30.6640625" customWidth="1"/>
    <col min="6404" max="6406" width="15.44140625" customWidth="1"/>
    <col min="6407" max="6407" width="13.109375" customWidth="1"/>
    <col min="6408" max="6410" width="9.109375" customWidth="1"/>
    <col min="6657" max="6657" width="10.6640625" customWidth="1"/>
    <col min="6658" max="6658" width="6.6640625" customWidth="1"/>
    <col min="6659" max="6659" width="30.6640625" customWidth="1"/>
    <col min="6660" max="6662" width="15.44140625" customWidth="1"/>
    <col min="6663" max="6663" width="13.109375" customWidth="1"/>
    <col min="6664" max="6666" width="9.109375" customWidth="1"/>
    <col min="6913" max="6913" width="10.6640625" customWidth="1"/>
    <col min="6914" max="6914" width="6.6640625" customWidth="1"/>
    <col min="6915" max="6915" width="30.6640625" customWidth="1"/>
    <col min="6916" max="6918" width="15.44140625" customWidth="1"/>
    <col min="6919" max="6919" width="13.109375" customWidth="1"/>
    <col min="6920" max="6922" width="9.109375" customWidth="1"/>
    <col min="7169" max="7169" width="10.6640625" customWidth="1"/>
    <col min="7170" max="7170" width="6.6640625" customWidth="1"/>
    <col min="7171" max="7171" width="30.6640625" customWidth="1"/>
    <col min="7172" max="7174" width="15.44140625" customWidth="1"/>
    <col min="7175" max="7175" width="13.109375" customWidth="1"/>
    <col min="7176" max="7178" width="9.109375" customWidth="1"/>
    <col min="7425" max="7425" width="10.6640625" customWidth="1"/>
    <col min="7426" max="7426" width="6.6640625" customWidth="1"/>
    <col min="7427" max="7427" width="30.6640625" customWidth="1"/>
    <col min="7428" max="7430" width="15.44140625" customWidth="1"/>
    <col min="7431" max="7431" width="13.109375" customWidth="1"/>
    <col min="7432" max="7434" width="9.109375" customWidth="1"/>
    <col min="7681" max="7681" width="10.6640625" customWidth="1"/>
    <col min="7682" max="7682" width="6.6640625" customWidth="1"/>
    <col min="7683" max="7683" width="30.6640625" customWidth="1"/>
    <col min="7684" max="7686" width="15.44140625" customWidth="1"/>
    <col min="7687" max="7687" width="13.109375" customWidth="1"/>
    <col min="7688" max="7690" width="9.109375" customWidth="1"/>
    <col min="7937" max="7937" width="10.6640625" customWidth="1"/>
    <col min="7938" max="7938" width="6.6640625" customWidth="1"/>
    <col min="7939" max="7939" width="30.6640625" customWidth="1"/>
    <col min="7940" max="7942" width="15.44140625" customWidth="1"/>
    <col min="7943" max="7943" width="13.109375" customWidth="1"/>
    <col min="7944" max="7946" width="9.109375" customWidth="1"/>
    <col min="8193" max="8193" width="10.6640625" customWidth="1"/>
    <col min="8194" max="8194" width="6.6640625" customWidth="1"/>
    <col min="8195" max="8195" width="30.6640625" customWidth="1"/>
    <col min="8196" max="8198" width="15.44140625" customWidth="1"/>
    <col min="8199" max="8199" width="13.109375" customWidth="1"/>
    <col min="8200" max="8202" width="9.109375" customWidth="1"/>
    <col min="8449" max="8449" width="10.6640625" customWidth="1"/>
    <col min="8450" max="8450" width="6.6640625" customWidth="1"/>
    <col min="8451" max="8451" width="30.6640625" customWidth="1"/>
    <col min="8452" max="8454" width="15.44140625" customWidth="1"/>
    <col min="8455" max="8455" width="13.109375" customWidth="1"/>
    <col min="8456" max="8458" width="9.109375" customWidth="1"/>
    <col min="8705" max="8705" width="10.6640625" customWidth="1"/>
    <col min="8706" max="8706" width="6.6640625" customWidth="1"/>
    <col min="8707" max="8707" width="30.6640625" customWidth="1"/>
    <col min="8708" max="8710" width="15.44140625" customWidth="1"/>
    <col min="8711" max="8711" width="13.109375" customWidth="1"/>
    <col min="8712" max="8714" width="9.109375" customWidth="1"/>
    <col min="8961" max="8961" width="10.6640625" customWidth="1"/>
    <col min="8962" max="8962" width="6.6640625" customWidth="1"/>
    <col min="8963" max="8963" width="30.6640625" customWidth="1"/>
    <col min="8964" max="8966" width="15.44140625" customWidth="1"/>
    <col min="8967" max="8967" width="13.109375" customWidth="1"/>
    <col min="8968" max="8970" width="9.109375" customWidth="1"/>
    <col min="9217" max="9217" width="10.6640625" customWidth="1"/>
    <col min="9218" max="9218" width="6.6640625" customWidth="1"/>
    <col min="9219" max="9219" width="30.6640625" customWidth="1"/>
    <col min="9220" max="9222" width="15.44140625" customWidth="1"/>
    <col min="9223" max="9223" width="13.109375" customWidth="1"/>
    <col min="9224" max="9226" width="9.109375" customWidth="1"/>
    <col min="9473" max="9473" width="10.6640625" customWidth="1"/>
    <col min="9474" max="9474" width="6.6640625" customWidth="1"/>
    <col min="9475" max="9475" width="30.6640625" customWidth="1"/>
    <col min="9476" max="9478" width="15.44140625" customWidth="1"/>
    <col min="9479" max="9479" width="13.109375" customWidth="1"/>
    <col min="9480" max="9482" width="9.109375" customWidth="1"/>
    <col min="9729" max="9729" width="10.6640625" customWidth="1"/>
    <col min="9730" max="9730" width="6.6640625" customWidth="1"/>
    <col min="9731" max="9731" width="30.6640625" customWidth="1"/>
    <col min="9732" max="9734" width="15.44140625" customWidth="1"/>
    <col min="9735" max="9735" width="13.109375" customWidth="1"/>
    <col min="9736" max="9738" width="9.109375" customWidth="1"/>
    <col min="9985" max="9985" width="10.6640625" customWidth="1"/>
    <col min="9986" max="9986" width="6.6640625" customWidth="1"/>
    <col min="9987" max="9987" width="30.6640625" customWidth="1"/>
    <col min="9988" max="9990" width="15.44140625" customWidth="1"/>
    <col min="9991" max="9991" width="13.109375" customWidth="1"/>
    <col min="9992" max="9994" width="9.109375" customWidth="1"/>
    <col min="10241" max="10241" width="10.6640625" customWidth="1"/>
    <col min="10242" max="10242" width="6.6640625" customWidth="1"/>
    <col min="10243" max="10243" width="30.6640625" customWidth="1"/>
    <col min="10244" max="10246" width="15.44140625" customWidth="1"/>
    <col min="10247" max="10247" width="13.109375" customWidth="1"/>
    <col min="10248" max="10250" width="9.109375" customWidth="1"/>
    <col min="10497" max="10497" width="10.6640625" customWidth="1"/>
    <col min="10498" max="10498" width="6.6640625" customWidth="1"/>
    <col min="10499" max="10499" width="30.6640625" customWidth="1"/>
    <col min="10500" max="10502" width="15.44140625" customWidth="1"/>
    <col min="10503" max="10503" width="13.109375" customWidth="1"/>
    <col min="10504" max="10506" width="9.109375" customWidth="1"/>
    <col min="10753" max="10753" width="10.6640625" customWidth="1"/>
    <col min="10754" max="10754" width="6.6640625" customWidth="1"/>
    <col min="10755" max="10755" width="30.6640625" customWidth="1"/>
    <col min="10756" max="10758" width="15.44140625" customWidth="1"/>
    <col min="10759" max="10759" width="13.109375" customWidth="1"/>
    <col min="10760" max="10762" width="9.109375" customWidth="1"/>
    <col min="11009" max="11009" width="10.6640625" customWidth="1"/>
    <col min="11010" max="11010" width="6.6640625" customWidth="1"/>
    <col min="11011" max="11011" width="30.6640625" customWidth="1"/>
    <col min="11012" max="11014" width="15.44140625" customWidth="1"/>
    <col min="11015" max="11015" width="13.109375" customWidth="1"/>
    <col min="11016" max="11018" width="9.109375" customWidth="1"/>
    <col min="11265" max="11265" width="10.6640625" customWidth="1"/>
    <col min="11266" max="11266" width="6.6640625" customWidth="1"/>
    <col min="11267" max="11267" width="30.6640625" customWidth="1"/>
    <col min="11268" max="11270" width="15.44140625" customWidth="1"/>
    <col min="11271" max="11271" width="13.109375" customWidth="1"/>
    <col min="11272" max="11274" width="9.109375" customWidth="1"/>
    <col min="11521" max="11521" width="10.6640625" customWidth="1"/>
    <col min="11522" max="11522" width="6.6640625" customWidth="1"/>
    <col min="11523" max="11523" width="30.6640625" customWidth="1"/>
    <col min="11524" max="11526" width="15.44140625" customWidth="1"/>
    <col min="11527" max="11527" width="13.109375" customWidth="1"/>
    <col min="11528" max="11530" width="9.109375" customWidth="1"/>
    <col min="11777" max="11777" width="10.6640625" customWidth="1"/>
    <col min="11778" max="11778" width="6.6640625" customWidth="1"/>
    <col min="11779" max="11779" width="30.6640625" customWidth="1"/>
    <col min="11780" max="11782" width="15.44140625" customWidth="1"/>
    <col min="11783" max="11783" width="13.109375" customWidth="1"/>
    <col min="11784" max="11786" width="9.109375" customWidth="1"/>
    <col min="12033" max="12033" width="10.6640625" customWidth="1"/>
    <col min="12034" max="12034" width="6.6640625" customWidth="1"/>
    <col min="12035" max="12035" width="30.6640625" customWidth="1"/>
    <col min="12036" max="12038" width="15.44140625" customWidth="1"/>
    <col min="12039" max="12039" width="13.109375" customWidth="1"/>
    <col min="12040" max="12042" width="9.109375" customWidth="1"/>
    <col min="12289" max="12289" width="10.6640625" customWidth="1"/>
    <col min="12290" max="12290" width="6.6640625" customWidth="1"/>
    <col min="12291" max="12291" width="30.6640625" customWidth="1"/>
    <col min="12292" max="12294" width="15.44140625" customWidth="1"/>
    <col min="12295" max="12295" width="13.109375" customWidth="1"/>
    <col min="12296" max="12298" width="9.109375" customWidth="1"/>
    <col min="12545" max="12545" width="10.6640625" customWidth="1"/>
    <col min="12546" max="12546" width="6.6640625" customWidth="1"/>
    <col min="12547" max="12547" width="30.6640625" customWidth="1"/>
    <col min="12548" max="12550" width="15.44140625" customWidth="1"/>
    <col min="12551" max="12551" width="13.109375" customWidth="1"/>
    <col min="12552" max="12554" width="9.109375" customWidth="1"/>
    <col min="12801" max="12801" width="10.6640625" customWidth="1"/>
    <col min="12802" max="12802" width="6.6640625" customWidth="1"/>
    <col min="12803" max="12803" width="30.6640625" customWidth="1"/>
    <col min="12804" max="12806" width="15.44140625" customWidth="1"/>
    <col min="12807" max="12807" width="13.109375" customWidth="1"/>
    <col min="12808" max="12810" width="9.109375" customWidth="1"/>
    <col min="13057" max="13057" width="10.6640625" customWidth="1"/>
    <col min="13058" max="13058" width="6.6640625" customWidth="1"/>
    <col min="13059" max="13059" width="30.6640625" customWidth="1"/>
    <col min="13060" max="13062" width="15.44140625" customWidth="1"/>
    <col min="13063" max="13063" width="13.109375" customWidth="1"/>
    <col min="13064" max="13066" width="9.109375" customWidth="1"/>
    <col min="13313" max="13313" width="10.6640625" customWidth="1"/>
    <col min="13314" max="13314" width="6.6640625" customWidth="1"/>
    <col min="13315" max="13315" width="30.6640625" customWidth="1"/>
    <col min="13316" max="13318" width="15.44140625" customWidth="1"/>
    <col min="13319" max="13319" width="13.109375" customWidth="1"/>
    <col min="13320" max="13322" width="9.109375" customWidth="1"/>
    <col min="13569" max="13569" width="10.6640625" customWidth="1"/>
    <col min="13570" max="13570" width="6.6640625" customWidth="1"/>
    <col min="13571" max="13571" width="30.6640625" customWidth="1"/>
    <col min="13572" max="13574" width="15.44140625" customWidth="1"/>
    <col min="13575" max="13575" width="13.109375" customWidth="1"/>
    <col min="13576" max="13578" width="9.109375" customWidth="1"/>
    <col min="13825" max="13825" width="10.6640625" customWidth="1"/>
    <col min="13826" max="13826" width="6.6640625" customWidth="1"/>
    <col min="13827" max="13827" width="30.6640625" customWidth="1"/>
    <col min="13828" max="13830" width="15.44140625" customWidth="1"/>
    <col min="13831" max="13831" width="13.109375" customWidth="1"/>
    <col min="13832" max="13834" width="9.109375" customWidth="1"/>
    <col min="14081" max="14081" width="10.6640625" customWidth="1"/>
    <col min="14082" max="14082" width="6.6640625" customWidth="1"/>
    <col min="14083" max="14083" width="30.6640625" customWidth="1"/>
    <col min="14084" max="14086" width="15.44140625" customWidth="1"/>
    <col min="14087" max="14087" width="13.109375" customWidth="1"/>
    <col min="14088" max="14090" width="9.109375" customWidth="1"/>
    <col min="14337" max="14337" width="10.6640625" customWidth="1"/>
    <col min="14338" max="14338" width="6.6640625" customWidth="1"/>
    <col min="14339" max="14339" width="30.6640625" customWidth="1"/>
    <col min="14340" max="14342" width="15.44140625" customWidth="1"/>
    <col min="14343" max="14343" width="13.109375" customWidth="1"/>
    <col min="14344" max="14346" width="9.109375" customWidth="1"/>
    <col min="14593" max="14593" width="10.6640625" customWidth="1"/>
    <col min="14594" max="14594" width="6.6640625" customWidth="1"/>
    <col min="14595" max="14595" width="30.6640625" customWidth="1"/>
    <col min="14596" max="14598" width="15.44140625" customWidth="1"/>
    <col min="14599" max="14599" width="13.109375" customWidth="1"/>
    <col min="14600" max="14602" width="9.109375" customWidth="1"/>
    <col min="14849" max="14849" width="10.6640625" customWidth="1"/>
    <col min="14850" max="14850" width="6.6640625" customWidth="1"/>
    <col min="14851" max="14851" width="30.6640625" customWidth="1"/>
    <col min="14852" max="14854" width="15.44140625" customWidth="1"/>
    <col min="14855" max="14855" width="13.109375" customWidth="1"/>
    <col min="14856" max="14858" width="9.109375" customWidth="1"/>
    <col min="15105" max="15105" width="10.6640625" customWidth="1"/>
    <col min="15106" max="15106" width="6.6640625" customWidth="1"/>
    <col min="15107" max="15107" width="30.6640625" customWidth="1"/>
    <col min="15108" max="15110" width="15.44140625" customWidth="1"/>
    <col min="15111" max="15111" width="13.109375" customWidth="1"/>
    <col min="15112" max="15114" width="9.109375" customWidth="1"/>
    <col min="15361" max="15361" width="10.6640625" customWidth="1"/>
    <col min="15362" max="15362" width="6.6640625" customWidth="1"/>
    <col min="15363" max="15363" width="30.6640625" customWidth="1"/>
    <col min="15364" max="15366" width="15.44140625" customWidth="1"/>
    <col min="15367" max="15367" width="13.109375" customWidth="1"/>
    <col min="15368" max="15370" width="9.109375" customWidth="1"/>
    <col min="15617" max="15617" width="10.6640625" customWidth="1"/>
    <col min="15618" max="15618" width="6.6640625" customWidth="1"/>
    <col min="15619" max="15619" width="30.6640625" customWidth="1"/>
    <col min="15620" max="15622" width="15.44140625" customWidth="1"/>
    <col min="15623" max="15623" width="13.109375" customWidth="1"/>
    <col min="15624" max="15626" width="9.109375" customWidth="1"/>
    <col min="15873" max="15873" width="10.6640625" customWidth="1"/>
    <col min="15874" max="15874" width="6.6640625" customWidth="1"/>
    <col min="15875" max="15875" width="30.6640625" customWidth="1"/>
    <col min="15876" max="15878" width="15.44140625" customWidth="1"/>
    <col min="15879" max="15879" width="13.109375" customWidth="1"/>
    <col min="15880" max="15882" width="9.109375" customWidth="1"/>
    <col min="16129" max="16129" width="10.6640625" customWidth="1"/>
    <col min="16130" max="16130" width="6.6640625" customWidth="1"/>
    <col min="16131" max="16131" width="30.6640625" customWidth="1"/>
    <col min="16132" max="16134" width="15.44140625" customWidth="1"/>
    <col min="16135" max="16135" width="13.109375" customWidth="1"/>
    <col min="16136" max="16138" width="9.109375" customWidth="1"/>
  </cols>
  <sheetData>
    <row r="1" spans="1:11" ht="12.75" customHeight="1" x14ac:dyDescent="0.3">
      <c r="A1" s="175"/>
      <c r="B1" s="165"/>
      <c r="C1" s="165"/>
      <c r="D1" s="165"/>
      <c r="E1" s="1162" t="s">
        <v>228</v>
      </c>
      <c r="F1" s="1162"/>
      <c r="G1" s="1162"/>
      <c r="H1" s="1162"/>
      <c r="I1" s="1162"/>
      <c r="J1" s="1162"/>
      <c r="K1" s="1162"/>
    </row>
    <row r="2" spans="1:11" ht="12.75" customHeight="1" x14ac:dyDescent="0.3">
      <c r="A2" s="165"/>
      <c r="E2" s="1162" t="s">
        <v>155</v>
      </c>
      <c r="F2" s="1162"/>
      <c r="G2" s="1162"/>
      <c r="H2" s="1162"/>
      <c r="I2" s="1162"/>
      <c r="J2" s="1162"/>
      <c r="K2" s="1162"/>
    </row>
    <row r="3" spans="1:11" ht="15.6" x14ac:dyDescent="0.3">
      <c r="A3" s="165"/>
      <c r="E3" s="1162" t="s">
        <v>156</v>
      </c>
      <c r="F3" s="1162"/>
      <c r="G3" s="1162"/>
      <c r="H3" s="1162"/>
      <c r="I3" s="1162"/>
      <c r="J3" s="1162"/>
      <c r="K3" s="1162"/>
    </row>
    <row r="4" spans="1:11" ht="12.75" customHeight="1" x14ac:dyDescent="0.3">
      <c r="A4" s="166"/>
      <c r="E4" s="1162" t="s">
        <v>1077</v>
      </c>
      <c r="F4" s="1162"/>
      <c r="G4" s="1162"/>
      <c r="H4" s="1162"/>
      <c r="I4" s="1162"/>
      <c r="J4" s="1162"/>
      <c r="K4" s="1162"/>
    </row>
    <row r="5" spans="1:11" x14ac:dyDescent="0.3">
      <c r="A5" s="165"/>
    </row>
    <row r="6" spans="1:11" ht="12.6" customHeight="1" x14ac:dyDescent="0.3">
      <c r="A6" s="167"/>
      <c r="B6" s="168"/>
      <c r="C6" s="1163" t="s">
        <v>174</v>
      </c>
      <c r="D6" s="1163"/>
      <c r="E6" s="1163"/>
      <c r="F6" s="1163"/>
      <c r="G6" s="1163"/>
      <c r="H6" s="1163"/>
      <c r="I6" s="1163"/>
    </row>
    <row r="7" spans="1:11" x14ac:dyDescent="0.3">
      <c r="A7" s="165"/>
    </row>
    <row r="8" spans="1:11" ht="13.2" customHeight="1" x14ac:dyDescent="0.3">
      <c r="A8" s="165"/>
      <c r="F8" s="160" t="s">
        <v>232</v>
      </c>
    </row>
    <row r="9" spans="1:11" ht="27.9" customHeight="1" x14ac:dyDescent="0.3">
      <c r="A9" s="169" t="s">
        <v>175</v>
      </c>
      <c r="B9" s="169" t="s">
        <v>176</v>
      </c>
      <c r="C9" s="169" t="s">
        <v>178</v>
      </c>
      <c r="D9" s="169" t="s">
        <v>565</v>
      </c>
      <c r="E9" s="169" t="s">
        <v>566</v>
      </c>
      <c r="F9" s="169" t="s">
        <v>567</v>
      </c>
    </row>
    <row r="10" spans="1:11" ht="111.6" customHeight="1" x14ac:dyDescent="0.3">
      <c r="A10" s="170" t="s">
        <v>179</v>
      </c>
      <c r="B10" s="170" t="s">
        <v>159</v>
      </c>
      <c r="C10" s="188" t="s">
        <v>160</v>
      </c>
      <c r="D10" s="171">
        <f>90392988.33-2000</f>
        <v>90390988.329999998</v>
      </c>
      <c r="E10" s="171">
        <v>112468227.70999999</v>
      </c>
      <c r="F10" s="171">
        <f>108554523.58+20000000</f>
        <v>128554523.58</v>
      </c>
    </row>
    <row r="11" spans="1:11" ht="161.1" customHeight="1" x14ac:dyDescent="0.3">
      <c r="A11" s="170" t="s">
        <v>180</v>
      </c>
      <c r="B11" s="170" t="s">
        <v>159</v>
      </c>
      <c r="C11" s="188" t="s">
        <v>161</v>
      </c>
      <c r="D11" s="171">
        <v>312296.90000000002</v>
      </c>
      <c r="E11" s="171">
        <v>340380.69</v>
      </c>
      <c r="F11" s="171">
        <v>358080.48</v>
      </c>
    </row>
    <row r="12" spans="1:11" ht="61.95" customHeight="1" x14ac:dyDescent="0.3">
      <c r="A12" s="170" t="s">
        <v>181</v>
      </c>
      <c r="B12" s="170" t="s">
        <v>159</v>
      </c>
      <c r="C12" s="189" t="s">
        <v>182</v>
      </c>
      <c r="D12" s="171">
        <v>32357.9</v>
      </c>
      <c r="E12" s="171">
        <v>35267.730000000003</v>
      </c>
      <c r="F12" s="171">
        <v>37101.660000000003</v>
      </c>
    </row>
    <row r="13" spans="1:11" ht="99.15" customHeight="1" x14ac:dyDescent="0.3">
      <c r="A13" s="170" t="s">
        <v>183</v>
      </c>
      <c r="B13" s="170" t="s">
        <v>159</v>
      </c>
      <c r="C13" s="189" t="s">
        <v>184</v>
      </c>
      <c r="D13" s="171">
        <v>1013145.46</v>
      </c>
      <c r="E13" s="171">
        <v>1013145.46</v>
      </c>
      <c r="F13" s="171">
        <v>1013145.46</v>
      </c>
    </row>
    <row r="14" spans="1:11" ht="123.9" customHeight="1" x14ac:dyDescent="0.3">
      <c r="A14" s="170" t="s">
        <v>185</v>
      </c>
      <c r="B14" s="170" t="s">
        <v>159</v>
      </c>
      <c r="C14" s="188" t="s">
        <v>186</v>
      </c>
      <c r="D14" s="171">
        <v>16608.939999999999</v>
      </c>
      <c r="E14" s="171">
        <v>16608.939999999999</v>
      </c>
      <c r="F14" s="171">
        <v>16608.939999999999</v>
      </c>
    </row>
    <row r="15" spans="1:11" ht="99.15" customHeight="1" x14ac:dyDescent="0.3">
      <c r="A15" s="170" t="s">
        <v>187</v>
      </c>
      <c r="B15" s="170" t="s">
        <v>159</v>
      </c>
      <c r="C15" s="189" t="s">
        <v>188</v>
      </c>
      <c r="D15" s="171">
        <v>1283633.95</v>
      </c>
      <c r="E15" s="171">
        <v>1283633.95</v>
      </c>
      <c r="F15" s="171">
        <v>1283633.95</v>
      </c>
    </row>
    <row r="16" spans="1:11" ht="99.15" customHeight="1" x14ac:dyDescent="0.3">
      <c r="A16" s="170" t="s">
        <v>189</v>
      </c>
      <c r="B16" s="170" t="s">
        <v>159</v>
      </c>
      <c r="C16" s="189" t="s">
        <v>190</v>
      </c>
      <c r="D16" s="171">
        <v>59317.65</v>
      </c>
      <c r="E16" s="171">
        <v>59317.65</v>
      </c>
      <c r="F16" s="171">
        <v>59317.65</v>
      </c>
    </row>
    <row r="17" spans="1:6" ht="37.5" customHeight="1" x14ac:dyDescent="0.3">
      <c r="A17" s="170" t="s">
        <v>429</v>
      </c>
      <c r="B17" s="170" t="s">
        <v>159</v>
      </c>
      <c r="C17" s="189" t="s">
        <v>14</v>
      </c>
      <c r="D17" s="171">
        <v>24015292.079999998</v>
      </c>
      <c r="E17" s="171">
        <v>25144010.809999999</v>
      </c>
      <c r="F17" s="171">
        <v>26225203.280000001</v>
      </c>
    </row>
    <row r="18" spans="1:6" ht="49.5" customHeight="1" x14ac:dyDescent="0.3">
      <c r="A18" s="170" t="s">
        <v>191</v>
      </c>
      <c r="B18" s="170" t="s">
        <v>159</v>
      </c>
      <c r="C18" s="189" t="s">
        <v>163</v>
      </c>
      <c r="D18" s="171">
        <v>5900.03</v>
      </c>
      <c r="E18" s="171">
        <v>6177.34</v>
      </c>
      <c r="F18" s="171">
        <v>6442.96</v>
      </c>
    </row>
    <row r="19" spans="1:6" ht="24.75" customHeight="1" x14ac:dyDescent="0.3">
      <c r="A19" s="170" t="s">
        <v>192</v>
      </c>
      <c r="B19" s="170" t="s">
        <v>159</v>
      </c>
      <c r="C19" s="189" t="s">
        <v>16</v>
      </c>
      <c r="D19" s="171">
        <v>756.72</v>
      </c>
      <c r="E19" s="171">
        <v>792.29</v>
      </c>
      <c r="F19" s="171">
        <v>826.35</v>
      </c>
    </row>
    <row r="20" spans="1:6" ht="148.65" customHeight="1" x14ac:dyDescent="0.3">
      <c r="A20" s="170" t="s">
        <v>193</v>
      </c>
      <c r="B20" s="170" t="s">
        <v>159</v>
      </c>
      <c r="C20" s="188" t="s">
        <v>194</v>
      </c>
      <c r="D20" s="171">
        <v>14134.41</v>
      </c>
      <c r="E20" s="171">
        <v>14798.73</v>
      </c>
      <c r="F20" s="171">
        <v>15435.07</v>
      </c>
    </row>
    <row r="21" spans="1:6" ht="123.9" customHeight="1" x14ac:dyDescent="0.3">
      <c r="A21" s="170" t="s">
        <v>195</v>
      </c>
      <c r="B21" s="170" t="s">
        <v>159</v>
      </c>
      <c r="C21" s="188" t="s">
        <v>196</v>
      </c>
      <c r="D21" s="171">
        <v>1582.79</v>
      </c>
      <c r="E21" s="171">
        <v>1657.18</v>
      </c>
      <c r="F21" s="171">
        <v>1728.44</v>
      </c>
    </row>
    <row r="22" spans="1:6" ht="148.65" customHeight="1" x14ac:dyDescent="0.3">
      <c r="A22" s="170" t="s">
        <v>197</v>
      </c>
      <c r="B22" s="170" t="s">
        <v>159</v>
      </c>
      <c r="C22" s="188" t="s">
        <v>198</v>
      </c>
      <c r="D22" s="171">
        <v>419</v>
      </c>
      <c r="E22" s="171">
        <v>438.69</v>
      </c>
      <c r="F22" s="171">
        <v>457.56</v>
      </c>
    </row>
    <row r="23" spans="1:6" ht="74.400000000000006" customHeight="1" x14ac:dyDescent="0.3">
      <c r="A23" s="170" t="s">
        <v>199</v>
      </c>
      <c r="B23" s="170" t="s">
        <v>159</v>
      </c>
      <c r="C23" s="189" t="s">
        <v>200</v>
      </c>
      <c r="D23" s="171">
        <v>3668668.37</v>
      </c>
      <c r="E23" s="171">
        <v>3841095.78</v>
      </c>
      <c r="F23" s="171">
        <v>4006262.9</v>
      </c>
    </row>
    <row r="24" spans="1:6" ht="111.6" customHeight="1" x14ac:dyDescent="0.3">
      <c r="A24" s="170" t="s">
        <v>201</v>
      </c>
      <c r="B24" s="170" t="s">
        <v>159</v>
      </c>
      <c r="C24" s="189" t="s">
        <v>202</v>
      </c>
      <c r="D24" s="171">
        <v>1289.23</v>
      </c>
      <c r="E24" s="171">
        <v>1349.82</v>
      </c>
      <c r="F24" s="171">
        <v>1407.86</v>
      </c>
    </row>
    <row r="25" spans="1:6" ht="49.5" customHeight="1" x14ac:dyDescent="0.3">
      <c r="A25" s="170" t="s">
        <v>203</v>
      </c>
      <c r="B25" s="170" t="s">
        <v>164</v>
      </c>
      <c r="C25" s="189" t="s">
        <v>204</v>
      </c>
      <c r="D25" s="171">
        <v>32285.58</v>
      </c>
      <c r="E25" s="171">
        <v>32628.83</v>
      </c>
      <c r="F25" s="171">
        <v>32628.83</v>
      </c>
    </row>
    <row r="26" spans="1:6" ht="111.6" customHeight="1" x14ac:dyDescent="0.3">
      <c r="A26" s="170" t="s">
        <v>205</v>
      </c>
      <c r="B26" s="170" t="s">
        <v>164</v>
      </c>
      <c r="C26" s="188" t="s">
        <v>987</v>
      </c>
      <c r="D26" s="171">
        <f>7000000-6400000</f>
        <v>600000</v>
      </c>
      <c r="E26" s="171">
        <f>6900000-6350000</f>
        <v>550000</v>
      </c>
      <c r="F26" s="171">
        <f>6800000-6300000</f>
        <v>500000</v>
      </c>
    </row>
    <row r="27" spans="1:6" ht="111.6" customHeight="1" x14ac:dyDescent="0.3">
      <c r="A27" s="170" t="s">
        <v>988</v>
      </c>
      <c r="B27" s="170" t="s">
        <v>164</v>
      </c>
      <c r="C27" s="188" t="s">
        <v>989</v>
      </c>
      <c r="D27" s="171">
        <v>6400000</v>
      </c>
      <c r="E27" s="171">
        <v>6350000</v>
      </c>
      <c r="F27" s="171">
        <v>6300000</v>
      </c>
    </row>
    <row r="28" spans="1:6" ht="74.400000000000006" customHeight="1" x14ac:dyDescent="0.3">
      <c r="A28" s="170" t="s">
        <v>207</v>
      </c>
      <c r="B28" s="170" t="s">
        <v>164</v>
      </c>
      <c r="C28" s="189" t="s">
        <v>134</v>
      </c>
      <c r="D28" s="171">
        <v>30000</v>
      </c>
      <c r="E28" s="171">
        <v>30000</v>
      </c>
      <c r="F28" s="171">
        <v>30000</v>
      </c>
    </row>
    <row r="29" spans="1:6" ht="123.9" customHeight="1" x14ac:dyDescent="0.3">
      <c r="A29" s="170" t="s">
        <v>208</v>
      </c>
      <c r="B29" s="170" t="s">
        <v>164</v>
      </c>
      <c r="C29" s="189" t="s">
        <v>138</v>
      </c>
      <c r="D29" s="171">
        <v>1000000</v>
      </c>
      <c r="E29" s="171">
        <v>1000000</v>
      </c>
      <c r="F29" s="171">
        <v>1000000</v>
      </c>
    </row>
    <row r="30" spans="1:6" ht="99.15" customHeight="1" x14ac:dyDescent="0.3">
      <c r="A30" s="170" t="s">
        <v>209</v>
      </c>
      <c r="B30" s="170" t="s">
        <v>164</v>
      </c>
      <c r="C30" s="189" t="s">
        <v>210</v>
      </c>
      <c r="D30" s="171">
        <v>614735.76</v>
      </c>
      <c r="E30" s="171">
        <v>643628.34</v>
      </c>
      <c r="F30" s="171">
        <v>671304.36</v>
      </c>
    </row>
    <row r="31" spans="1:6" ht="99.15" customHeight="1" x14ac:dyDescent="0.3">
      <c r="A31" s="170" t="s">
        <v>211</v>
      </c>
      <c r="B31" s="170" t="s">
        <v>164</v>
      </c>
      <c r="C31" s="189" t="s">
        <v>212</v>
      </c>
      <c r="D31" s="171">
        <v>24564.639999999999</v>
      </c>
      <c r="E31" s="171">
        <v>25719.18</v>
      </c>
      <c r="F31" s="171">
        <v>26825.11</v>
      </c>
    </row>
    <row r="32" spans="1:6" ht="86.85" customHeight="1" x14ac:dyDescent="0.3">
      <c r="A32" s="170" t="s">
        <v>213</v>
      </c>
      <c r="B32" s="170" t="s">
        <v>164</v>
      </c>
      <c r="C32" s="189" t="s">
        <v>214</v>
      </c>
      <c r="D32" s="171">
        <v>1359022.89</v>
      </c>
      <c r="E32" s="171">
        <v>1422896.97</v>
      </c>
      <c r="F32" s="171">
        <v>1484081.54</v>
      </c>
    </row>
    <row r="33" spans="1:15" ht="111.6" customHeight="1" x14ac:dyDescent="0.3">
      <c r="A33" s="170" t="s">
        <v>215</v>
      </c>
      <c r="B33" s="170" t="s">
        <v>165</v>
      </c>
      <c r="C33" s="189" t="s">
        <v>216</v>
      </c>
      <c r="D33" s="171">
        <v>685000</v>
      </c>
      <c r="E33" s="171">
        <v>400000</v>
      </c>
      <c r="F33" s="171">
        <v>400000</v>
      </c>
    </row>
    <row r="34" spans="1:15" ht="61.95" customHeight="1" x14ac:dyDescent="0.3">
      <c r="A34" s="170" t="s">
        <v>217</v>
      </c>
      <c r="B34" s="170" t="s">
        <v>166</v>
      </c>
      <c r="C34" s="189" t="s">
        <v>990</v>
      </c>
      <c r="D34" s="171">
        <v>150000</v>
      </c>
      <c r="E34" s="171">
        <v>150000</v>
      </c>
      <c r="F34" s="171">
        <v>150000</v>
      </c>
    </row>
    <row r="35" spans="1:15" ht="61.95" customHeight="1" x14ac:dyDescent="0.3">
      <c r="A35" s="170" t="s">
        <v>991</v>
      </c>
      <c r="B35" s="170" t="s">
        <v>166</v>
      </c>
      <c r="C35" s="189" t="s">
        <v>982</v>
      </c>
      <c r="D35" s="171">
        <v>150000</v>
      </c>
      <c r="E35" s="171">
        <v>150000</v>
      </c>
      <c r="F35" s="171">
        <v>150000</v>
      </c>
    </row>
    <row r="36" spans="1:15" ht="61.95" customHeight="1" x14ac:dyDescent="0.3">
      <c r="A36" s="170" t="s">
        <v>219</v>
      </c>
      <c r="B36" s="170" t="s">
        <v>167</v>
      </c>
      <c r="C36" s="189" t="s">
        <v>168</v>
      </c>
      <c r="D36" s="171">
        <v>2382.27</v>
      </c>
      <c r="E36" s="171">
        <v>2494.23</v>
      </c>
      <c r="F36" s="171">
        <v>2601.4899999999998</v>
      </c>
    </row>
    <row r="37" spans="1:15" ht="99.15" customHeight="1" x14ac:dyDescent="0.3">
      <c r="A37" s="170" t="s">
        <v>220</v>
      </c>
      <c r="B37" s="170" t="s">
        <v>167</v>
      </c>
      <c r="C37" s="188" t="s">
        <v>30</v>
      </c>
      <c r="D37" s="171">
        <v>34732.69</v>
      </c>
      <c r="E37" s="171">
        <v>36365.129999999997</v>
      </c>
      <c r="F37" s="171">
        <v>37928.83</v>
      </c>
    </row>
    <row r="38" spans="1:15" ht="49.5" customHeight="1" x14ac:dyDescent="0.3">
      <c r="A38" s="170" t="s">
        <v>221</v>
      </c>
      <c r="B38" s="170" t="s">
        <v>167</v>
      </c>
      <c r="C38" s="189" t="s">
        <v>169</v>
      </c>
      <c r="D38" s="171">
        <v>133767.94</v>
      </c>
      <c r="E38" s="171">
        <v>140055.04000000001</v>
      </c>
      <c r="F38" s="171">
        <v>146077.4</v>
      </c>
    </row>
    <row r="39" spans="1:15" ht="148.65" customHeight="1" x14ac:dyDescent="0.3">
      <c r="A39" s="170" t="s">
        <v>222</v>
      </c>
      <c r="B39" s="170" t="s">
        <v>167</v>
      </c>
      <c r="C39" s="188" t="s">
        <v>223</v>
      </c>
      <c r="D39" s="171">
        <v>1827235.91</v>
      </c>
      <c r="E39" s="171">
        <v>1913116</v>
      </c>
      <c r="F39" s="171">
        <v>1995379.98</v>
      </c>
    </row>
    <row r="40" spans="1:15" ht="111.6" customHeight="1" x14ac:dyDescent="0.3">
      <c r="A40" s="170" t="s">
        <v>224</v>
      </c>
      <c r="B40" s="170" t="s">
        <v>167</v>
      </c>
      <c r="C40" s="188" t="s">
        <v>225</v>
      </c>
      <c r="D40" s="171">
        <v>1133090.33</v>
      </c>
      <c r="E40" s="171">
        <v>1186345.57</v>
      </c>
      <c r="F40" s="171">
        <v>1237358.43</v>
      </c>
    </row>
    <row r="41" spans="1:15" ht="38.25" customHeight="1" x14ac:dyDescent="0.3">
      <c r="A41" s="170" t="s">
        <v>226</v>
      </c>
      <c r="B41" s="170" t="s">
        <v>173</v>
      </c>
      <c r="C41" s="189" t="s">
        <v>114</v>
      </c>
      <c r="D41" s="171">
        <v>500000</v>
      </c>
      <c r="E41" s="171">
        <v>500000</v>
      </c>
      <c r="F41" s="171">
        <v>500000</v>
      </c>
    </row>
    <row r="42" spans="1:15" ht="37.200000000000003" customHeight="1" x14ac:dyDescent="0.3">
      <c r="A42" s="170" t="s">
        <v>568</v>
      </c>
      <c r="B42" s="170" t="s">
        <v>470</v>
      </c>
      <c r="C42" s="189" t="s">
        <v>569</v>
      </c>
      <c r="D42" s="171">
        <v>159486200</v>
      </c>
      <c r="E42" s="171">
        <v>154698700</v>
      </c>
      <c r="F42" s="171">
        <v>147506700</v>
      </c>
    </row>
    <row r="43" spans="1:15" ht="74.400000000000006" customHeight="1" x14ac:dyDescent="0.3">
      <c r="A43" s="170" t="s">
        <v>476</v>
      </c>
      <c r="B43" s="170" t="s">
        <v>470</v>
      </c>
      <c r="C43" s="189" t="s">
        <v>477</v>
      </c>
      <c r="D43" s="171">
        <f>15108900</f>
        <v>15108900</v>
      </c>
      <c r="E43" s="171">
        <v>15108900</v>
      </c>
      <c r="F43" s="171">
        <v>15108900</v>
      </c>
      <c r="M43" s="192"/>
      <c r="N43" s="192"/>
      <c r="O43" s="192"/>
    </row>
    <row r="44" spans="1:15" ht="111.6" customHeight="1" x14ac:dyDescent="0.3">
      <c r="A44" s="170" t="s">
        <v>474</v>
      </c>
      <c r="B44" s="170" t="s">
        <v>470</v>
      </c>
      <c r="C44" s="189" t="s">
        <v>475</v>
      </c>
      <c r="D44" s="171">
        <v>5672100</v>
      </c>
      <c r="E44" s="171">
        <v>5705500</v>
      </c>
      <c r="F44" s="171">
        <v>5718900</v>
      </c>
    </row>
    <row r="45" spans="1:15" ht="99.15" customHeight="1" x14ac:dyDescent="0.3">
      <c r="A45" s="170" t="s">
        <v>472</v>
      </c>
      <c r="B45" s="170" t="s">
        <v>470</v>
      </c>
      <c r="C45" s="189" t="s">
        <v>570</v>
      </c>
      <c r="D45" s="171">
        <v>10890000</v>
      </c>
      <c r="E45" s="171">
        <v>10890000</v>
      </c>
      <c r="F45" s="171">
        <v>10890000</v>
      </c>
    </row>
    <row r="46" spans="1:15" ht="33.75" customHeight="1" x14ac:dyDescent="0.3">
      <c r="A46" s="170" t="s">
        <v>469</v>
      </c>
      <c r="B46" s="170" t="s">
        <v>470</v>
      </c>
      <c r="C46" s="189" t="s">
        <v>471</v>
      </c>
      <c r="D46" s="171">
        <f>108097900+76.05-2.9</f>
        <v>108097973.14999999</v>
      </c>
      <c r="E46" s="171">
        <v>112638200</v>
      </c>
      <c r="F46" s="171">
        <v>117490200</v>
      </c>
    </row>
    <row r="47" spans="1:15" ht="50.25" customHeight="1" x14ac:dyDescent="0.3">
      <c r="A47" s="170" t="s">
        <v>473</v>
      </c>
      <c r="B47" s="170" t="s">
        <v>470</v>
      </c>
      <c r="C47" s="189" t="s">
        <v>571</v>
      </c>
      <c r="D47" s="171">
        <f>206990900+300000+60.39</f>
        <v>207290960.38999999</v>
      </c>
      <c r="E47" s="171">
        <v>199836100</v>
      </c>
      <c r="F47" s="171">
        <v>162665000</v>
      </c>
    </row>
    <row r="48" spans="1:15" ht="61.5" customHeight="1" x14ac:dyDescent="0.3">
      <c r="A48" s="307" t="s">
        <v>1055</v>
      </c>
      <c r="B48" s="308" t="s">
        <v>470</v>
      </c>
      <c r="C48" s="112" t="s">
        <v>1056</v>
      </c>
      <c r="D48" s="325">
        <v>600000</v>
      </c>
      <c r="E48" s="328">
        <v>520775</v>
      </c>
      <c r="F48" s="328">
        <v>546814</v>
      </c>
    </row>
    <row r="49" spans="1:6" ht="61.5" customHeight="1" x14ac:dyDescent="0.3">
      <c r="A49" s="307" t="s">
        <v>1072</v>
      </c>
      <c r="B49" s="308" t="s">
        <v>470</v>
      </c>
      <c r="C49" s="112" t="s">
        <v>1071</v>
      </c>
      <c r="D49" s="327">
        <v>-9116373.6099999994</v>
      </c>
      <c r="E49" s="329">
        <v>0</v>
      </c>
      <c r="F49" s="329">
        <v>0</v>
      </c>
    </row>
    <row r="50" spans="1:6" x14ac:dyDescent="0.3">
      <c r="A50" s="172" t="s">
        <v>227</v>
      </c>
      <c r="B50" s="173"/>
      <c r="C50" s="174"/>
      <c r="D50" s="326">
        <f>D10+D11+D12+D13+D14+D15+D16+D17+D18+D19+D20+D21+D22+D23+D24+D25+D26+D27+D28+D29+D30+D31+D32+D33+D34+D35+D36+D37+D38+D39+D40+D41+D42+D43+D44+D45+D46+D47+D48+D49</f>
        <v>633522969.69999993</v>
      </c>
      <c r="E50" s="326">
        <f>E10+E11+E12+E13+E14+E15+E16+E17+E18+E19+E20+E21+E22+E23+E24+E25+E26+E27+E28+E29+E30+E31+E32+E33+E34+E35+E36+E37+E38+E39+E40+E41+E42+E43+E44+E45+E46+E47+E48+E49</f>
        <v>658158327.05999994</v>
      </c>
      <c r="F50" s="326">
        <f>F10+F11+F12+F13+F14+F15+F16+F17+F18+F19+F20+F21+F22+F23+F24+F25+F26+F27+F28+F29+F30+F31+F32+F33+F34+F35+F36+F37+F38+F39+F40+F41+F42+F43+F44+F45+F46+F47+F48+F49</f>
        <v>636170876.11000013</v>
      </c>
    </row>
    <row r="51" spans="1:6" ht="15.6" x14ac:dyDescent="0.3">
      <c r="C51" s="291" t="s">
        <v>992</v>
      </c>
      <c r="D51" s="192">
        <f>D10+D11+D12+D13+D14+D15+D16+D17+D18+D19+D20+D21+D22+D23+D24+D25+D26+D27+D28+D29+D30+D31+D32+D33+D34+D35+D36+D37+D38+D39+D40+D41</f>
        <v>135493209.77000001</v>
      </c>
      <c r="E51" s="192">
        <f>E10+E11+E12+E13+E14+E15+E16+E17+E18+E19+E20+E21+E22+E23+E24+E25+E26+E27+E28+E29+E30+E31+E32+E33+E34+E35+E36+E37+E38+E39+E40+E41</f>
        <v>158760152.05999997</v>
      </c>
      <c r="F51" s="192">
        <f>F10+F11+F12+F13+F14+F15+F16+F17+F18+F19+F20+F21+F22+F23+F24+F25+F26+F27+F28+F29+F30+F31+F32+F33+F34+F35+F36+F37+F38+F39+F40+F41</f>
        <v>176244362.11000007</v>
      </c>
    </row>
    <row r="52" spans="1:6" ht="72" x14ac:dyDescent="0.3">
      <c r="C52" s="42" t="s">
        <v>1056</v>
      </c>
      <c r="D52" s="192">
        <f>D42+D43+D44+D45+D46+D47+D48</f>
        <v>507146133.53999996</v>
      </c>
      <c r="E52" s="192">
        <f>E42+E43+E44+E45+E46+E47+E48</f>
        <v>499398175</v>
      </c>
      <c r="F52" s="192">
        <f>F42+F43+F44+F45+F46+F47+F48</f>
        <v>459926514</v>
      </c>
    </row>
    <row r="53" spans="1:6" x14ac:dyDescent="0.3">
      <c r="D53" s="192">
        <f>D52+D49</f>
        <v>498029759.92999995</v>
      </c>
      <c r="E53" s="192">
        <f>E52-E49</f>
        <v>499398175</v>
      </c>
      <c r="F53" s="192">
        <f>F52-F49</f>
        <v>459926514</v>
      </c>
    </row>
  </sheetData>
  <mergeCells count="5">
    <mergeCell ref="E1:K1"/>
    <mergeCell ref="E2:K2"/>
    <mergeCell ref="E3:K3"/>
    <mergeCell ref="E4:K4"/>
    <mergeCell ref="C6:I6"/>
  </mergeCells>
  <pageMargins left="0.51181102362204722" right="0.11811023622047245" top="0.35433070866141736" bottom="0.35433070866141736" header="0.31496062992125984" footer="0.31496062992125984"/>
  <pageSetup paperSize="9" scale="7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45"/>
  <sheetViews>
    <sheetView topLeftCell="B1" zoomScale="80" zoomScaleNormal="80" workbookViewId="0">
      <selection activeCell="U149" sqref="U149"/>
    </sheetView>
  </sheetViews>
  <sheetFormatPr defaultRowHeight="14.4" x14ac:dyDescent="0.3"/>
  <cols>
    <col min="1" max="1" width="8.88671875" hidden="1" customWidth="1"/>
    <col min="2" max="3" width="12.6640625" customWidth="1"/>
    <col min="4" max="4" width="16.6640625" customWidth="1"/>
    <col min="5" max="18" width="8.88671875" hidden="1" customWidth="1"/>
    <col min="19" max="19" width="12.6640625" customWidth="1"/>
    <col min="20" max="20" width="44.44140625" customWidth="1"/>
    <col min="21" max="23" width="27.109375" customWidth="1"/>
    <col min="24" max="24" width="8.88671875" hidden="1" customWidth="1"/>
    <col min="26" max="26" width="13.5546875" bestFit="1" customWidth="1"/>
    <col min="257" max="257" width="0" hidden="1" customWidth="1"/>
    <col min="258" max="259" width="12.6640625" customWidth="1"/>
    <col min="260" max="260" width="16.6640625" customWidth="1"/>
    <col min="261" max="274" width="0" hidden="1" customWidth="1"/>
    <col min="275" max="275" width="12.6640625" customWidth="1"/>
    <col min="276" max="276" width="44.44140625" customWidth="1"/>
    <col min="277" max="279" width="27.109375" customWidth="1"/>
    <col min="280" max="280" width="0" hidden="1" customWidth="1"/>
    <col min="513" max="513" width="0" hidden="1" customWidth="1"/>
    <col min="514" max="515" width="12.6640625" customWidth="1"/>
    <col min="516" max="516" width="16.6640625" customWidth="1"/>
    <col min="517" max="530" width="0" hidden="1" customWidth="1"/>
    <col min="531" max="531" width="12.6640625" customWidth="1"/>
    <col min="532" max="532" width="44.44140625" customWidth="1"/>
    <col min="533" max="535" width="27.109375" customWidth="1"/>
    <col min="536" max="536" width="0" hidden="1" customWidth="1"/>
    <col min="769" max="769" width="0" hidden="1" customWidth="1"/>
    <col min="770" max="771" width="12.6640625" customWidth="1"/>
    <col min="772" max="772" width="16.6640625" customWidth="1"/>
    <col min="773" max="786" width="0" hidden="1" customWidth="1"/>
    <col min="787" max="787" width="12.6640625" customWidth="1"/>
    <col min="788" max="788" width="44.44140625" customWidth="1"/>
    <col min="789" max="791" width="27.109375" customWidth="1"/>
    <col min="792" max="792" width="0" hidden="1" customWidth="1"/>
    <col min="1025" max="1025" width="0" hidden="1" customWidth="1"/>
    <col min="1026" max="1027" width="12.6640625" customWidth="1"/>
    <col min="1028" max="1028" width="16.6640625" customWidth="1"/>
    <col min="1029" max="1042" width="0" hidden="1" customWidth="1"/>
    <col min="1043" max="1043" width="12.6640625" customWidth="1"/>
    <col min="1044" max="1044" width="44.44140625" customWidth="1"/>
    <col min="1045" max="1047" width="27.109375" customWidth="1"/>
    <col min="1048" max="1048" width="0" hidden="1" customWidth="1"/>
    <col min="1281" max="1281" width="0" hidden="1" customWidth="1"/>
    <col min="1282" max="1283" width="12.6640625" customWidth="1"/>
    <col min="1284" max="1284" width="16.6640625" customWidth="1"/>
    <col min="1285" max="1298" width="0" hidden="1" customWidth="1"/>
    <col min="1299" max="1299" width="12.6640625" customWidth="1"/>
    <col min="1300" max="1300" width="44.44140625" customWidth="1"/>
    <col min="1301" max="1303" width="27.109375" customWidth="1"/>
    <col min="1304" max="1304" width="0" hidden="1" customWidth="1"/>
    <col min="1537" max="1537" width="0" hidden="1" customWidth="1"/>
    <col min="1538" max="1539" width="12.6640625" customWidth="1"/>
    <col min="1540" max="1540" width="16.6640625" customWidth="1"/>
    <col min="1541" max="1554" width="0" hidden="1" customWidth="1"/>
    <col min="1555" max="1555" width="12.6640625" customWidth="1"/>
    <col min="1556" max="1556" width="44.44140625" customWidth="1"/>
    <col min="1557" max="1559" width="27.109375" customWidth="1"/>
    <col min="1560" max="1560" width="0" hidden="1" customWidth="1"/>
    <col min="1793" max="1793" width="0" hidden="1" customWidth="1"/>
    <col min="1794" max="1795" width="12.6640625" customWidth="1"/>
    <col min="1796" max="1796" width="16.6640625" customWidth="1"/>
    <col min="1797" max="1810" width="0" hidden="1" customWidth="1"/>
    <col min="1811" max="1811" width="12.6640625" customWidth="1"/>
    <col min="1812" max="1812" width="44.44140625" customWidth="1"/>
    <col min="1813" max="1815" width="27.109375" customWidth="1"/>
    <col min="1816" max="1816" width="0" hidden="1" customWidth="1"/>
    <col min="2049" max="2049" width="0" hidden="1" customWidth="1"/>
    <col min="2050" max="2051" width="12.6640625" customWidth="1"/>
    <col min="2052" max="2052" width="16.6640625" customWidth="1"/>
    <col min="2053" max="2066" width="0" hidden="1" customWidth="1"/>
    <col min="2067" max="2067" width="12.6640625" customWidth="1"/>
    <col min="2068" max="2068" width="44.44140625" customWidth="1"/>
    <col min="2069" max="2071" width="27.109375" customWidth="1"/>
    <col min="2072" max="2072" width="0" hidden="1" customWidth="1"/>
    <col min="2305" max="2305" width="0" hidden="1" customWidth="1"/>
    <col min="2306" max="2307" width="12.6640625" customWidth="1"/>
    <col min="2308" max="2308" width="16.6640625" customWidth="1"/>
    <col min="2309" max="2322" width="0" hidden="1" customWidth="1"/>
    <col min="2323" max="2323" width="12.6640625" customWidth="1"/>
    <col min="2324" max="2324" width="44.44140625" customWidth="1"/>
    <col min="2325" max="2327" width="27.109375" customWidth="1"/>
    <col min="2328" max="2328" width="0" hidden="1" customWidth="1"/>
    <col min="2561" max="2561" width="0" hidden="1" customWidth="1"/>
    <col min="2562" max="2563" width="12.6640625" customWidth="1"/>
    <col min="2564" max="2564" width="16.6640625" customWidth="1"/>
    <col min="2565" max="2578" width="0" hidden="1" customWidth="1"/>
    <col min="2579" max="2579" width="12.6640625" customWidth="1"/>
    <col min="2580" max="2580" width="44.44140625" customWidth="1"/>
    <col min="2581" max="2583" width="27.109375" customWidth="1"/>
    <col min="2584" max="2584" width="0" hidden="1" customWidth="1"/>
    <col min="2817" max="2817" width="0" hidden="1" customWidth="1"/>
    <col min="2818" max="2819" width="12.6640625" customWidth="1"/>
    <col min="2820" max="2820" width="16.6640625" customWidth="1"/>
    <col min="2821" max="2834" width="0" hidden="1" customWidth="1"/>
    <col min="2835" max="2835" width="12.6640625" customWidth="1"/>
    <col min="2836" max="2836" width="44.44140625" customWidth="1"/>
    <col min="2837" max="2839" width="27.109375" customWidth="1"/>
    <col min="2840" max="2840" width="0" hidden="1" customWidth="1"/>
    <col min="3073" max="3073" width="0" hidden="1" customWidth="1"/>
    <col min="3074" max="3075" width="12.6640625" customWidth="1"/>
    <col min="3076" max="3076" width="16.6640625" customWidth="1"/>
    <col min="3077" max="3090" width="0" hidden="1" customWidth="1"/>
    <col min="3091" max="3091" width="12.6640625" customWidth="1"/>
    <col min="3092" max="3092" width="44.44140625" customWidth="1"/>
    <col min="3093" max="3095" width="27.109375" customWidth="1"/>
    <col min="3096" max="3096" width="0" hidden="1" customWidth="1"/>
    <col min="3329" max="3329" width="0" hidden="1" customWidth="1"/>
    <col min="3330" max="3331" width="12.6640625" customWidth="1"/>
    <col min="3332" max="3332" width="16.6640625" customWidth="1"/>
    <col min="3333" max="3346" width="0" hidden="1" customWidth="1"/>
    <col min="3347" max="3347" width="12.6640625" customWidth="1"/>
    <col min="3348" max="3348" width="44.44140625" customWidth="1"/>
    <col min="3349" max="3351" width="27.109375" customWidth="1"/>
    <col min="3352" max="3352" width="0" hidden="1" customWidth="1"/>
    <col min="3585" max="3585" width="0" hidden="1" customWidth="1"/>
    <col min="3586" max="3587" width="12.6640625" customWidth="1"/>
    <col min="3588" max="3588" width="16.6640625" customWidth="1"/>
    <col min="3589" max="3602" width="0" hidden="1" customWidth="1"/>
    <col min="3603" max="3603" width="12.6640625" customWidth="1"/>
    <col min="3604" max="3604" width="44.44140625" customWidth="1"/>
    <col min="3605" max="3607" width="27.109375" customWidth="1"/>
    <col min="3608" max="3608" width="0" hidden="1" customWidth="1"/>
    <col min="3841" max="3841" width="0" hidden="1" customWidth="1"/>
    <col min="3842" max="3843" width="12.6640625" customWidth="1"/>
    <col min="3844" max="3844" width="16.6640625" customWidth="1"/>
    <col min="3845" max="3858" width="0" hidden="1" customWidth="1"/>
    <col min="3859" max="3859" width="12.6640625" customWidth="1"/>
    <col min="3860" max="3860" width="44.44140625" customWidth="1"/>
    <col min="3861" max="3863" width="27.109375" customWidth="1"/>
    <col min="3864" max="3864" width="0" hidden="1" customWidth="1"/>
    <col min="4097" max="4097" width="0" hidden="1" customWidth="1"/>
    <col min="4098" max="4099" width="12.6640625" customWidth="1"/>
    <col min="4100" max="4100" width="16.6640625" customWidth="1"/>
    <col min="4101" max="4114" width="0" hidden="1" customWidth="1"/>
    <col min="4115" max="4115" width="12.6640625" customWidth="1"/>
    <col min="4116" max="4116" width="44.44140625" customWidth="1"/>
    <col min="4117" max="4119" width="27.109375" customWidth="1"/>
    <col min="4120" max="4120" width="0" hidden="1" customWidth="1"/>
    <col min="4353" max="4353" width="0" hidden="1" customWidth="1"/>
    <col min="4354" max="4355" width="12.6640625" customWidth="1"/>
    <col min="4356" max="4356" width="16.6640625" customWidth="1"/>
    <col min="4357" max="4370" width="0" hidden="1" customWidth="1"/>
    <col min="4371" max="4371" width="12.6640625" customWidth="1"/>
    <col min="4372" max="4372" width="44.44140625" customWidth="1"/>
    <col min="4373" max="4375" width="27.109375" customWidth="1"/>
    <col min="4376" max="4376" width="0" hidden="1" customWidth="1"/>
    <col min="4609" max="4609" width="0" hidden="1" customWidth="1"/>
    <col min="4610" max="4611" width="12.6640625" customWidth="1"/>
    <col min="4612" max="4612" width="16.6640625" customWidth="1"/>
    <col min="4613" max="4626" width="0" hidden="1" customWidth="1"/>
    <col min="4627" max="4627" width="12.6640625" customWidth="1"/>
    <col min="4628" max="4628" width="44.44140625" customWidth="1"/>
    <col min="4629" max="4631" width="27.109375" customWidth="1"/>
    <col min="4632" max="4632" width="0" hidden="1" customWidth="1"/>
    <col min="4865" max="4865" width="0" hidden="1" customWidth="1"/>
    <col min="4866" max="4867" width="12.6640625" customWidth="1"/>
    <col min="4868" max="4868" width="16.6640625" customWidth="1"/>
    <col min="4869" max="4882" width="0" hidden="1" customWidth="1"/>
    <col min="4883" max="4883" width="12.6640625" customWidth="1"/>
    <col min="4884" max="4884" width="44.44140625" customWidth="1"/>
    <col min="4885" max="4887" width="27.109375" customWidth="1"/>
    <col min="4888" max="4888" width="0" hidden="1" customWidth="1"/>
    <col min="5121" max="5121" width="0" hidden="1" customWidth="1"/>
    <col min="5122" max="5123" width="12.6640625" customWidth="1"/>
    <col min="5124" max="5124" width="16.6640625" customWidth="1"/>
    <col min="5125" max="5138" width="0" hidden="1" customWidth="1"/>
    <col min="5139" max="5139" width="12.6640625" customWidth="1"/>
    <col min="5140" max="5140" width="44.44140625" customWidth="1"/>
    <col min="5141" max="5143" width="27.109375" customWidth="1"/>
    <col min="5144" max="5144" width="0" hidden="1" customWidth="1"/>
    <col min="5377" max="5377" width="0" hidden="1" customWidth="1"/>
    <col min="5378" max="5379" width="12.6640625" customWidth="1"/>
    <col min="5380" max="5380" width="16.6640625" customWidth="1"/>
    <col min="5381" max="5394" width="0" hidden="1" customWidth="1"/>
    <col min="5395" max="5395" width="12.6640625" customWidth="1"/>
    <col min="5396" max="5396" width="44.44140625" customWidth="1"/>
    <col min="5397" max="5399" width="27.109375" customWidth="1"/>
    <col min="5400" max="5400" width="0" hidden="1" customWidth="1"/>
    <col min="5633" max="5633" width="0" hidden="1" customWidth="1"/>
    <col min="5634" max="5635" width="12.6640625" customWidth="1"/>
    <col min="5636" max="5636" width="16.6640625" customWidth="1"/>
    <col min="5637" max="5650" width="0" hidden="1" customWidth="1"/>
    <col min="5651" max="5651" width="12.6640625" customWidth="1"/>
    <col min="5652" max="5652" width="44.44140625" customWidth="1"/>
    <col min="5653" max="5655" width="27.109375" customWidth="1"/>
    <col min="5656" max="5656" width="0" hidden="1" customWidth="1"/>
    <col min="5889" max="5889" width="0" hidden="1" customWidth="1"/>
    <col min="5890" max="5891" width="12.6640625" customWidth="1"/>
    <col min="5892" max="5892" width="16.6640625" customWidth="1"/>
    <col min="5893" max="5906" width="0" hidden="1" customWidth="1"/>
    <col min="5907" max="5907" width="12.6640625" customWidth="1"/>
    <col min="5908" max="5908" width="44.44140625" customWidth="1"/>
    <col min="5909" max="5911" width="27.109375" customWidth="1"/>
    <col min="5912" max="5912" width="0" hidden="1" customWidth="1"/>
    <col min="6145" max="6145" width="0" hidden="1" customWidth="1"/>
    <col min="6146" max="6147" width="12.6640625" customWidth="1"/>
    <col min="6148" max="6148" width="16.6640625" customWidth="1"/>
    <col min="6149" max="6162" width="0" hidden="1" customWidth="1"/>
    <col min="6163" max="6163" width="12.6640625" customWidth="1"/>
    <col min="6164" max="6164" width="44.44140625" customWidth="1"/>
    <col min="6165" max="6167" width="27.109375" customWidth="1"/>
    <col min="6168" max="6168" width="0" hidden="1" customWidth="1"/>
    <col min="6401" max="6401" width="0" hidden="1" customWidth="1"/>
    <col min="6402" max="6403" width="12.6640625" customWidth="1"/>
    <col min="6404" max="6404" width="16.6640625" customWidth="1"/>
    <col min="6405" max="6418" width="0" hidden="1" customWidth="1"/>
    <col min="6419" max="6419" width="12.6640625" customWidth="1"/>
    <col min="6420" max="6420" width="44.44140625" customWidth="1"/>
    <col min="6421" max="6423" width="27.109375" customWidth="1"/>
    <col min="6424" max="6424" width="0" hidden="1" customWidth="1"/>
    <col min="6657" max="6657" width="0" hidden="1" customWidth="1"/>
    <col min="6658" max="6659" width="12.6640625" customWidth="1"/>
    <col min="6660" max="6660" width="16.6640625" customWidth="1"/>
    <col min="6661" max="6674" width="0" hidden="1" customWidth="1"/>
    <col min="6675" max="6675" width="12.6640625" customWidth="1"/>
    <col min="6676" max="6676" width="44.44140625" customWidth="1"/>
    <col min="6677" max="6679" width="27.109375" customWidth="1"/>
    <col min="6680" max="6680" width="0" hidden="1" customWidth="1"/>
    <col min="6913" max="6913" width="0" hidden="1" customWidth="1"/>
    <col min="6914" max="6915" width="12.6640625" customWidth="1"/>
    <col min="6916" max="6916" width="16.6640625" customWidth="1"/>
    <col min="6917" max="6930" width="0" hidden="1" customWidth="1"/>
    <col min="6931" max="6931" width="12.6640625" customWidth="1"/>
    <col min="6932" max="6932" width="44.44140625" customWidth="1"/>
    <col min="6933" max="6935" width="27.109375" customWidth="1"/>
    <col min="6936" max="6936" width="0" hidden="1" customWidth="1"/>
    <col min="7169" max="7169" width="0" hidden="1" customWidth="1"/>
    <col min="7170" max="7171" width="12.6640625" customWidth="1"/>
    <col min="7172" max="7172" width="16.6640625" customWidth="1"/>
    <col min="7173" max="7186" width="0" hidden="1" customWidth="1"/>
    <col min="7187" max="7187" width="12.6640625" customWidth="1"/>
    <col min="7188" max="7188" width="44.44140625" customWidth="1"/>
    <col min="7189" max="7191" width="27.109375" customWidth="1"/>
    <col min="7192" max="7192" width="0" hidden="1" customWidth="1"/>
    <col min="7425" max="7425" width="0" hidden="1" customWidth="1"/>
    <col min="7426" max="7427" width="12.6640625" customWidth="1"/>
    <col min="7428" max="7428" width="16.6640625" customWidth="1"/>
    <col min="7429" max="7442" width="0" hidden="1" customWidth="1"/>
    <col min="7443" max="7443" width="12.6640625" customWidth="1"/>
    <col min="7444" max="7444" width="44.44140625" customWidth="1"/>
    <col min="7445" max="7447" width="27.109375" customWidth="1"/>
    <col min="7448" max="7448" width="0" hidden="1" customWidth="1"/>
    <col min="7681" max="7681" width="0" hidden="1" customWidth="1"/>
    <col min="7682" max="7683" width="12.6640625" customWidth="1"/>
    <col min="7684" max="7684" width="16.6640625" customWidth="1"/>
    <col min="7685" max="7698" width="0" hidden="1" customWidth="1"/>
    <col min="7699" max="7699" width="12.6640625" customWidth="1"/>
    <col min="7700" max="7700" width="44.44140625" customWidth="1"/>
    <col min="7701" max="7703" width="27.109375" customWidth="1"/>
    <col min="7704" max="7704" width="0" hidden="1" customWidth="1"/>
    <col min="7937" max="7937" width="0" hidden="1" customWidth="1"/>
    <col min="7938" max="7939" width="12.6640625" customWidth="1"/>
    <col min="7940" max="7940" width="16.6640625" customWidth="1"/>
    <col min="7941" max="7954" width="0" hidden="1" customWidth="1"/>
    <col min="7955" max="7955" width="12.6640625" customWidth="1"/>
    <col min="7956" max="7956" width="44.44140625" customWidth="1"/>
    <col min="7957" max="7959" width="27.109375" customWidth="1"/>
    <col min="7960" max="7960" width="0" hidden="1" customWidth="1"/>
    <col min="8193" max="8193" width="0" hidden="1" customWidth="1"/>
    <col min="8194" max="8195" width="12.6640625" customWidth="1"/>
    <col min="8196" max="8196" width="16.6640625" customWidth="1"/>
    <col min="8197" max="8210" width="0" hidden="1" customWidth="1"/>
    <col min="8211" max="8211" width="12.6640625" customWidth="1"/>
    <col min="8212" max="8212" width="44.44140625" customWidth="1"/>
    <col min="8213" max="8215" width="27.109375" customWidth="1"/>
    <col min="8216" max="8216" width="0" hidden="1" customWidth="1"/>
    <col min="8449" max="8449" width="0" hidden="1" customWidth="1"/>
    <col min="8450" max="8451" width="12.6640625" customWidth="1"/>
    <col min="8452" max="8452" width="16.6640625" customWidth="1"/>
    <col min="8453" max="8466" width="0" hidden="1" customWidth="1"/>
    <col min="8467" max="8467" width="12.6640625" customWidth="1"/>
    <col min="8468" max="8468" width="44.44140625" customWidth="1"/>
    <col min="8469" max="8471" width="27.109375" customWidth="1"/>
    <col min="8472" max="8472" width="0" hidden="1" customWidth="1"/>
    <col min="8705" max="8705" width="0" hidden="1" customWidth="1"/>
    <col min="8706" max="8707" width="12.6640625" customWidth="1"/>
    <col min="8708" max="8708" width="16.6640625" customWidth="1"/>
    <col min="8709" max="8722" width="0" hidden="1" customWidth="1"/>
    <col min="8723" max="8723" width="12.6640625" customWidth="1"/>
    <col min="8724" max="8724" width="44.44140625" customWidth="1"/>
    <col min="8725" max="8727" width="27.109375" customWidth="1"/>
    <col min="8728" max="8728" width="0" hidden="1" customWidth="1"/>
    <col min="8961" max="8961" width="0" hidden="1" customWidth="1"/>
    <col min="8962" max="8963" width="12.6640625" customWidth="1"/>
    <col min="8964" max="8964" width="16.6640625" customWidth="1"/>
    <col min="8965" max="8978" width="0" hidden="1" customWidth="1"/>
    <col min="8979" max="8979" width="12.6640625" customWidth="1"/>
    <col min="8980" max="8980" width="44.44140625" customWidth="1"/>
    <col min="8981" max="8983" width="27.109375" customWidth="1"/>
    <col min="8984" max="8984" width="0" hidden="1" customWidth="1"/>
    <col min="9217" max="9217" width="0" hidden="1" customWidth="1"/>
    <col min="9218" max="9219" width="12.6640625" customWidth="1"/>
    <col min="9220" max="9220" width="16.6640625" customWidth="1"/>
    <col min="9221" max="9234" width="0" hidden="1" customWidth="1"/>
    <col min="9235" max="9235" width="12.6640625" customWidth="1"/>
    <col min="9236" max="9236" width="44.44140625" customWidth="1"/>
    <col min="9237" max="9239" width="27.109375" customWidth="1"/>
    <col min="9240" max="9240" width="0" hidden="1" customWidth="1"/>
    <col min="9473" max="9473" width="0" hidden="1" customWidth="1"/>
    <col min="9474" max="9475" width="12.6640625" customWidth="1"/>
    <col min="9476" max="9476" width="16.6640625" customWidth="1"/>
    <col min="9477" max="9490" width="0" hidden="1" customWidth="1"/>
    <col min="9491" max="9491" width="12.6640625" customWidth="1"/>
    <col min="9492" max="9492" width="44.44140625" customWidth="1"/>
    <col min="9493" max="9495" width="27.109375" customWidth="1"/>
    <col min="9496" max="9496" width="0" hidden="1" customWidth="1"/>
    <col min="9729" max="9729" width="0" hidden="1" customWidth="1"/>
    <col min="9730" max="9731" width="12.6640625" customWidth="1"/>
    <col min="9732" max="9732" width="16.6640625" customWidth="1"/>
    <col min="9733" max="9746" width="0" hidden="1" customWidth="1"/>
    <col min="9747" max="9747" width="12.6640625" customWidth="1"/>
    <col min="9748" max="9748" width="44.44140625" customWidth="1"/>
    <col min="9749" max="9751" width="27.109375" customWidth="1"/>
    <col min="9752" max="9752" width="0" hidden="1" customWidth="1"/>
    <col min="9985" max="9985" width="0" hidden="1" customWidth="1"/>
    <col min="9986" max="9987" width="12.6640625" customWidth="1"/>
    <col min="9988" max="9988" width="16.6640625" customWidth="1"/>
    <col min="9989" max="10002" width="0" hidden="1" customWidth="1"/>
    <col min="10003" max="10003" width="12.6640625" customWidth="1"/>
    <col min="10004" max="10004" width="44.44140625" customWidth="1"/>
    <col min="10005" max="10007" width="27.109375" customWidth="1"/>
    <col min="10008" max="10008" width="0" hidden="1" customWidth="1"/>
    <col min="10241" max="10241" width="0" hidden="1" customWidth="1"/>
    <col min="10242" max="10243" width="12.6640625" customWidth="1"/>
    <col min="10244" max="10244" width="16.6640625" customWidth="1"/>
    <col min="10245" max="10258" width="0" hidden="1" customWidth="1"/>
    <col min="10259" max="10259" width="12.6640625" customWidth="1"/>
    <col min="10260" max="10260" width="44.44140625" customWidth="1"/>
    <col min="10261" max="10263" width="27.109375" customWidth="1"/>
    <col min="10264" max="10264" width="0" hidden="1" customWidth="1"/>
    <col min="10497" max="10497" width="0" hidden="1" customWidth="1"/>
    <col min="10498" max="10499" width="12.6640625" customWidth="1"/>
    <col min="10500" max="10500" width="16.6640625" customWidth="1"/>
    <col min="10501" max="10514" width="0" hidden="1" customWidth="1"/>
    <col min="10515" max="10515" width="12.6640625" customWidth="1"/>
    <col min="10516" max="10516" width="44.44140625" customWidth="1"/>
    <col min="10517" max="10519" width="27.109375" customWidth="1"/>
    <col min="10520" max="10520" width="0" hidden="1" customWidth="1"/>
    <col min="10753" max="10753" width="0" hidden="1" customWidth="1"/>
    <col min="10754" max="10755" width="12.6640625" customWidth="1"/>
    <col min="10756" max="10756" width="16.6640625" customWidth="1"/>
    <col min="10757" max="10770" width="0" hidden="1" customWidth="1"/>
    <col min="10771" max="10771" width="12.6640625" customWidth="1"/>
    <col min="10772" max="10772" width="44.44140625" customWidth="1"/>
    <col min="10773" max="10775" width="27.109375" customWidth="1"/>
    <col min="10776" max="10776" width="0" hidden="1" customWidth="1"/>
    <col min="11009" max="11009" width="0" hidden="1" customWidth="1"/>
    <col min="11010" max="11011" width="12.6640625" customWidth="1"/>
    <col min="11012" max="11012" width="16.6640625" customWidth="1"/>
    <col min="11013" max="11026" width="0" hidden="1" customWidth="1"/>
    <col min="11027" max="11027" width="12.6640625" customWidth="1"/>
    <col min="11028" max="11028" width="44.44140625" customWidth="1"/>
    <col min="11029" max="11031" width="27.109375" customWidth="1"/>
    <col min="11032" max="11032" width="0" hidden="1" customWidth="1"/>
    <col min="11265" max="11265" width="0" hidden="1" customWidth="1"/>
    <col min="11266" max="11267" width="12.6640625" customWidth="1"/>
    <col min="11268" max="11268" width="16.6640625" customWidth="1"/>
    <col min="11269" max="11282" width="0" hidden="1" customWidth="1"/>
    <col min="11283" max="11283" width="12.6640625" customWidth="1"/>
    <col min="11284" max="11284" width="44.44140625" customWidth="1"/>
    <col min="11285" max="11287" width="27.109375" customWidth="1"/>
    <col min="11288" max="11288" width="0" hidden="1" customWidth="1"/>
    <col min="11521" max="11521" width="0" hidden="1" customWidth="1"/>
    <col min="11522" max="11523" width="12.6640625" customWidth="1"/>
    <col min="11524" max="11524" width="16.6640625" customWidth="1"/>
    <col min="11525" max="11538" width="0" hidden="1" customWidth="1"/>
    <col min="11539" max="11539" width="12.6640625" customWidth="1"/>
    <col min="11540" max="11540" width="44.44140625" customWidth="1"/>
    <col min="11541" max="11543" width="27.109375" customWidth="1"/>
    <col min="11544" max="11544" width="0" hidden="1" customWidth="1"/>
    <col min="11777" max="11777" width="0" hidden="1" customWidth="1"/>
    <col min="11778" max="11779" width="12.6640625" customWidth="1"/>
    <col min="11780" max="11780" width="16.6640625" customWidth="1"/>
    <col min="11781" max="11794" width="0" hidden="1" customWidth="1"/>
    <col min="11795" max="11795" width="12.6640625" customWidth="1"/>
    <col min="11796" max="11796" width="44.44140625" customWidth="1"/>
    <col min="11797" max="11799" width="27.109375" customWidth="1"/>
    <col min="11800" max="11800" width="0" hidden="1" customWidth="1"/>
    <col min="12033" max="12033" width="0" hidden="1" customWidth="1"/>
    <col min="12034" max="12035" width="12.6640625" customWidth="1"/>
    <col min="12036" max="12036" width="16.6640625" customWidth="1"/>
    <col min="12037" max="12050" width="0" hidden="1" customWidth="1"/>
    <col min="12051" max="12051" width="12.6640625" customWidth="1"/>
    <col min="12052" max="12052" width="44.44140625" customWidth="1"/>
    <col min="12053" max="12055" width="27.109375" customWidth="1"/>
    <col min="12056" max="12056" width="0" hidden="1" customWidth="1"/>
    <col min="12289" max="12289" width="0" hidden="1" customWidth="1"/>
    <col min="12290" max="12291" width="12.6640625" customWidth="1"/>
    <col min="12292" max="12292" width="16.6640625" customWidth="1"/>
    <col min="12293" max="12306" width="0" hidden="1" customWidth="1"/>
    <col min="12307" max="12307" width="12.6640625" customWidth="1"/>
    <col min="12308" max="12308" width="44.44140625" customWidth="1"/>
    <col min="12309" max="12311" width="27.109375" customWidth="1"/>
    <col min="12312" max="12312" width="0" hidden="1" customWidth="1"/>
    <col min="12545" max="12545" width="0" hidden="1" customWidth="1"/>
    <col min="12546" max="12547" width="12.6640625" customWidth="1"/>
    <col min="12548" max="12548" width="16.6640625" customWidth="1"/>
    <col min="12549" max="12562" width="0" hidden="1" customWidth="1"/>
    <col min="12563" max="12563" width="12.6640625" customWidth="1"/>
    <col min="12564" max="12564" width="44.44140625" customWidth="1"/>
    <col min="12565" max="12567" width="27.109375" customWidth="1"/>
    <col min="12568" max="12568" width="0" hidden="1" customWidth="1"/>
    <col min="12801" max="12801" width="0" hidden="1" customWidth="1"/>
    <col min="12802" max="12803" width="12.6640625" customWidth="1"/>
    <col min="12804" max="12804" width="16.6640625" customWidth="1"/>
    <col min="12805" max="12818" width="0" hidden="1" customWidth="1"/>
    <col min="12819" max="12819" width="12.6640625" customWidth="1"/>
    <col min="12820" max="12820" width="44.44140625" customWidth="1"/>
    <col min="12821" max="12823" width="27.109375" customWidth="1"/>
    <col min="12824" max="12824" width="0" hidden="1" customWidth="1"/>
    <col min="13057" max="13057" width="0" hidden="1" customWidth="1"/>
    <col min="13058" max="13059" width="12.6640625" customWidth="1"/>
    <col min="13060" max="13060" width="16.6640625" customWidth="1"/>
    <col min="13061" max="13074" width="0" hidden="1" customWidth="1"/>
    <col min="13075" max="13075" width="12.6640625" customWidth="1"/>
    <col min="13076" max="13076" width="44.44140625" customWidth="1"/>
    <col min="13077" max="13079" width="27.109375" customWidth="1"/>
    <col min="13080" max="13080" width="0" hidden="1" customWidth="1"/>
    <col min="13313" max="13313" width="0" hidden="1" customWidth="1"/>
    <col min="13314" max="13315" width="12.6640625" customWidth="1"/>
    <col min="13316" max="13316" width="16.6640625" customWidth="1"/>
    <col min="13317" max="13330" width="0" hidden="1" customWidth="1"/>
    <col min="13331" max="13331" width="12.6640625" customWidth="1"/>
    <col min="13332" max="13332" width="44.44140625" customWidth="1"/>
    <col min="13333" max="13335" width="27.109375" customWidth="1"/>
    <col min="13336" max="13336" width="0" hidden="1" customWidth="1"/>
    <col min="13569" max="13569" width="0" hidden="1" customWidth="1"/>
    <col min="13570" max="13571" width="12.6640625" customWidth="1"/>
    <col min="13572" max="13572" width="16.6640625" customWidth="1"/>
    <col min="13573" max="13586" width="0" hidden="1" customWidth="1"/>
    <col min="13587" max="13587" width="12.6640625" customWidth="1"/>
    <col min="13588" max="13588" width="44.44140625" customWidth="1"/>
    <col min="13589" max="13591" width="27.109375" customWidth="1"/>
    <col min="13592" max="13592" width="0" hidden="1" customWidth="1"/>
    <col min="13825" max="13825" width="0" hidden="1" customWidth="1"/>
    <col min="13826" max="13827" width="12.6640625" customWidth="1"/>
    <col min="13828" max="13828" width="16.6640625" customWidth="1"/>
    <col min="13829" max="13842" width="0" hidden="1" customWidth="1"/>
    <col min="13843" max="13843" width="12.6640625" customWidth="1"/>
    <col min="13844" max="13844" width="44.44140625" customWidth="1"/>
    <col min="13845" max="13847" width="27.109375" customWidth="1"/>
    <col min="13848" max="13848" width="0" hidden="1" customWidth="1"/>
    <col min="14081" max="14081" width="0" hidden="1" customWidth="1"/>
    <col min="14082" max="14083" width="12.6640625" customWidth="1"/>
    <col min="14084" max="14084" width="16.6640625" customWidth="1"/>
    <col min="14085" max="14098" width="0" hidden="1" customWidth="1"/>
    <col min="14099" max="14099" width="12.6640625" customWidth="1"/>
    <col min="14100" max="14100" width="44.44140625" customWidth="1"/>
    <col min="14101" max="14103" width="27.109375" customWidth="1"/>
    <col min="14104" max="14104" width="0" hidden="1" customWidth="1"/>
    <col min="14337" max="14337" width="0" hidden="1" customWidth="1"/>
    <col min="14338" max="14339" width="12.6640625" customWidth="1"/>
    <col min="14340" max="14340" width="16.6640625" customWidth="1"/>
    <col min="14341" max="14354" width="0" hidden="1" customWidth="1"/>
    <col min="14355" max="14355" width="12.6640625" customWidth="1"/>
    <col min="14356" max="14356" width="44.44140625" customWidth="1"/>
    <col min="14357" max="14359" width="27.109375" customWidth="1"/>
    <col min="14360" max="14360" width="0" hidden="1" customWidth="1"/>
    <col min="14593" max="14593" width="0" hidden="1" customWidth="1"/>
    <col min="14594" max="14595" width="12.6640625" customWidth="1"/>
    <col min="14596" max="14596" width="16.6640625" customWidth="1"/>
    <col min="14597" max="14610" width="0" hidden="1" customWidth="1"/>
    <col min="14611" max="14611" width="12.6640625" customWidth="1"/>
    <col min="14612" max="14612" width="44.44140625" customWidth="1"/>
    <col min="14613" max="14615" width="27.109375" customWidth="1"/>
    <col min="14616" max="14616" width="0" hidden="1" customWidth="1"/>
    <col min="14849" max="14849" width="0" hidden="1" customWidth="1"/>
    <col min="14850" max="14851" width="12.6640625" customWidth="1"/>
    <col min="14852" max="14852" width="16.6640625" customWidth="1"/>
    <col min="14853" max="14866" width="0" hidden="1" customWidth="1"/>
    <col min="14867" max="14867" width="12.6640625" customWidth="1"/>
    <col min="14868" max="14868" width="44.44140625" customWidth="1"/>
    <col min="14869" max="14871" width="27.109375" customWidth="1"/>
    <col min="14872" max="14872" width="0" hidden="1" customWidth="1"/>
    <col min="15105" max="15105" width="0" hidden="1" customWidth="1"/>
    <col min="15106" max="15107" width="12.6640625" customWidth="1"/>
    <col min="15108" max="15108" width="16.6640625" customWidth="1"/>
    <col min="15109" max="15122" width="0" hidden="1" customWidth="1"/>
    <col min="15123" max="15123" width="12.6640625" customWidth="1"/>
    <col min="15124" max="15124" width="44.44140625" customWidth="1"/>
    <col min="15125" max="15127" width="27.109375" customWidth="1"/>
    <col min="15128" max="15128" width="0" hidden="1" customWidth="1"/>
    <col min="15361" max="15361" width="0" hidden="1" customWidth="1"/>
    <col min="15362" max="15363" width="12.6640625" customWidth="1"/>
    <col min="15364" max="15364" width="16.6640625" customWidth="1"/>
    <col min="15365" max="15378" width="0" hidden="1" customWidth="1"/>
    <col min="15379" max="15379" width="12.6640625" customWidth="1"/>
    <col min="15380" max="15380" width="44.44140625" customWidth="1"/>
    <col min="15381" max="15383" width="27.109375" customWidth="1"/>
    <col min="15384" max="15384" width="0" hidden="1" customWidth="1"/>
    <col min="15617" max="15617" width="0" hidden="1" customWidth="1"/>
    <col min="15618" max="15619" width="12.6640625" customWidth="1"/>
    <col min="15620" max="15620" width="16.6640625" customWidth="1"/>
    <col min="15621" max="15634" width="0" hidden="1" customWidth="1"/>
    <col min="15635" max="15635" width="12.6640625" customWidth="1"/>
    <col min="15636" max="15636" width="44.44140625" customWidth="1"/>
    <col min="15637" max="15639" width="27.109375" customWidth="1"/>
    <col min="15640" max="15640" width="0" hidden="1" customWidth="1"/>
    <col min="15873" max="15873" width="0" hidden="1" customWidth="1"/>
    <col min="15874" max="15875" width="12.6640625" customWidth="1"/>
    <col min="15876" max="15876" width="16.6640625" customWidth="1"/>
    <col min="15877" max="15890" width="0" hidden="1" customWidth="1"/>
    <col min="15891" max="15891" width="12.6640625" customWidth="1"/>
    <col min="15892" max="15892" width="44.44140625" customWidth="1"/>
    <col min="15893" max="15895" width="27.109375" customWidth="1"/>
    <col min="15896" max="15896" width="0" hidden="1" customWidth="1"/>
    <col min="16129" max="16129" width="0" hidden="1" customWidth="1"/>
    <col min="16130" max="16131" width="12.6640625" customWidth="1"/>
    <col min="16132" max="16132" width="16.6640625" customWidth="1"/>
    <col min="16133" max="16146" width="0" hidden="1" customWidth="1"/>
    <col min="16147" max="16147" width="12.6640625" customWidth="1"/>
    <col min="16148" max="16148" width="44.44140625" customWidth="1"/>
    <col min="16149" max="16151" width="27.109375" customWidth="1"/>
    <col min="16152" max="16152" width="0" hidden="1" customWidth="1"/>
  </cols>
  <sheetData>
    <row r="1" spans="1:26" x14ac:dyDescent="0.3">
      <c r="W1" t="s">
        <v>1059</v>
      </c>
    </row>
    <row r="2" spans="1:26" x14ac:dyDescent="0.3">
      <c r="W2" t="s">
        <v>155</v>
      </c>
    </row>
    <row r="3" spans="1:26" x14ac:dyDescent="0.3">
      <c r="W3" t="s">
        <v>543</v>
      </c>
    </row>
    <row r="4" spans="1:26" x14ac:dyDescent="0.3">
      <c r="W4" t="s">
        <v>1077</v>
      </c>
    </row>
    <row r="5" spans="1:26" ht="21.75" customHeight="1" x14ac:dyDescent="0.3">
      <c r="A5" s="190"/>
      <c r="B5" s="1164" t="s">
        <v>928</v>
      </c>
      <c r="C5" s="1164"/>
      <c r="D5" s="1164"/>
      <c r="E5" s="1164"/>
      <c r="F5" s="1164"/>
      <c r="G5" s="1164"/>
      <c r="H5" s="1164"/>
      <c r="I5" s="1164"/>
      <c r="J5" s="1164"/>
      <c r="K5" s="1164"/>
      <c r="L5" s="1164"/>
      <c r="M5" s="1164"/>
      <c r="N5" s="1164"/>
      <c r="O5" s="1164"/>
      <c r="P5" s="1164"/>
      <c r="Q5" s="1164"/>
      <c r="R5" s="1164"/>
      <c r="S5" s="1164"/>
      <c r="T5" s="1164"/>
      <c r="U5" s="1164"/>
      <c r="V5" s="1164"/>
      <c r="W5" s="1164"/>
      <c r="X5" s="1164"/>
    </row>
    <row r="7" spans="1:26" ht="21.75" customHeight="1" x14ac:dyDescent="0.3">
      <c r="A7" s="176"/>
      <c r="B7" s="176"/>
      <c r="C7" s="176"/>
      <c r="D7" s="176"/>
      <c r="E7" s="176"/>
      <c r="F7" s="176"/>
      <c r="G7" s="176"/>
      <c r="H7" s="176"/>
      <c r="I7" s="176"/>
      <c r="J7" s="176"/>
      <c r="K7" s="176"/>
      <c r="L7" s="176"/>
      <c r="M7" s="176"/>
      <c r="N7" s="176"/>
      <c r="O7" s="176"/>
      <c r="P7" s="176"/>
      <c r="Q7" s="176"/>
      <c r="R7" s="176"/>
      <c r="S7" s="176"/>
      <c r="T7" s="176"/>
      <c r="U7" s="176"/>
      <c r="V7" s="176"/>
      <c r="W7" s="176" t="s">
        <v>572</v>
      </c>
      <c r="X7" s="176"/>
      <c r="Z7" s="192"/>
    </row>
    <row r="8" spans="1:26" x14ac:dyDescent="0.3">
      <c r="A8" s="1165" t="s">
        <v>6</v>
      </c>
      <c r="B8" s="1165" t="s">
        <v>573</v>
      </c>
      <c r="C8" s="1165" t="s">
        <v>574</v>
      </c>
      <c r="D8" s="1165" t="s">
        <v>482</v>
      </c>
      <c r="E8" s="1165" t="s">
        <v>482</v>
      </c>
      <c r="F8" s="1165" t="s">
        <v>482</v>
      </c>
      <c r="G8" s="1165" t="s">
        <v>482</v>
      </c>
      <c r="H8" s="1165" t="s">
        <v>482</v>
      </c>
      <c r="I8" s="1165" t="s">
        <v>482</v>
      </c>
      <c r="J8" s="1165" t="s">
        <v>482</v>
      </c>
      <c r="K8" s="1165" t="s">
        <v>482</v>
      </c>
      <c r="L8" s="1165" t="s">
        <v>482</v>
      </c>
      <c r="M8" s="1165" t="s">
        <v>482</v>
      </c>
      <c r="N8" s="1165" t="s">
        <v>482</v>
      </c>
      <c r="O8" s="1165" t="s">
        <v>482</v>
      </c>
      <c r="P8" s="1165" t="s">
        <v>482</v>
      </c>
      <c r="Q8" s="1165" t="s">
        <v>482</v>
      </c>
      <c r="R8" s="1165" t="s">
        <v>482</v>
      </c>
      <c r="S8" s="1165" t="s">
        <v>510</v>
      </c>
      <c r="T8" s="1165" t="s">
        <v>6</v>
      </c>
      <c r="U8" s="1165" t="s">
        <v>575</v>
      </c>
      <c r="V8" s="1165" t="s">
        <v>576</v>
      </c>
      <c r="W8" s="1165" t="s">
        <v>577</v>
      </c>
      <c r="X8" s="1166" t="s">
        <v>6</v>
      </c>
    </row>
    <row r="9" spans="1:26" x14ac:dyDescent="0.3">
      <c r="A9" s="1165"/>
      <c r="B9" s="1165" t="s">
        <v>929</v>
      </c>
      <c r="C9" s="1165" t="s">
        <v>930</v>
      </c>
      <c r="D9" s="1165" t="s">
        <v>931</v>
      </c>
      <c r="E9" s="1165" t="s">
        <v>931</v>
      </c>
      <c r="F9" s="1165" t="s">
        <v>931</v>
      </c>
      <c r="G9" s="1165" t="s">
        <v>931</v>
      </c>
      <c r="H9" s="1165" t="s">
        <v>931</v>
      </c>
      <c r="I9" s="1165" t="s">
        <v>931</v>
      </c>
      <c r="J9" s="1165" t="s">
        <v>931</v>
      </c>
      <c r="K9" s="1165" t="s">
        <v>931</v>
      </c>
      <c r="L9" s="1165" t="s">
        <v>931</v>
      </c>
      <c r="M9" s="1165" t="s">
        <v>931</v>
      </c>
      <c r="N9" s="1165" t="s">
        <v>931</v>
      </c>
      <c r="O9" s="1165" t="s">
        <v>931</v>
      </c>
      <c r="P9" s="1165" t="s">
        <v>931</v>
      </c>
      <c r="Q9" s="1165" t="s">
        <v>931</v>
      </c>
      <c r="R9" s="1165" t="s">
        <v>931</v>
      </c>
      <c r="S9" s="1165" t="s">
        <v>932</v>
      </c>
      <c r="T9" s="1165"/>
      <c r="U9" s="1165"/>
      <c r="V9" s="1165" t="s">
        <v>575</v>
      </c>
      <c r="W9" s="1165" t="s">
        <v>575</v>
      </c>
      <c r="X9" s="1166"/>
    </row>
    <row r="10" spans="1:26" hidden="1" x14ac:dyDescent="0.3">
      <c r="A10" s="177"/>
      <c r="B10" s="177"/>
      <c r="C10" s="177"/>
      <c r="D10" s="177"/>
      <c r="E10" s="177"/>
      <c r="F10" s="177"/>
      <c r="G10" s="177"/>
      <c r="H10" s="177"/>
      <c r="I10" s="177"/>
      <c r="J10" s="177"/>
      <c r="K10" s="177"/>
      <c r="L10" s="177"/>
      <c r="M10" s="177"/>
      <c r="N10" s="177"/>
      <c r="O10" s="177"/>
      <c r="P10" s="177"/>
      <c r="Q10" s="177"/>
      <c r="R10" s="177"/>
      <c r="S10" s="177"/>
      <c r="T10" s="177"/>
      <c r="U10" s="314"/>
      <c r="V10" s="314"/>
      <c r="W10" s="314"/>
      <c r="X10" s="178"/>
    </row>
    <row r="11" spans="1:26" ht="37.200000000000003" customHeight="1" x14ac:dyDescent="0.3">
      <c r="A11" s="179" t="s">
        <v>578</v>
      </c>
      <c r="B11" s="191" t="s">
        <v>290</v>
      </c>
      <c r="C11" s="191" t="s">
        <v>317</v>
      </c>
      <c r="D11" s="191"/>
      <c r="E11" s="191"/>
      <c r="F11" s="191"/>
      <c r="G11" s="191"/>
      <c r="H11" s="191"/>
      <c r="I11" s="191"/>
      <c r="J11" s="191"/>
      <c r="K11" s="191"/>
      <c r="L11" s="191"/>
      <c r="M11" s="191"/>
      <c r="N11" s="191"/>
      <c r="O11" s="191"/>
      <c r="P11" s="191"/>
      <c r="Q11" s="191"/>
      <c r="R11" s="191"/>
      <c r="S11" s="191"/>
      <c r="T11" s="309" t="s">
        <v>578</v>
      </c>
      <c r="U11" s="316">
        <f>U12+U15+U22+U32+U35+U44+U47</f>
        <v>59094760.120000005</v>
      </c>
      <c r="V11" s="316">
        <f>V12+V15+V22+V32+V35+V44+V47</f>
        <v>59027715.570000008</v>
      </c>
      <c r="W11" s="316">
        <f>W12+W15+W22+W32+W35+W44+W47</f>
        <v>60226905.399999999</v>
      </c>
      <c r="X11" s="310" t="s">
        <v>578</v>
      </c>
    </row>
    <row r="12" spans="1:26" ht="74.400000000000006" customHeight="1" x14ac:dyDescent="0.3">
      <c r="A12" s="181" t="s">
        <v>533</v>
      </c>
      <c r="B12" s="182" t="s">
        <v>290</v>
      </c>
      <c r="C12" s="182" t="s">
        <v>316</v>
      </c>
      <c r="D12" s="182"/>
      <c r="E12" s="182"/>
      <c r="F12" s="182"/>
      <c r="G12" s="182"/>
      <c r="H12" s="182"/>
      <c r="I12" s="182"/>
      <c r="J12" s="182"/>
      <c r="K12" s="182"/>
      <c r="L12" s="182"/>
      <c r="M12" s="182"/>
      <c r="N12" s="182"/>
      <c r="O12" s="182"/>
      <c r="P12" s="182"/>
      <c r="Q12" s="182"/>
      <c r="R12" s="182"/>
      <c r="S12" s="182"/>
      <c r="T12" s="181" t="s">
        <v>533</v>
      </c>
      <c r="U12" s="315">
        <v>1481106</v>
      </c>
      <c r="V12" s="311">
        <v>1481106</v>
      </c>
      <c r="W12" s="311">
        <v>1481106</v>
      </c>
      <c r="X12" s="181" t="s">
        <v>533</v>
      </c>
    </row>
    <row r="13" spans="1:26" ht="130.35" customHeight="1" x14ac:dyDescent="0.3">
      <c r="A13" s="181" t="s">
        <v>521</v>
      </c>
      <c r="B13" s="182" t="s">
        <v>290</v>
      </c>
      <c r="C13" s="182" t="s">
        <v>316</v>
      </c>
      <c r="D13" s="182" t="s">
        <v>579</v>
      </c>
      <c r="E13" s="182"/>
      <c r="F13" s="182"/>
      <c r="G13" s="182"/>
      <c r="H13" s="182"/>
      <c r="I13" s="182"/>
      <c r="J13" s="182"/>
      <c r="K13" s="182"/>
      <c r="L13" s="182"/>
      <c r="M13" s="182"/>
      <c r="N13" s="182"/>
      <c r="O13" s="182"/>
      <c r="P13" s="182"/>
      <c r="Q13" s="182"/>
      <c r="R13" s="182"/>
      <c r="S13" s="182"/>
      <c r="T13" s="181" t="s">
        <v>521</v>
      </c>
      <c r="U13" s="183">
        <v>1481106</v>
      </c>
      <c r="V13" s="183">
        <v>1481106</v>
      </c>
      <c r="W13" s="183">
        <v>1481106</v>
      </c>
      <c r="X13" s="181" t="s">
        <v>521</v>
      </c>
    </row>
    <row r="14" spans="1:26" ht="260.7" customHeight="1" x14ac:dyDescent="0.3">
      <c r="A14" s="187" t="s">
        <v>580</v>
      </c>
      <c r="B14" s="182" t="s">
        <v>290</v>
      </c>
      <c r="C14" s="182" t="s">
        <v>316</v>
      </c>
      <c r="D14" s="182" t="s">
        <v>579</v>
      </c>
      <c r="E14" s="182"/>
      <c r="F14" s="182"/>
      <c r="G14" s="182"/>
      <c r="H14" s="182"/>
      <c r="I14" s="182"/>
      <c r="J14" s="182"/>
      <c r="K14" s="182"/>
      <c r="L14" s="182"/>
      <c r="M14" s="182"/>
      <c r="N14" s="182"/>
      <c r="O14" s="182"/>
      <c r="P14" s="182"/>
      <c r="Q14" s="182"/>
      <c r="R14" s="182"/>
      <c r="S14" s="182" t="s">
        <v>162</v>
      </c>
      <c r="T14" s="187" t="s">
        <v>580</v>
      </c>
      <c r="U14" s="183">
        <v>1481106</v>
      </c>
      <c r="V14" s="183">
        <v>1481106</v>
      </c>
      <c r="W14" s="183">
        <v>1481106</v>
      </c>
      <c r="X14" s="187" t="s">
        <v>580</v>
      </c>
    </row>
    <row r="15" spans="1:26" ht="93" customHeight="1" x14ac:dyDescent="0.3">
      <c r="A15" s="181" t="s">
        <v>534</v>
      </c>
      <c r="B15" s="182" t="s">
        <v>290</v>
      </c>
      <c r="C15" s="182" t="s">
        <v>292</v>
      </c>
      <c r="D15" s="182"/>
      <c r="E15" s="182"/>
      <c r="F15" s="182"/>
      <c r="G15" s="182"/>
      <c r="H15" s="182"/>
      <c r="I15" s="182"/>
      <c r="J15" s="182"/>
      <c r="K15" s="182"/>
      <c r="L15" s="182"/>
      <c r="M15" s="182"/>
      <c r="N15" s="182"/>
      <c r="O15" s="182"/>
      <c r="P15" s="182"/>
      <c r="Q15" s="182"/>
      <c r="R15" s="182"/>
      <c r="S15" s="182"/>
      <c r="T15" s="181" t="s">
        <v>534</v>
      </c>
      <c r="U15" s="312">
        <f>U16+U18</f>
        <v>2391140.4</v>
      </c>
      <c r="V15" s="183">
        <v>2385047.62</v>
      </c>
      <c r="W15" s="183">
        <v>2398369.13</v>
      </c>
      <c r="X15" s="181" t="s">
        <v>534</v>
      </c>
    </row>
    <row r="16" spans="1:26" ht="148.94999999999999" customHeight="1" x14ac:dyDescent="0.3">
      <c r="A16" s="181" t="s">
        <v>522</v>
      </c>
      <c r="B16" s="182" t="s">
        <v>290</v>
      </c>
      <c r="C16" s="182" t="s">
        <v>292</v>
      </c>
      <c r="D16" s="182" t="s">
        <v>581</v>
      </c>
      <c r="E16" s="182"/>
      <c r="F16" s="182"/>
      <c r="G16" s="182"/>
      <c r="H16" s="182"/>
      <c r="I16" s="182"/>
      <c r="J16" s="182"/>
      <c r="K16" s="182"/>
      <c r="L16" s="182"/>
      <c r="M16" s="182"/>
      <c r="N16" s="182"/>
      <c r="O16" s="182"/>
      <c r="P16" s="182"/>
      <c r="Q16" s="182"/>
      <c r="R16" s="182"/>
      <c r="S16" s="182"/>
      <c r="T16" s="181" t="s">
        <v>522</v>
      </c>
      <c r="U16" s="183">
        <v>1344604</v>
      </c>
      <c r="V16" s="183">
        <v>1344604</v>
      </c>
      <c r="W16" s="183">
        <v>1344604</v>
      </c>
      <c r="X16" s="181" t="s">
        <v>522</v>
      </c>
    </row>
    <row r="17" spans="1:24" ht="279.14999999999998" customHeight="1" x14ac:dyDescent="0.3">
      <c r="A17" s="187" t="s">
        <v>582</v>
      </c>
      <c r="B17" s="182" t="s">
        <v>290</v>
      </c>
      <c r="C17" s="182" t="s">
        <v>292</v>
      </c>
      <c r="D17" s="182" t="s">
        <v>581</v>
      </c>
      <c r="E17" s="182"/>
      <c r="F17" s="182"/>
      <c r="G17" s="182"/>
      <c r="H17" s="182"/>
      <c r="I17" s="182"/>
      <c r="J17" s="182"/>
      <c r="K17" s="182"/>
      <c r="L17" s="182"/>
      <c r="M17" s="182"/>
      <c r="N17" s="182"/>
      <c r="O17" s="182"/>
      <c r="P17" s="182"/>
      <c r="Q17" s="182"/>
      <c r="R17" s="182"/>
      <c r="S17" s="182" t="s">
        <v>162</v>
      </c>
      <c r="T17" s="187" t="s">
        <v>582</v>
      </c>
      <c r="U17" s="183">
        <v>1344604</v>
      </c>
      <c r="V17" s="183">
        <v>1344604</v>
      </c>
      <c r="W17" s="183">
        <v>1344604</v>
      </c>
      <c r="X17" s="187" t="s">
        <v>582</v>
      </c>
    </row>
    <row r="18" spans="1:24" ht="93" customHeight="1" x14ac:dyDescent="0.3">
      <c r="A18" s="181" t="s">
        <v>523</v>
      </c>
      <c r="B18" s="182" t="s">
        <v>290</v>
      </c>
      <c r="C18" s="182" t="s">
        <v>292</v>
      </c>
      <c r="D18" s="182" t="s">
        <v>583</v>
      </c>
      <c r="E18" s="182"/>
      <c r="F18" s="182"/>
      <c r="G18" s="182"/>
      <c r="H18" s="182"/>
      <c r="I18" s="182"/>
      <c r="J18" s="182"/>
      <c r="K18" s="182"/>
      <c r="L18" s="182"/>
      <c r="M18" s="182"/>
      <c r="N18" s="182"/>
      <c r="O18" s="182"/>
      <c r="P18" s="182"/>
      <c r="Q18" s="182"/>
      <c r="R18" s="182"/>
      <c r="S18" s="182"/>
      <c r="T18" s="181" t="s">
        <v>523</v>
      </c>
      <c r="U18" s="183">
        <f>1026536.4+20000</f>
        <v>1046536.4</v>
      </c>
      <c r="V18" s="183">
        <v>1040443.62</v>
      </c>
      <c r="W18" s="183">
        <v>1053765.1299999999</v>
      </c>
      <c r="X18" s="181" t="s">
        <v>523</v>
      </c>
    </row>
    <row r="19" spans="1:24" ht="223.35" customHeight="1" x14ac:dyDescent="0.3">
      <c r="A19" s="187" t="s">
        <v>584</v>
      </c>
      <c r="B19" s="182" t="s">
        <v>290</v>
      </c>
      <c r="C19" s="182" t="s">
        <v>292</v>
      </c>
      <c r="D19" s="182" t="s">
        <v>583</v>
      </c>
      <c r="E19" s="182"/>
      <c r="F19" s="182"/>
      <c r="G19" s="182"/>
      <c r="H19" s="182"/>
      <c r="I19" s="182"/>
      <c r="J19" s="182"/>
      <c r="K19" s="182"/>
      <c r="L19" s="182"/>
      <c r="M19" s="182"/>
      <c r="N19" s="182"/>
      <c r="O19" s="182"/>
      <c r="P19" s="182"/>
      <c r="Q19" s="182"/>
      <c r="R19" s="182"/>
      <c r="S19" s="182" t="s">
        <v>162</v>
      </c>
      <c r="T19" s="187" t="s">
        <v>584</v>
      </c>
      <c r="U19" s="183">
        <v>815126.67</v>
      </c>
      <c r="V19" s="183">
        <v>819097.49</v>
      </c>
      <c r="W19" s="183">
        <v>822901.11</v>
      </c>
      <c r="X19" s="187" t="s">
        <v>584</v>
      </c>
    </row>
    <row r="20" spans="1:24" ht="130.35" customHeight="1" x14ac:dyDescent="0.3">
      <c r="A20" s="181" t="s">
        <v>585</v>
      </c>
      <c r="B20" s="182" t="s">
        <v>290</v>
      </c>
      <c r="C20" s="182" t="s">
        <v>292</v>
      </c>
      <c r="D20" s="182" t="s">
        <v>583</v>
      </c>
      <c r="E20" s="182"/>
      <c r="F20" s="182"/>
      <c r="G20" s="182"/>
      <c r="H20" s="182"/>
      <c r="I20" s="182"/>
      <c r="J20" s="182"/>
      <c r="K20" s="182"/>
      <c r="L20" s="182"/>
      <c r="M20" s="182"/>
      <c r="N20" s="182"/>
      <c r="O20" s="182"/>
      <c r="P20" s="182"/>
      <c r="Q20" s="182"/>
      <c r="R20" s="182"/>
      <c r="S20" s="182" t="s">
        <v>586</v>
      </c>
      <c r="T20" s="181" t="s">
        <v>585</v>
      </c>
      <c r="U20" s="183">
        <v>203865.65</v>
      </c>
      <c r="V20" s="183">
        <v>213447.48</v>
      </c>
      <c r="W20" s="183">
        <v>222625.73</v>
      </c>
      <c r="X20" s="181" t="s">
        <v>585</v>
      </c>
    </row>
    <row r="21" spans="1:24" ht="111.75" customHeight="1" x14ac:dyDescent="0.3">
      <c r="A21" s="181" t="s">
        <v>587</v>
      </c>
      <c r="B21" s="182" t="s">
        <v>290</v>
      </c>
      <c r="C21" s="182" t="s">
        <v>292</v>
      </c>
      <c r="D21" s="182" t="s">
        <v>583</v>
      </c>
      <c r="E21" s="182"/>
      <c r="F21" s="182"/>
      <c r="G21" s="182"/>
      <c r="H21" s="182"/>
      <c r="I21" s="182"/>
      <c r="J21" s="182"/>
      <c r="K21" s="182"/>
      <c r="L21" s="182"/>
      <c r="M21" s="182"/>
      <c r="N21" s="182"/>
      <c r="O21" s="182"/>
      <c r="P21" s="182"/>
      <c r="Q21" s="182"/>
      <c r="R21" s="182"/>
      <c r="S21" s="182" t="s">
        <v>528</v>
      </c>
      <c r="T21" s="181" t="s">
        <v>587</v>
      </c>
      <c r="U21" s="183">
        <v>7544.08</v>
      </c>
      <c r="V21" s="183">
        <v>7898.65</v>
      </c>
      <c r="W21" s="183">
        <v>8238.2900000000009</v>
      </c>
      <c r="X21" s="181" t="s">
        <v>587</v>
      </c>
    </row>
    <row r="22" spans="1:24" ht="111.75" customHeight="1" x14ac:dyDescent="0.3">
      <c r="A22" s="181" t="s">
        <v>535</v>
      </c>
      <c r="B22" s="182" t="s">
        <v>290</v>
      </c>
      <c r="C22" s="182" t="s">
        <v>335</v>
      </c>
      <c r="D22" s="182"/>
      <c r="E22" s="182"/>
      <c r="F22" s="182"/>
      <c r="G22" s="182"/>
      <c r="H22" s="182"/>
      <c r="I22" s="182"/>
      <c r="J22" s="182"/>
      <c r="K22" s="182"/>
      <c r="L22" s="182"/>
      <c r="M22" s="182"/>
      <c r="N22" s="182"/>
      <c r="O22" s="182"/>
      <c r="P22" s="182"/>
      <c r="Q22" s="182"/>
      <c r="R22" s="182"/>
      <c r="S22" s="182"/>
      <c r="T22" s="181" t="s">
        <v>535</v>
      </c>
      <c r="U22" s="312">
        <f>27982649.59-400000</f>
        <v>27582649.59</v>
      </c>
      <c r="V22" s="183">
        <v>28206494.16</v>
      </c>
      <c r="W22" s="183">
        <v>28420913.390000001</v>
      </c>
      <c r="X22" s="181" t="s">
        <v>535</v>
      </c>
    </row>
    <row r="23" spans="1:24" ht="55.95" customHeight="1" x14ac:dyDescent="0.3">
      <c r="A23" s="181" t="s">
        <v>588</v>
      </c>
      <c r="B23" s="182" t="s">
        <v>290</v>
      </c>
      <c r="C23" s="182" t="s">
        <v>335</v>
      </c>
      <c r="D23" s="182" t="s">
        <v>589</v>
      </c>
      <c r="E23" s="182"/>
      <c r="F23" s="182"/>
      <c r="G23" s="182"/>
      <c r="H23" s="182"/>
      <c r="I23" s="182"/>
      <c r="J23" s="182"/>
      <c r="K23" s="182"/>
      <c r="L23" s="182"/>
      <c r="M23" s="182"/>
      <c r="N23" s="182"/>
      <c r="O23" s="182"/>
      <c r="P23" s="182"/>
      <c r="Q23" s="182"/>
      <c r="R23" s="182"/>
      <c r="S23" s="182"/>
      <c r="T23" s="181" t="s">
        <v>588</v>
      </c>
      <c r="U23" s="183">
        <f>500000-400000</f>
        <v>100000</v>
      </c>
      <c r="V23" s="183">
        <v>500000</v>
      </c>
      <c r="W23" s="183">
        <v>500000</v>
      </c>
      <c r="X23" s="181" t="s">
        <v>588</v>
      </c>
    </row>
    <row r="24" spans="1:24" ht="111.75" customHeight="1" x14ac:dyDescent="0.3">
      <c r="A24" s="181" t="s">
        <v>590</v>
      </c>
      <c r="B24" s="182" t="s">
        <v>290</v>
      </c>
      <c r="C24" s="182" t="s">
        <v>335</v>
      </c>
      <c r="D24" s="182" t="s">
        <v>589</v>
      </c>
      <c r="E24" s="182"/>
      <c r="F24" s="182"/>
      <c r="G24" s="182"/>
      <c r="H24" s="182"/>
      <c r="I24" s="182"/>
      <c r="J24" s="182"/>
      <c r="K24" s="182"/>
      <c r="L24" s="182"/>
      <c r="M24" s="182"/>
      <c r="N24" s="182"/>
      <c r="O24" s="182"/>
      <c r="P24" s="182"/>
      <c r="Q24" s="182"/>
      <c r="R24" s="182"/>
      <c r="S24" s="182" t="s">
        <v>586</v>
      </c>
      <c r="T24" s="181" t="s">
        <v>590</v>
      </c>
      <c r="U24" s="183">
        <f>500000-400000</f>
        <v>100000</v>
      </c>
      <c r="V24" s="183">
        <v>500000</v>
      </c>
      <c r="W24" s="183">
        <v>500000</v>
      </c>
      <c r="X24" s="181" t="s">
        <v>590</v>
      </c>
    </row>
    <row r="25" spans="1:24" ht="55.95" customHeight="1" x14ac:dyDescent="0.3">
      <c r="A25" s="181" t="s">
        <v>591</v>
      </c>
      <c r="B25" s="182" t="s">
        <v>290</v>
      </c>
      <c r="C25" s="182" t="s">
        <v>335</v>
      </c>
      <c r="D25" s="182" t="s">
        <v>592</v>
      </c>
      <c r="E25" s="182"/>
      <c r="F25" s="182"/>
      <c r="G25" s="182"/>
      <c r="H25" s="182"/>
      <c r="I25" s="182"/>
      <c r="J25" s="182"/>
      <c r="K25" s="182"/>
      <c r="L25" s="182"/>
      <c r="M25" s="182"/>
      <c r="N25" s="182"/>
      <c r="O25" s="182"/>
      <c r="P25" s="182"/>
      <c r="Q25" s="182"/>
      <c r="R25" s="182"/>
      <c r="S25" s="182"/>
      <c r="T25" s="181" t="s">
        <v>591</v>
      </c>
      <c r="U25" s="183">
        <v>27389741.190000001</v>
      </c>
      <c r="V25" s="183">
        <v>27609219.030000001</v>
      </c>
      <c r="W25" s="183">
        <v>27819455.43</v>
      </c>
      <c r="X25" s="181" t="s">
        <v>591</v>
      </c>
    </row>
    <row r="26" spans="1:24" ht="186.15" customHeight="1" x14ac:dyDescent="0.3">
      <c r="A26" s="187" t="s">
        <v>593</v>
      </c>
      <c r="B26" s="182" t="s">
        <v>290</v>
      </c>
      <c r="C26" s="182" t="s">
        <v>335</v>
      </c>
      <c r="D26" s="182" t="s">
        <v>592</v>
      </c>
      <c r="E26" s="182"/>
      <c r="F26" s="182"/>
      <c r="G26" s="182"/>
      <c r="H26" s="182"/>
      <c r="I26" s="182"/>
      <c r="J26" s="182"/>
      <c r="K26" s="182"/>
      <c r="L26" s="182"/>
      <c r="M26" s="182"/>
      <c r="N26" s="182"/>
      <c r="O26" s="182"/>
      <c r="P26" s="182"/>
      <c r="Q26" s="182"/>
      <c r="R26" s="182"/>
      <c r="S26" s="182" t="s">
        <v>162</v>
      </c>
      <c r="T26" s="187" t="s">
        <v>593</v>
      </c>
      <c r="U26" s="183">
        <v>23445190</v>
      </c>
      <c r="V26" s="183">
        <v>23479273.93</v>
      </c>
      <c r="W26" s="183">
        <v>23511922.699999999</v>
      </c>
      <c r="X26" s="187" t="s">
        <v>593</v>
      </c>
    </row>
    <row r="27" spans="1:24" ht="93" customHeight="1" x14ac:dyDescent="0.3">
      <c r="A27" s="181" t="s">
        <v>594</v>
      </c>
      <c r="B27" s="182" t="s">
        <v>290</v>
      </c>
      <c r="C27" s="182" t="s">
        <v>335</v>
      </c>
      <c r="D27" s="182" t="s">
        <v>592</v>
      </c>
      <c r="E27" s="182"/>
      <c r="F27" s="182"/>
      <c r="G27" s="182"/>
      <c r="H27" s="182"/>
      <c r="I27" s="182"/>
      <c r="J27" s="182"/>
      <c r="K27" s="182"/>
      <c r="L27" s="182"/>
      <c r="M27" s="182"/>
      <c r="N27" s="182"/>
      <c r="O27" s="182"/>
      <c r="P27" s="182"/>
      <c r="Q27" s="182"/>
      <c r="R27" s="182"/>
      <c r="S27" s="182" t="s">
        <v>586</v>
      </c>
      <c r="T27" s="181" t="s">
        <v>594</v>
      </c>
      <c r="U27" s="183">
        <v>3678500</v>
      </c>
      <c r="V27" s="183">
        <v>3851389.5</v>
      </c>
      <c r="W27" s="183">
        <v>4016999.24</v>
      </c>
      <c r="X27" s="181" t="s">
        <v>594</v>
      </c>
    </row>
    <row r="28" spans="1:24" ht="74.400000000000006" customHeight="1" x14ac:dyDescent="0.3">
      <c r="A28" s="181" t="s">
        <v>595</v>
      </c>
      <c r="B28" s="182" t="s">
        <v>290</v>
      </c>
      <c r="C28" s="182" t="s">
        <v>335</v>
      </c>
      <c r="D28" s="182" t="s">
        <v>592</v>
      </c>
      <c r="E28" s="182"/>
      <c r="F28" s="182"/>
      <c r="G28" s="182"/>
      <c r="H28" s="182"/>
      <c r="I28" s="182"/>
      <c r="J28" s="182"/>
      <c r="K28" s="182"/>
      <c r="L28" s="182"/>
      <c r="M28" s="182"/>
      <c r="N28" s="182"/>
      <c r="O28" s="182"/>
      <c r="P28" s="182"/>
      <c r="Q28" s="182"/>
      <c r="R28" s="182"/>
      <c r="S28" s="182" t="s">
        <v>528</v>
      </c>
      <c r="T28" s="181" t="s">
        <v>595</v>
      </c>
      <c r="U28" s="183">
        <v>266051.19</v>
      </c>
      <c r="V28" s="183">
        <v>278555.59999999998</v>
      </c>
      <c r="W28" s="183">
        <v>290533.49</v>
      </c>
      <c r="X28" s="181" t="s">
        <v>595</v>
      </c>
    </row>
    <row r="29" spans="1:24" ht="111.75" customHeight="1" x14ac:dyDescent="0.3">
      <c r="A29" s="181" t="s">
        <v>596</v>
      </c>
      <c r="B29" s="182" t="s">
        <v>290</v>
      </c>
      <c r="C29" s="182" t="s">
        <v>335</v>
      </c>
      <c r="D29" s="182" t="s">
        <v>597</v>
      </c>
      <c r="E29" s="182"/>
      <c r="F29" s="182"/>
      <c r="G29" s="182"/>
      <c r="H29" s="182"/>
      <c r="I29" s="182"/>
      <c r="J29" s="182"/>
      <c r="K29" s="182"/>
      <c r="L29" s="182"/>
      <c r="M29" s="182"/>
      <c r="N29" s="182"/>
      <c r="O29" s="182"/>
      <c r="P29" s="182"/>
      <c r="Q29" s="182"/>
      <c r="R29" s="182"/>
      <c r="S29" s="182"/>
      <c r="T29" s="181" t="s">
        <v>596</v>
      </c>
      <c r="U29" s="312">
        <v>92908.4</v>
      </c>
      <c r="V29" s="183">
        <v>97275.13</v>
      </c>
      <c r="W29" s="183">
        <v>101457.96</v>
      </c>
      <c r="X29" s="181" t="s">
        <v>596</v>
      </c>
    </row>
    <row r="30" spans="1:24" ht="242.1" customHeight="1" x14ac:dyDescent="0.3">
      <c r="A30" s="187" t="s">
        <v>598</v>
      </c>
      <c r="B30" s="182" t="s">
        <v>290</v>
      </c>
      <c r="C30" s="182" t="s">
        <v>335</v>
      </c>
      <c r="D30" s="182" t="s">
        <v>597</v>
      </c>
      <c r="E30" s="182"/>
      <c r="F30" s="182"/>
      <c r="G30" s="182"/>
      <c r="H30" s="182"/>
      <c r="I30" s="182"/>
      <c r="J30" s="182"/>
      <c r="K30" s="182"/>
      <c r="L30" s="182"/>
      <c r="M30" s="182"/>
      <c r="N30" s="182"/>
      <c r="O30" s="182"/>
      <c r="P30" s="182"/>
      <c r="Q30" s="182"/>
      <c r="R30" s="182"/>
      <c r="S30" s="182" t="s">
        <v>162</v>
      </c>
      <c r="T30" s="187" t="s">
        <v>598</v>
      </c>
      <c r="U30" s="183">
        <v>5885.6</v>
      </c>
      <c r="V30" s="183">
        <v>6162.26</v>
      </c>
      <c r="W30" s="183">
        <v>6427.24</v>
      </c>
      <c r="X30" s="187" t="s">
        <v>598</v>
      </c>
    </row>
    <row r="31" spans="1:24" ht="167.7" customHeight="1" x14ac:dyDescent="0.3">
      <c r="A31" s="181" t="s">
        <v>599</v>
      </c>
      <c r="B31" s="182" t="s">
        <v>290</v>
      </c>
      <c r="C31" s="182" t="s">
        <v>335</v>
      </c>
      <c r="D31" s="182" t="s">
        <v>597</v>
      </c>
      <c r="E31" s="182"/>
      <c r="F31" s="182"/>
      <c r="G31" s="182"/>
      <c r="H31" s="182"/>
      <c r="I31" s="182"/>
      <c r="J31" s="182"/>
      <c r="K31" s="182"/>
      <c r="L31" s="182"/>
      <c r="M31" s="182"/>
      <c r="N31" s="182"/>
      <c r="O31" s="182"/>
      <c r="P31" s="182"/>
      <c r="Q31" s="182"/>
      <c r="R31" s="182"/>
      <c r="S31" s="182" t="s">
        <v>586</v>
      </c>
      <c r="T31" s="181" t="s">
        <v>599</v>
      </c>
      <c r="U31" s="183">
        <v>87022.8</v>
      </c>
      <c r="V31" s="183">
        <v>91112.87</v>
      </c>
      <c r="W31" s="183">
        <v>95030.720000000001</v>
      </c>
      <c r="X31" s="181" t="s">
        <v>599</v>
      </c>
    </row>
    <row r="32" spans="1:24" ht="18.600000000000001" customHeight="1" x14ac:dyDescent="0.3">
      <c r="A32" s="181" t="s">
        <v>337</v>
      </c>
      <c r="B32" s="182" t="s">
        <v>290</v>
      </c>
      <c r="C32" s="182" t="s">
        <v>294</v>
      </c>
      <c r="D32" s="182"/>
      <c r="E32" s="182"/>
      <c r="F32" s="182"/>
      <c r="G32" s="182"/>
      <c r="H32" s="182"/>
      <c r="I32" s="182"/>
      <c r="J32" s="182"/>
      <c r="K32" s="182"/>
      <c r="L32" s="182"/>
      <c r="M32" s="182"/>
      <c r="N32" s="182"/>
      <c r="O32" s="182"/>
      <c r="P32" s="182"/>
      <c r="Q32" s="182"/>
      <c r="R32" s="182"/>
      <c r="S32" s="182"/>
      <c r="T32" s="181" t="s">
        <v>337</v>
      </c>
      <c r="U32" s="183"/>
      <c r="V32" s="183">
        <v>24200</v>
      </c>
      <c r="W32" s="183"/>
      <c r="X32" s="181" t="s">
        <v>337</v>
      </c>
    </row>
    <row r="33" spans="1:24" ht="111.75" customHeight="1" x14ac:dyDescent="0.3">
      <c r="A33" s="181" t="s">
        <v>515</v>
      </c>
      <c r="B33" s="182" t="s">
        <v>290</v>
      </c>
      <c r="C33" s="182" t="s">
        <v>294</v>
      </c>
      <c r="D33" s="182" t="s">
        <v>600</v>
      </c>
      <c r="E33" s="182"/>
      <c r="F33" s="182"/>
      <c r="G33" s="182"/>
      <c r="H33" s="182"/>
      <c r="I33" s="182"/>
      <c r="J33" s="182"/>
      <c r="K33" s="182"/>
      <c r="L33" s="182"/>
      <c r="M33" s="182"/>
      <c r="N33" s="182"/>
      <c r="O33" s="182"/>
      <c r="P33" s="182"/>
      <c r="Q33" s="182"/>
      <c r="R33" s="182"/>
      <c r="S33" s="182"/>
      <c r="T33" s="181" t="s">
        <v>515</v>
      </c>
      <c r="U33" s="183"/>
      <c r="V33" s="183">
        <v>24200</v>
      </c>
      <c r="W33" s="183"/>
      <c r="X33" s="181" t="s">
        <v>515</v>
      </c>
    </row>
    <row r="34" spans="1:24" ht="148.94999999999999" customHeight="1" x14ac:dyDescent="0.3">
      <c r="A34" s="181" t="s">
        <v>601</v>
      </c>
      <c r="B34" s="182" t="s">
        <v>290</v>
      </c>
      <c r="C34" s="182" t="s">
        <v>294</v>
      </c>
      <c r="D34" s="182" t="s">
        <v>600</v>
      </c>
      <c r="E34" s="182"/>
      <c r="F34" s="182"/>
      <c r="G34" s="182"/>
      <c r="H34" s="182"/>
      <c r="I34" s="182"/>
      <c r="J34" s="182"/>
      <c r="K34" s="182"/>
      <c r="L34" s="182"/>
      <c r="M34" s="182"/>
      <c r="N34" s="182"/>
      <c r="O34" s="182"/>
      <c r="P34" s="182"/>
      <c r="Q34" s="182"/>
      <c r="R34" s="182"/>
      <c r="S34" s="182" t="s">
        <v>586</v>
      </c>
      <c r="T34" s="181" t="s">
        <v>601</v>
      </c>
      <c r="U34" s="183"/>
      <c r="V34" s="183">
        <v>24200</v>
      </c>
      <c r="W34" s="183"/>
      <c r="X34" s="181" t="s">
        <v>601</v>
      </c>
    </row>
    <row r="35" spans="1:24" ht="93" customHeight="1" x14ac:dyDescent="0.3">
      <c r="A35" s="181" t="s">
        <v>536</v>
      </c>
      <c r="B35" s="182" t="s">
        <v>290</v>
      </c>
      <c r="C35" s="182" t="s">
        <v>296</v>
      </c>
      <c r="D35" s="182"/>
      <c r="E35" s="182"/>
      <c r="F35" s="182"/>
      <c r="G35" s="182"/>
      <c r="H35" s="182"/>
      <c r="I35" s="182"/>
      <c r="J35" s="182"/>
      <c r="K35" s="182"/>
      <c r="L35" s="182"/>
      <c r="M35" s="182"/>
      <c r="N35" s="182"/>
      <c r="O35" s="182"/>
      <c r="P35" s="182"/>
      <c r="Q35" s="182"/>
      <c r="R35" s="182"/>
      <c r="S35" s="182"/>
      <c r="T35" s="181" t="s">
        <v>536</v>
      </c>
      <c r="U35" s="312">
        <f>U36+U40+U42</f>
        <v>10312499.720000001</v>
      </c>
      <c r="V35" s="183">
        <v>10680395.060000001</v>
      </c>
      <c r="W35" s="183">
        <v>11174962.01</v>
      </c>
      <c r="X35" s="181" t="s">
        <v>536</v>
      </c>
    </row>
    <row r="36" spans="1:24" ht="37.200000000000003" customHeight="1" x14ac:dyDescent="0.3">
      <c r="A36" s="181" t="s">
        <v>796</v>
      </c>
      <c r="B36" s="182" t="s">
        <v>290</v>
      </c>
      <c r="C36" s="182" t="s">
        <v>296</v>
      </c>
      <c r="D36" s="182" t="s">
        <v>797</v>
      </c>
      <c r="E36" s="182"/>
      <c r="F36" s="182"/>
      <c r="G36" s="182"/>
      <c r="H36" s="182"/>
      <c r="I36" s="182"/>
      <c r="J36" s="182"/>
      <c r="K36" s="182"/>
      <c r="L36" s="182"/>
      <c r="M36" s="182"/>
      <c r="N36" s="182"/>
      <c r="O36" s="182"/>
      <c r="P36" s="182"/>
      <c r="Q36" s="182"/>
      <c r="R36" s="182"/>
      <c r="S36" s="182"/>
      <c r="T36" s="181" t="s">
        <v>796</v>
      </c>
      <c r="U36" s="183">
        <f>9153022.72-20000</f>
        <v>9133022.7200000007</v>
      </c>
      <c r="V36" s="183">
        <v>9580093.6600000001</v>
      </c>
      <c r="W36" s="183">
        <v>10048574.289999999</v>
      </c>
      <c r="X36" s="181" t="s">
        <v>796</v>
      </c>
    </row>
    <row r="37" spans="1:24" ht="167.7" customHeight="1" x14ac:dyDescent="0.3">
      <c r="A37" s="181" t="s">
        <v>798</v>
      </c>
      <c r="B37" s="182" t="s">
        <v>290</v>
      </c>
      <c r="C37" s="182" t="s">
        <v>296</v>
      </c>
      <c r="D37" s="182" t="s">
        <v>797</v>
      </c>
      <c r="E37" s="182"/>
      <c r="F37" s="182"/>
      <c r="G37" s="182"/>
      <c r="H37" s="182"/>
      <c r="I37" s="182"/>
      <c r="J37" s="182"/>
      <c r="K37" s="182"/>
      <c r="L37" s="182"/>
      <c r="M37" s="182"/>
      <c r="N37" s="182"/>
      <c r="O37" s="182"/>
      <c r="P37" s="182"/>
      <c r="Q37" s="182"/>
      <c r="R37" s="182"/>
      <c r="S37" s="182" t="s">
        <v>162</v>
      </c>
      <c r="T37" s="181" t="s">
        <v>798</v>
      </c>
      <c r="U37" s="183">
        <f>8073422.72+200000</f>
        <v>8273422.7199999997</v>
      </c>
      <c r="V37" s="183">
        <v>8471593.6600000001</v>
      </c>
      <c r="W37" s="183">
        <v>8888574.2899999991</v>
      </c>
      <c r="X37" s="181" t="s">
        <v>798</v>
      </c>
    </row>
    <row r="38" spans="1:24" ht="93" customHeight="1" x14ac:dyDescent="0.3">
      <c r="A38" s="181" t="s">
        <v>799</v>
      </c>
      <c r="B38" s="182" t="s">
        <v>290</v>
      </c>
      <c r="C38" s="182" t="s">
        <v>296</v>
      </c>
      <c r="D38" s="182" t="s">
        <v>797</v>
      </c>
      <c r="E38" s="182"/>
      <c r="F38" s="182"/>
      <c r="G38" s="182"/>
      <c r="H38" s="182"/>
      <c r="I38" s="182"/>
      <c r="J38" s="182"/>
      <c r="K38" s="182"/>
      <c r="L38" s="182"/>
      <c r="M38" s="182"/>
      <c r="N38" s="182"/>
      <c r="O38" s="182"/>
      <c r="P38" s="182"/>
      <c r="Q38" s="182"/>
      <c r="R38" s="182"/>
      <c r="S38" s="182" t="s">
        <v>586</v>
      </c>
      <c r="T38" s="181" t="s">
        <v>799</v>
      </c>
      <c r="U38" s="183">
        <f>1067600-200000</f>
        <v>867600</v>
      </c>
      <c r="V38" s="183">
        <v>1096000</v>
      </c>
      <c r="W38" s="183">
        <v>1147000</v>
      </c>
      <c r="X38" s="181" t="s">
        <v>799</v>
      </c>
    </row>
    <row r="39" spans="1:24" ht="55.95" customHeight="1" x14ac:dyDescent="0.3">
      <c r="A39" s="181" t="s">
        <v>800</v>
      </c>
      <c r="B39" s="182" t="s">
        <v>290</v>
      </c>
      <c r="C39" s="182" t="s">
        <v>296</v>
      </c>
      <c r="D39" s="182" t="s">
        <v>797</v>
      </c>
      <c r="E39" s="182"/>
      <c r="F39" s="182"/>
      <c r="G39" s="182"/>
      <c r="H39" s="182"/>
      <c r="I39" s="182"/>
      <c r="J39" s="182"/>
      <c r="K39" s="182"/>
      <c r="L39" s="182"/>
      <c r="M39" s="182"/>
      <c r="N39" s="182"/>
      <c r="O39" s="182"/>
      <c r="P39" s="182"/>
      <c r="Q39" s="182"/>
      <c r="R39" s="182"/>
      <c r="S39" s="182" t="s">
        <v>528</v>
      </c>
      <c r="T39" s="181" t="s">
        <v>800</v>
      </c>
      <c r="U39" s="183">
        <v>12000</v>
      </c>
      <c r="V39" s="183">
        <v>12500</v>
      </c>
      <c r="W39" s="183">
        <v>13000</v>
      </c>
      <c r="X39" s="181" t="s">
        <v>800</v>
      </c>
    </row>
    <row r="40" spans="1:24" ht="111.75" customHeight="1" x14ac:dyDescent="0.3">
      <c r="A40" s="181" t="s">
        <v>801</v>
      </c>
      <c r="B40" s="182" t="s">
        <v>290</v>
      </c>
      <c r="C40" s="182" t="s">
        <v>296</v>
      </c>
      <c r="D40" s="182" t="s">
        <v>802</v>
      </c>
      <c r="E40" s="182"/>
      <c r="F40" s="182"/>
      <c r="G40" s="182"/>
      <c r="H40" s="182"/>
      <c r="I40" s="182"/>
      <c r="J40" s="182"/>
      <c r="K40" s="182"/>
      <c r="L40" s="182"/>
      <c r="M40" s="182"/>
      <c r="N40" s="182"/>
      <c r="O40" s="182"/>
      <c r="P40" s="182"/>
      <c r="Q40" s="182"/>
      <c r="R40" s="182"/>
      <c r="S40" s="182"/>
      <c r="T40" s="181" t="s">
        <v>801</v>
      </c>
      <c r="U40" s="183">
        <v>600000</v>
      </c>
      <c r="V40" s="183">
        <v>520775</v>
      </c>
      <c r="W40" s="183">
        <v>546814</v>
      </c>
      <c r="X40" s="181" t="s">
        <v>801</v>
      </c>
    </row>
    <row r="41" spans="1:24" ht="242.1" customHeight="1" x14ac:dyDescent="0.3">
      <c r="A41" s="187" t="s">
        <v>803</v>
      </c>
      <c r="B41" s="182" t="s">
        <v>290</v>
      </c>
      <c r="C41" s="182" t="s">
        <v>296</v>
      </c>
      <c r="D41" s="182" t="s">
        <v>802</v>
      </c>
      <c r="E41" s="182"/>
      <c r="F41" s="182"/>
      <c r="G41" s="182"/>
      <c r="H41" s="182"/>
      <c r="I41" s="182"/>
      <c r="J41" s="182"/>
      <c r="K41" s="182"/>
      <c r="L41" s="182"/>
      <c r="M41" s="182"/>
      <c r="N41" s="182"/>
      <c r="O41" s="182"/>
      <c r="P41" s="182"/>
      <c r="Q41" s="182"/>
      <c r="R41" s="182"/>
      <c r="S41" s="182" t="s">
        <v>162</v>
      </c>
      <c r="T41" s="187" t="s">
        <v>803</v>
      </c>
      <c r="U41" s="183">
        <v>600000</v>
      </c>
      <c r="V41" s="183">
        <v>520775</v>
      </c>
      <c r="W41" s="183">
        <v>546814</v>
      </c>
      <c r="X41" s="187" t="s">
        <v>803</v>
      </c>
    </row>
    <row r="42" spans="1:24" ht="74.400000000000006" customHeight="1" x14ac:dyDescent="0.3">
      <c r="A42" s="181" t="s">
        <v>524</v>
      </c>
      <c r="B42" s="182" t="s">
        <v>290</v>
      </c>
      <c r="C42" s="182" t="s">
        <v>296</v>
      </c>
      <c r="D42" s="182" t="s">
        <v>602</v>
      </c>
      <c r="E42" s="182"/>
      <c r="F42" s="182"/>
      <c r="G42" s="182"/>
      <c r="H42" s="182"/>
      <c r="I42" s="182"/>
      <c r="J42" s="182"/>
      <c r="K42" s="182"/>
      <c r="L42" s="182"/>
      <c r="M42" s="182"/>
      <c r="N42" s="182"/>
      <c r="O42" s="182"/>
      <c r="P42" s="182"/>
      <c r="Q42" s="182"/>
      <c r="R42" s="182"/>
      <c r="S42" s="182"/>
      <c r="T42" s="181" t="s">
        <v>524</v>
      </c>
      <c r="U42" s="183">
        <v>579477</v>
      </c>
      <c r="V42" s="183">
        <v>579526.40000000002</v>
      </c>
      <c r="W42" s="183">
        <v>579573.72</v>
      </c>
      <c r="X42" s="181" t="s">
        <v>524</v>
      </c>
    </row>
    <row r="43" spans="1:24" ht="204.75" customHeight="1" x14ac:dyDescent="0.3">
      <c r="A43" s="187" t="s">
        <v>603</v>
      </c>
      <c r="B43" s="182" t="s">
        <v>290</v>
      </c>
      <c r="C43" s="182" t="s">
        <v>296</v>
      </c>
      <c r="D43" s="182" t="s">
        <v>602</v>
      </c>
      <c r="E43" s="182"/>
      <c r="F43" s="182"/>
      <c r="G43" s="182"/>
      <c r="H43" s="182"/>
      <c r="I43" s="182"/>
      <c r="J43" s="182"/>
      <c r="K43" s="182"/>
      <c r="L43" s="182"/>
      <c r="M43" s="182"/>
      <c r="N43" s="182"/>
      <c r="O43" s="182"/>
      <c r="P43" s="182"/>
      <c r="Q43" s="182"/>
      <c r="R43" s="182"/>
      <c r="S43" s="182" t="s">
        <v>162</v>
      </c>
      <c r="T43" s="187" t="s">
        <v>603</v>
      </c>
      <c r="U43" s="183">
        <v>579477</v>
      </c>
      <c r="V43" s="183">
        <v>579526.40000000002</v>
      </c>
      <c r="W43" s="183">
        <v>579573.72</v>
      </c>
      <c r="X43" s="187" t="s">
        <v>603</v>
      </c>
    </row>
    <row r="44" spans="1:24" ht="18.600000000000001" customHeight="1" x14ac:dyDescent="0.3">
      <c r="A44" s="181" t="s">
        <v>341</v>
      </c>
      <c r="B44" s="182" t="s">
        <v>290</v>
      </c>
      <c r="C44" s="182" t="s">
        <v>302</v>
      </c>
      <c r="D44" s="182"/>
      <c r="E44" s="182"/>
      <c r="F44" s="182"/>
      <c r="G44" s="182"/>
      <c r="H44" s="182"/>
      <c r="I44" s="182"/>
      <c r="J44" s="182"/>
      <c r="K44" s="182"/>
      <c r="L44" s="182"/>
      <c r="M44" s="182"/>
      <c r="N44" s="182"/>
      <c r="O44" s="182"/>
      <c r="P44" s="182"/>
      <c r="Q44" s="182"/>
      <c r="R44" s="182"/>
      <c r="S44" s="182"/>
      <c r="T44" s="181" t="s">
        <v>341</v>
      </c>
      <c r="U44" s="312">
        <v>315300</v>
      </c>
      <c r="V44" s="183">
        <v>330119.09999999998</v>
      </c>
      <c r="W44" s="183">
        <v>344314.22</v>
      </c>
      <c r="X44" s="181" t="s">
        <v>341</v>
      </c>
    </row>
    <row r="45" spans="1:24" ht="37.200000000000003" customHeight="1" x14ac:dyDescent="0.3">
      <c r="A45" s="181" t="s">
        <v>604</v>
      </c>
      <c r="B45" s="182" t="s">
        <v>290</v>
      </c>
      <c r="C45" s="182" t="s">
        <v>302</v>
      </c>
      <c r="D45" s="182" t="s">
        <v>605</v>
      </c>
      <c r="E45" s="182"/>
      <c r="F45" s="182"/>
      <c r="G45" s="182"/>
      <c r="H45" s="182"/>
      <c r="I45" s="182"/>
      <c r="J45" s="182"/>
      <c r="K45" s="182"/>
      <c r="L45" s="182"/>
      <c r="M45" s="182"/>
      <c r="N45" s="182"/>
      <c r="O45" s="182"/>
      <c r="P45" s="182"/>
      <c r="Q45" s="182"/>
      <c r="R45" s="182"/>
      <c r="S45" s="182"/>
      <c r="T45" s="181" t="s">
        <v>604</v>
      </c>
      <c r="U45" s="183">
        <v>315300</v>
      </c>
      <c r="V45" s="183">
        <v>330119.09999999998</v>
      </c>
      <c r="W45" s="183">
        <v>344314.22</v>
      </c>
      <c r="X45" s="181" t="s">
        <v>604</v>
      </c>
    </row>
    <row r="46" spans="1:24" ht="55.95" customHeight="1" x14ac:dyDescent="0.3">
      <c r="A46" s="181" t="s">
        <v>606</v>
      </c>
      <c r="B46" s="182" t="s">
        <v>290</v>
      </c>
      <c r="C46" s="182" t="s">
        <v>302</v>
      </c>
      <c r="D46" s="182" t="s">
        <v>605</v>
      </c>
      <c r="E46" s="182"/>
      <c r="F46" s="182"/>
      <c r="G46" s="182"/>
      <c r="H46" s="182"/>
      <c r="I46" s="182"/>
      <c r="J46" s="182"/>
      <c r="K46" s="182"/>
      <c r="L46" s="182"/>
      <c r="M46" s="182"/>
      <c r="N46" s="182"/>
      <c r="O46" s="182"/>
      <c r="P46" s="182"/>
      <c r="Q46" s="182"/>
      <c r="R46" s="182"/>
      <c r="S46" s="182" t="s">
        <v>528</v>
      </c>
      <c r="T46" s="181" t="s">
        <v>606</v>
      </c>
      <c r="U46" s="183">
        <v>315300</v>
      </c>
      <c r="V46" s="183">
        <v>330119.09999999998</v>
      </c>
      <c r="W46" s="183">
        <v>344314.22</v>
      </c>
      <c r="X46" s="181" t="s">
        <v>606</v>
      </c>
    </row>
    <row r="47" spans="1:24" ht="37.200000000000003" customHeight="1" x14ac:dyDescent="0.3">
      <c r="A47" s="181" t="s">
        <v>342</v>
      </c>
      <c r="B47" s="182" t="s">
        <v>290</v>
      </c>
      <c r="C47" s="182" t="s">
        <v>306</v>
      </c>
      <c r="D47" s="182"/>
      <c r="E47" s="182"/>
      <c r="F47" s="182"/>
      <c r="G47" s="182"/>
      <c r="H47" s="182"/>
      <c r="I47" s="182"/>
      <c r="J47" s="182"/>
      <c r="K47" s="182"/>
      <c r="L47" s="182"/>
      <c r="M47" s="182"/>
      <c r="N47" s="182"/>
      <c r="O47" s="182"/>
      <c r="P47" s="182"/>
      <c r="Q47" s="182"/>
      <c r="R47" s="182"/>
      <c r="S47" s="182"/>
      <c r="T47" s="181" t="s">
        <v>342</v>
      </c>
      <c r="U47" s="312">
        <v>17012064.41</v>
      </c>
      <c r="V47" s="183">
        <v>15920353.630000001</v>
      </c>
      <c r="W47" s="183">
        <v>16407240.65</v>
      </c>
      <c r="X47" s="181" t="s">
        <v>342</v>
      </c>
    </row>
    <row r="48" spans="1:24" ht="93" customHeight="1" x14ac:dyDescent="0.3">
      <c r="A48" s="181" t="s">
        <v>607</v>
      </c>
      <c r="B48" s="182" t="s">
        <v>290</v>
      </c>
      <c r="C48" s="182" t="s">
        <v>306</v>
      </c>
      <c r="D48" s="182" t="s">
        <v>608</v>
      </c>
      <c r="E48" s="182"/>
      <c r="F48" s="182"/>
      <c r="G48" s="182"/>
      <c r="H48" s="182"/>
      <c r="I48" s="182"/>
      <c r="J48" s="182"/>
      <c r="K48" s="182"/>
      <c r="L48" s="182"/>
      <c r="M48" s="182"/>
      <c r="N48" s="182"/>
      <c r="O48" s="182"/>
      <c r="P48" s="182"/>
      <c r="Q48" s="182"/>
      <c r="R48" s="182"/>
      <c r="S48" s="182"/>
      <c r="T48" s="181" t="s">
        <v>607</v>
      </c>
      <c r="U48" s="183">
        <v>1600000</v>
      </c>
      <c r="V48" s="183"/>
      <c r="W48" s="183"/>
      <c r="X48" s="181" t="s">
        <v>607</v>
      </c>
    </row>
    <row r="49" spans="1:24" ht="130.35" customHeight="1" x14ac:dyDescent="0.3">
      <c r="A49" s="181" t="s">
        <v>609</v>
      </c>
      <c r="B49" s="182" t="s">
        <v>290</v>
      </c>
      <c r="C49" s="182" t="s">
        <v>306</v>
      </c>
      <c r="D49" s="182" t="s">
        <v>608</v>
      </c>
      <c r="E49" s="182"/>
      <c r="F49" s="182"/>
      <c r="G49" s="182"/>
      <c r="H49" s="182"/>
      <c r="I49" s="182"/>
      <c r="J49" s="182"/>
      <c r="K49" s="182"/>
      <c r="L49" s="182"/>
      <c r="M49" s="182"/>
      <c r="N49" s="182"/>
      <c r="O49" s="182"/>
      <c r="P49" s="182"/>
      <c r="Q49" s="182"/>
      <c r="R49" s="182"/>
      <c r="S49" s="182" t="s">
        <v>586</v>
      </c>
      <c r="T49" s="181" t="s">
        <v>609</v>
      </c>
      <c r="U49" s="183">
        <v>1600000</v>
      </c>
      <c r="V49" s="183"/>
      <c r="W49" s="183"/>
      <c r="X49" s="181" t="s">
        <v>609</v>
      </c>
    </row>
    <row r="50" spans="1:24" ht="93" customHeight="1" x14ac:dyDescent="0.3">
      <c r="A50" s="181" t="s">
        <v>904</v>
      </c>
      <c r="B50" s="182" t="s">
        <v>290</v>
      </c>
      <c r="C50" s="182" t="s">
        <v>306</v>
      </c>
      <c r="D50" s="182" t="s">
        <v>905</v>
      </c>
      <c r="E50" s="182"/>
      <c r="F50" s="182"/>
      <c r="G50" s="182"/>
      <c r="H50" s="182"/>
      <c r="I50" s="182"/>
      <c r="J50" s="182"/>
      <c r="K50" s="182"/>
      <c r="L50" s="182"/>
      <c r="M50" s="182"/>
      <c r="N50" s="182"/>
      <c r="O50" s="182"/>
      <c r="P50" s="182"/>
      <c r="Q50" s="182"/>
      <c r="R50" s="182"/>
      <c r="S50" s="182"/>
      <c r="T50" s="181" t="s">
        <v>904</v>
      </c>
      <c r="U50" s="183">
        <v>4352832.4400000004</v>
      </c>
      <c r="V50" s="183">
        <v>4368804.5599999996</v>
      </c>
      <c r="W50" s="183">
        <v>4384104.16</v>
      </c>
      <c r="X50" s="181" t="s">
        <v>904</v>
      </c>
    </row>
    <row r="51" spans="1:24" ht="223.35" customHeight="1" x14ac:dyDescent="0.3">
      <c r="A51" s="187" t="s">
        <v>906</v>
      </c>
      <c r="B51" s="182" t="s">
        <v>290</v>
      </c>
      <c r="C51" s="182" t="s">
        <v>306</v>
      </c>
      <c r="D51" s="182" t="s">
        <v>905</v>
      </c>
      <c r="E51" s="182"/>
      <c r="F51" s="182"/>
      <c r="G51" s="182"/>
      <c r="H51" s="182"/>
      <c r="I51" s="182"/>
      <c r="J51" s="182"/>
      <c r="K51" s="182"/>
      <c r="L51" s="182"/>
      <c r="M51" s="182"/>
      <c r="N51" s="182"/>
      <c r="O51" s="182"/>
      <c r="P51" s="182"/>
      <c r="Q51" s="182"/>
      <c r="R51" s="182"/>
      <c r="S51" s="182" t="s">
        <v>162</v>
      </c>
      <c r="T51" s="187" t="s">
        <v>906</v>
      </c>
      <c r="U51" s="183">
        <v>4149599</v>
      </c>
      <c r="V51" s="183">
        <v>4156959.15</v>
      </c>
      <c r="W51" s="183">
        <v>4164009.39</v>
      </c>
      <c r="X51" s="187" t="s">
        <v>906</v>
      </c>
    </row>
    <row r="52" spans="1:24" ht="130.35" customHeight="1" x14ac:dyDescent="0.3">
      <c r="A52" s="181" t="s">
        <v>907</v>
      </c>
      <c r="B52" s="182" t="s">
        <v>290</v>
      </c>
      <c r="C52" s="182" t="s">
        <v>306</v>
      </c>
      <c r="D52" s="182" t="s">
        <v>905</v>
      </c>
      <c r="E52" s="182"/>
      <c r="F52" s="182"/>
      <c r="G52" s="182"/>
      <c r="H52" s="182"/>
      <c r="I52" s="182"/>
      <c r="J52" s="182"/>
      <c r="K52" s="182"/>
      <c r="L52" s="182"/>
      <c r="M52" s="182"/>
      <c r="N52" s="182"/>
      <c r="O52" s="182"/>
      <c r="P52" s="182"/>
      <c r="Q52" s="182"/>
      <c r="R52" s="182"/>
      <c r="S52" s="182" t="s">
        <v>586</v>
      </c>
      <c r="T52" s="181" t="s">
        <v>907</v>
      </c>
      <c r="U52" s="183">
        <v>202874</v>
      </c>
      <c r="V52" s="183">
        <v>211469.08</v>
      </c>
      <c r="W52" s="183">
        <v>219702.26</v>
      </c>
      <c r="X52" s="181" t="s">
        <v>907</v>
      </c>
    </row>
    <row r="53" spans="1:24" ht="111.75" customHeight="1" x14ac:dyDescent="0.3">
      <c r="A53" s="181" t="s">
        <v>908</v>
      </c>
      <c r="B53" s="182" t="s">
        <v>290</v>
      </c>
      <c r="C53" s="182" t="s">
        <v>306</v>
      </c>
      <c r="D53" s="182" t="s">
        <v>905</v>
      </c>
      <c r="E53" s="182"/>
      <c r="F53" s="182"/>
      <c r="G53" s="182"/>
      <c r="H53" s="182"/>
      <c r="I53" s="182"/>
      <c r="J53" s="182"/>
      <c r="K53" s="182"/>
      <c r="L53" s="182"/>
      <c r="M53" s="182"/>
      <c r="N53" s="182"/>
      <c r="O53" s="182"/>
      <c r="P53" s="182"/>
      <c r="Q53" s="182"/>
      <c r="R53" s="182"/>
      <c r="S53" s="182" t="s">
        <v>528</v>
      </c>
      <c r="T53" s="181" t="s">
        <v>908</v>
      </c>
      <c r="U53" s="183">
        <v>359.44</v>
      </c>
      <c r="V53" s="183">
        <v>376.33</v>
      </c>
      <c r="W53" s="183">
        <v>392.51</v>
      </c>
      <c r="X53" s="181" t="s">
        <v>908</v>
      </c>
    </row>
    <row r="54" spans="1:24" ht="111.75" customHeight="1" x14ac:dyDescent="0.3">
      <c r="A54" s="181" t="s">
        <v>909</v>
      </c>
      <c r="B54" s="182" t="s">
        <v>290</v>
      </c>
      <c r="C54" s="182" t="s">
        <v>306</v>
      </c>
      <c r="D54" s="182" t="s">
        <v>910</v>
      </c>
      <c r="E54" s="182"/>
      <c r="F54" s="182"/>
      <c r="G54" s="182"/>
      <c r="H54" s="182"/>
      <c r="I54" s="182"/>
      <c r="J54" s="182"/>
      <c r="K54" s="182"/>
      <c r="L54" s="182"/>
      <c r="M54" s="182"/>
      <c r="N54" s="182"/>
      <c r="O54" s="182"/>
      <c r="P54" s="182"/>
      <c r="Q54" s="182"/>
      <c r="R54" s="182"/>
      <c r="S54" s="182"/>
      <c r="T54" s="181" t="s">
        <v>909</v>
      </c>
      <c r="U54" s="183">
        <v>647941.5</v>
      </c>
      <c r="V54" s="183">
        <v>678394.75</v>
      </c>
      <c r="W54" s="183">
        <v>707565.73</v>
      </c>
      <c r="X54" s="181" t="s">
        <v>909</v>
      </c>
    </row>
    <row r="55" spans="1:24" ht="148.94999999999999" customHeight="1" x14ac:dyDescent="0.3">
      <c r="A55" s="181" t="s">
        <v>911</v>
      </c>
      <c r="B55" s="182" t="s">
        <v>290</v>
      </c>
      <c r="C55" s="182" t="s">
        <v>306</v>
      </c>
      <c r="D55" s="182" t="s">
        <v>910</v>
      </c>
      <c r="E55" s="182"/>
      <c r="F55" s="182"/>
      <c r="G55" s="182"/>
      <c r="H55" s="182"/>
      <c r="I55" s="182"/>
      <c r="J55" s="182"/>
      <c r="K55" s="182"/>
      <c r="L55" s="182"/>
      <c r="M55" s="182"/>
      <c r="N55" s="182"/>
      <c r="O55" s="182"/>
      <c r="P55" s="182"/>
      <c r="Q55" s="182"/>
      <c r="R55" s="182"/>
      <c r="S55" s="182" t="s">
        <v>586</v>
      </c>
      <c r="T55" s="181" t="s">
        <v>911</v>
      </c>
      <c r="U55" s="183">
        <v>647941.5</v>
      </c>
      <c r="V55" s="183">
        <v>678394.75</v>
      </c>
      <c r="W55" s="183">
        <v>707565.73</v>
      </c>
      <c r="X55" s="181" t="s">
        <v>911</v>
      </c>
    </row>
    <row r="56" spans="1:24" ht="111.75" customHeight="1" x14ac:dyDescent="0.3">
      <c r="A56" s="181" t="s">
        <v>610</v>
      </c>
      <c r="B56" s="182" t="s">
        <v>290</v>
      </c>
      <c r="C56" s="182" t="s">
        <v>306</v>
      </c>
      <c r="D56" s="182" t="s">
        <v>611</v>
      </c>
      <c r="E56" s="182"/>
      <c r="F56" s="182"/>
      <c r="G56" s="182"/>
      <c r="H56" s="182"/>
      <c r="I56" s="182"/>
      <c r="J56" s="182"/>
      <c r="K56" s="182"/>
      <c r="L56" s="182"/>
      <c r="M56" s="182"/>
      <c r="N56" s="182"/>
      <c r="O56" s="182"/>
      <c r="P56" s="182"/>
      <c r="Q56" s="182"/>
      <c r="R56" s="182"/>
      <c r="S56" s="182"/>
      <c r="T56" s="181" t="s">
        <v>610</v>
      </c>
      <c r="U56" s="183">
        <v>9826890.4700000007</v>
      </c>
      <c r="V56" s="183">
        <v>10288754.32</v>
      </c>
      <c r="W56" s="183">
        <v>10731170.76</v>
      </c>
      <c r="X56" s="181" t="s">
        <v>610</v>
      </c>
    </row>
    <row r="57" spans="1:24" ht="186.15" customHeight="1" x14ac:dyDescent="0.3">
      <c r="A57" s="187" t="s">
        <v>612</v>
      </c>
      <c r="B57" s="182" t="s">
        <v>290</v>
      </c>
      <c r="C57" s="182" t="s">
        <v>306</v>
      </c>
      <c r="D57" s="182" t="s">
        <v>611</v>
      </c>
      <c r="E57" s="182"/>
      <c r="F57" s="182"/>
      <c r="G57" s="182"/>
      <c r="H57" s="182"/>
      <c r="I57" s="182"/>
      <c r="J57" s="182"/>
      <c r="K57" s="182"/>
      <c r="L57" s="182"/>
      <c r="M57" s="182"/>
      <c r="N57" s="182"/>
      <c r="O57" s="182"/>
      <c r="P57" s="182"/>
      <c r="Q57" s="182"/>
      <c r="R57" s="182"/>
      <c r="S57" s="182" t="s">
        <v>613</v>
      </c>
      <c r="T57" s="187" t="s">
        <v>612</v>
      </c>
      <c r="U57" s="183">
        <v>9826890.4700000007</v>
      </c>
      <c r="V57" s="183">
        <v>10288754.32</v>
      </c>
      <c r="W57" s="183">
        <v>10731170.76</v>
      </c>
      <c r="X57" s="187" t="s">
        <v>612</v>
      </c>
    </row>
    <row r="58" spans="1:24" ht="297.89999999999998" customHeight="1" x14ac:dyDescent="0.3">
      <c r="A58" s="187" t="s">
        <v>516</v>
      </c>
      <c r="B58" s="182" t="s">
        <v>290</v>
      </c>
      <c r="C58" s="182" t="s">
        <v>306</v>
      </c>
      <c r="D58" s="182" t="s">
        <v>614</v>
      </c>
      <c r="E58" s="182"/>
      <c r="F58" s="182"/>
      <c r="G58" s="182"/>
      <c r="H58" s="182"/>
      <c r="I58" s="182"/>
      <c r="J58" s="182"/>
      <c r="K58" s="182"/>
      <c r="L58" s="182"/>
      <c r="M58" s="182"/>
      <c r="N58" s="182"/>
      <c r="O58" s="182"/>
      <c r="P58" s="182"/>
      <c r="Q58" s="182"/>
      <c r="R58" s="182"/>
      <c r="S58" s="182"/>
      <c r="T58" s="187" t="s">
        <v>516</v>
      </c>
      <c r="U58" s="183">
        <v>584400</v>
      </c>
      <c r="V58" s="183">
        <v>584400</v>
      </c>
      <c r="W58" s="183">
        <v>584400</v>
      </c>
      <c r="X58" s="187" t="s">
        <v>516</v>
      </c>
    </row>
    <row r="59" spans="1:24" ht="409.6" customHeight="1" x14ac:dyDescent="0.3">
      <c r="A59" s="187" t="s">
        <v>615</v>
      </c>
      <c r="B59" s="182" t="s">
        <v>290</v>
      </c>
      <c r="C59" s="182" t="s">
        <v>306</v>
      </c>
      <c r="D59" s="182" t="s">
        <v>614</v>
      </c>
      <c r="E59" s="182"/>
      <c r="F59" s="182"/>
      <c r="G59" s="182"/>
      <c r="H59" s="182"/>
      <c r="I59" s="182"/>
      <c r="J59" s="182"/>
      <c r="K59" s="182"/>
      <c r="L59" s="182"/>
      <c r="M59" s="182"/>
      <c r="N59" s="182"/>
      <c r="O59" s="182"/>
      <c r="P59" s="182"/>
      <c r="Q59" s="182"/>
      <c r="R59" s="182"/>
      <c r="S59" s="182" t="s">
        <v>162</v>
      </c>
      <c r="T59" s="187" t="s">
        <v>615</v>
      </c>
      <c r="U59" s="183">
        <v>539300</v>
      </c>
      <c r="V59" s="183">
        <v>539300</v>
      </c>
      <c r="W59" s="183">
        <v>539300</v>
      </c>
      <c r="X59" s="187" t="s">
        <v>615</v>
      </c>
    </row>
    <row r="60" spans="1:24" ht="335.1" customHeight="1" x14ac:dyDescent="0.3">
      <c r="A60" s="187" t="s">
        <v>616</v>
      </c>
      <c r="B60" s="182" t="s">
        <v>290</v>
      </c>
      <c r="C60" s="182" t="s">
        <v>306</v>
      </c>
      <c r="D60" s="182" t="s">
        <v>614</v>
      </c>
      <c r="E60" s="182"/>
      <c r="F60" s="182"/>
      <c r="G60" s="182"/>
      <c r="H60" s="182"/>
      <c r="I60" s="182"/>
      <c r="J60" s="182"/>
      <c r="K60" s="182"/>
      <c r="L60" s="182"/>
      <c r="M60" s="182"/>
      <c r="N60" s="182"/>
      <c r="O60" s="182"/>
      <c r="P60" s="182"/>
      <c r="Q60" s="182"/>
      <c r="R60" s="182"/>
      <c r="S60" s="182" t="s">
        <v>586</v>
      </c>
      <c r="T60" s="187" t="s">
        <v>616</v>
      </c>
      <c r="U60" s="183">
        <v>45100</v>
      </c>
      <c r="V60" s="183">
        <v>45100</v>
      </c>
      <c r="W60" s="183">
        <v>45100</v>
      </c>
      <c r="X60" s="187" t="s">
        <v>616</v>
      </c>
    </row>
    <row r="61" spans="1:24" ht="55.95" customHeight="1" x14ac:dyDescent="0.3">
      <c r="A61" s="179" t="s">
        <v>617</v>
      </c>
      <c r="B61" s="191" t="s">
        <v>292</v>
      </c>
      <c r="C61" s="191" t="s">
        <v>317</v>
      </c>
      <c r="D61" s="191"/>
      <c r="E61" s="191"/>
      <c r="F61" s="191"/>
      <c r="G61" s="191"/>
      <c r="H61" s="191"/>
      <c r="I61" s="191"/>
      <c r="J61" s="191"/>
      <c r="K61" s="191"/>
      <c r="L61" s="191"/>
      <c r="M61" s="191"/>
      <c r="N61" s="191"/>
      <c r="O61" s="191"/>
      <c r="P61" s="191"/>
      <c r="Q61" s="191"/>
      <c r="R61" s="191"/>
      <c r="S61" s="191"/>
      <c r="T61" s="179" t="s">
        <v>617</v>
      </c>
      <c r="U61" s="313">
        <v>3684687.92</v>
      </c>
      <c r="V61" s="180">
        <v>3878148.27</v>
      </c>
      <c r="W61" s="180">
        <v>4065568.04</v>
      </c>
      <c r="X61" s="179" t="s">
        <v>617</v>
      </c>
    </row>
    <row r="62" spans="1:24" ht="74.400000000000006" customHeight="1" x14ac:dyDescent="0.3">
      <c r="A62" s="181" t="s">
        <v>537</v>
      </c>
      <c r="B62" s="182" t="s">
        <v>292</v>
      </c>
      <c r="C62" s="182" t="s">
        <v>300</v>
      </c>
      <c r="D62" s="182"/>
      <c r="E62" s="182"/>
      <c r="F62" s="182"/>
      <c r="G62" s="182"/>
      <c r="H62" s="182"/>
      <c r="I62" s="182"/>
      <c r="J62" s="182"/>
      <c r="K62" s="182"/>
      <c r="L62" s="182"/>
      <c r="M62" s="182"/>
      <c r="N62" s="182"/>
      <c r="O62" s="182"/>
      <c r="P62" s="182"/>
      <c r="Q62" s="182"/>
      <c r="R62" s="182"/>
      <c r="S62" s="182"/>
      <c r="T62" s="181" t="s">
        <v>537</v>
      </c>
      <c r="U62" s="183">
        <v>3684687.92</v>
      </c>
      <c r="V62" s="183">
        <v>3878148.27</v>
      </c>
      <c r="W62" s="183">
        <v>4065568.04</v>
      </c>
      <c r="X62" s="181" t="s">
        <v>537</v>
      </c>
    </row>
    <row r="63" spans="1:24" ht="74.400000000000006" customHeight="1" x14ac:dyDescent="0.3">
      <c r="A63" s="181" t="s">
        <v>912</v>
      </c>
      <c r="B63" s="182" t="s">
        <v>292</v>
      </c>
      <c r="C63" s="182" t="s">
        <v>300</v>
      </c>
      <c r="D63" s="182" t="s">
        <v>913</v>
      </c>
      <c r="E63" s="182"/>
      <c r="F63" s="182"/>
      <c r="G63" s="182"/>
      <c r="H63" s="182"/>
      <c r="I63" s="182"/>
      <c r="J63" s="182"/>
      <c r="K63" s="182"/>
      <c r="L63" s="182"/>
      <c r="M63" s="182"/>
      <c r="N63" s="182"/>
      <c r="O63" s="182"/>
      <c r="P63" s="182"/>
      <c r="Q63" s="182"/>
      <c r="R63" s="182"/>
      <c r="S63" s="182"/>
      <c r="T63" s="181" t="s">
        <v>912</v>
      </c>
      <c r="U63" s="183">
        <v>2642421.77</v>
      </c>
      <c r="V63" s="183">
        <v>2766615.59</v>
      </c>
      <c r="W63" s="183">
        <v>2885580.06</v>
      </c>
      <c r="X63" s="181" t="s">
        <v>912</v>
      </c>
    </row>
    <row r="64" spans="1:24" ht="130.35" customHeight="1" x14ac:dyDescent="0.3">
      <c r="A64" s="181" t="s">
        <v>914</v>
      </c>
      <c r="B64" s="182" t="s">
        <v>292</v>
      </c>
      <c r="C64" s="182" t="s">
        <v>300</v>
      </c>
      <c r="D64" s="182" t="s">
        <v>913</v>
      </c>
      <c r="E64" s="182"/>
      <c r="F64" s="182"/>
      <c r="G64" s="182"/>
      <c r="H64" s="182"/>
      <c r="I64" s="182"/>
      <c r="J64" s="182"/>
      <c r="K64" s="182"/>
      <c r="L64" s="182"/>
      <c r="M64" s="182"/>
      <c r="N64" s="182"/>
      <c r="O64" s="182"/>
      <c r="P64" s="182"/>
      <c r="Q64" s="182"/>
      <c r="R64" s="182"/>
      <c r="S64" s="182" t="s">
        <v>613</v>
      </c>
      <c r="T64" s="181" t="s">
        <v>914</v>
      </c>
      <c r="U64" s="183">
        <v>2642421.77</v>
      </c>
      <c r="V64" s="183">
        <v>2766615.59</v>
      </c>
      <c r="W64" s="183">
        <v>2885580.06</v>
      </c>
      <c r="X64" s="181" t="s">
        <v>914</v>
      </c>
    </row>
    <row r="65" spans="1:24" ht="111.75" customHeight="1" x14ac:dyDescent="0.3">
      <c r="A65" s="181" t="s">
        <v>618</v>
      </c>
      <c r="B65" s="182" t="s">
        <v>292</v>
      </c>
      <c r="C65" s="182" t="s">
        <v>300</v>
      </c>
      <c r="D65" s="182" t="s">
        <v>619</v>
      </c>
      <c r="E65" s="182"/>
      <c r="F65" s="182"/>
      <c r="G65" s="182"/>
      <c r="H65" s="182"/>
      <c r="I65" s="182"/>
      <c r="J65" s="182"/>
      <c r="K65" s="182"/>
      <c r="L65" s="182"/>
      <c r="M65" s="182"/>
      <c r="N65" s="182"/>
      <c r="O65" s="182"/>
      <c r="P65" s="182"/>
      <c r="Q65" s="182"/>
      <c r="R65" s="182"/>
      <c r="S65" s="182"/>
      <c r="T65" s="181" t="s">
        <v>618</v>
      </c>
      <c r="U65" s="183">
        <v>500000</v>
      </c>
      <c r="V65" s="183">
        <v>550000</v>
      </c>
      <c r="W65" s="183">
        <v>600000</v>
      </c>
      <c r="X65" s="181" t="s">
        <v>618</v>
      </c>
    </row>
    <row r="66" spans="1:24" ht="148.94999999999999" customHeight="1" x14ac:dyDescent="0.3">
      <c r="A66" s="181" t="s">
        <v>620</v>
      </c>
      <c r="B66" s="182" t="s">
        <v>292</v>
      </c>
      <c r="C66" s="182" t="s">
        <v>300</v>
      </c>
      <c r="D66" s="182" t="s">
        <v>619</v>
      </c>
      <c r="E66" s="182"/>
      <c r="F66" s="182"/>
      <c r="G66" s="182"/>
      <c r="H66" s="182"/>
      <c r="I66" s="182"/>
      <c r="J66" s="182"/>
      <c r="K66" s="182"/>
      <c r="L66" s="182"/>
      <c r="M66" s="182"/>
      <c r="N66" s="182"/>
      <c r="O66" s="182"/>
      <c r="P66" s="182"/>
      <c r="Q66" s="182"/>
      <c r="R66" s="182"/>
      <c r="S66" s="182" t="s">
        <v>586</v>
      </c>
      <c r="T66" s="181" t="s">
        <v>620</v>
      </c>
      <c r="U66" s="183">
        <v>500000</v>
      </c>
      <c r="V66" s="183">
        <v>550000</v>
      </c>
      <c r="W66" s="183">
        <v>600000</v>
      </c>
      <c r="X66" s="181" t="s">
        <v>620</v>
      </c>
    </row>
    <row r="67" spans="1:24" ht="37.200000000000003" customHeight="1" x14ac:dyDescent="0.3">
      <c r="A67" s="181" t="s">
        <v>621</v>
      </c>
      <c r="B67" s="182" t="s">
        <v>292</v>
      </c>
      <c r="C67" s="182" t="s">
        <v>300</v>
      </c>
      <c r="D67" s="182" t="s">
        <v>622</v>
      </c>
      <c r="E67" s="182"/>
      <c r="F67" s="182"/>
      <c r="G67" s="182"/>
      <c r="H67" s="182"/>
      <c r="I67" s="182"/>
      <c r="J67" s="182"/>
      <c r="K67" s="182"/>
      <c r="L67" s="182"/>
      <c r="M67" s="182"/>
      <c r="N67" s="182"/>
      <c r="O67" s="182"/>
      <c r="P67" s="182"/>
      <c r="Q67" s="182"/>
      <c r="R67" s="182"/>
      <c r="S67" s="182"/>
      <c r="T67" s="181" t="s">
        <v>621</v>
      </c>
      <c r="U67" s="183">
        <v>50000</v>
      </c>
      <c r="V67" s="183">
        <v>50000</v>
      </c>
      <c r="W67" s="183">
        <v>50000</v>
      </c>
      <c r="X67" s="181" t="s">
        <v>621</v>
      </c>
    </row>
    <row r="68" spans="1:24" ht="93" customHeight="1" x14ac:dyDescent="0.3">
      <c r="A68" s="181" t="s">
        <v>623</v>
      </c>
      <c r="B68" s="182" t="s">
        <v>292</v>
      </c>
      <c r="C68" s="182" t="s">
        <v>300</v>
      </c>
      <c r="D68" s="182" t="s">
        <v>622</v>
      </c>
      <c r="E68" s="182"/>
      <c r="F68" s="182"/>
      <c r="G68" s="182"/>
      <c r="H68" s="182"/>
      <c r="I68" s="182"/>
      <c r="J68" s="182"/>
      <c r="K68" s="182"/>
      <c r="L68" s="182"/>
      <c r="M68" s="182"/>
      <c r="N68" s="182"/>
      <c r="O68" s="182"/>
      <c r="P68" s="182"/>
      <c r="Q68" s="182"/>
      <c r="R68" s="182"/>
      <c r="S68" s="182" t="s">
        <v>586</v>
      </c>
      <c r="T68" s="181" t="s">
        <v>623</v>
      </c>
      <c r="U68" s="183">
        <v>50000</v>
      </c>
      <c r="V68" s="183">
        <v>50000</v>
      </c>
      <c r="W68" s="183">
        <v>50000</v>
      </c>
      <c r="X68" s="181" t="s">
        <v>623</v>
      </c>
    </row>
    <row r="69" spans="1:24" ht="260.7" customHeight="1" x14ac:dyDescent="0.3">
      <c r="A69" s="187" t="s">
        <v>526</v>
      </c>
      <c r="B69" s="182" t="s">
        <v>292</v>
      </c>
      <c r="C69" s="182" t="s">
        <v>300</v>
      </c>
      <c r="D69" s="182" t="s">
        <v>624</v>
      </c>
      <c r="E69" s="182"/>
      <c r="F69" s="182"/>
      <c r="G69" s="182"/>
      <c r="H69" s="182"/>
      <c r="I69" s="182"/>
      <c r="J69" s="182"/>
      <c r="K69" s="182"/>
      <c r="L69" s="182"/>
      <c r="M69" s="182"/>
      <c r="N69" s="182"/>
      <c r="O69" s="182"/>
      <c r="P69" s="182"/>
      <c r="Q69" s="182"/>
      <c r="R69" s="182"/>
      <c r="S69" s="182"/>
      <c r="T69" s="187" t="s">
        <v>526</v>
      </c>
      <c r="U69" s="183">
        <v>492266.15</v>
      </c>
      <c r="V69" s="183">
        <v>511532.68</v>
      </c>
      <c r="W69" s="183">
        <v>529987.98</v>
      </c>
      <c r="X69" s="187" t="s">
        <v>526</v>
      </c>
    </row>
    <row r="70" spans="1:24" ht="297.89999999999998" customHeight="1" x14ac:dyDescent="0.3">
      <c r="A70" s="187" t="s">
        <v>625</v>
      </c>
      <c r="B70" s="182" t="s">
        <v>292</v>
      </c>
      <c r="C70" s="182" t="s">
        <v>300</v>
      </c>
      <c r="D70" s="182" t="s">
        <v>624</v>
      </c>
      <c r="E70" s="182"/>
      <c r="F70" s="182"/>
      <c r="G70" s="182"/>
      <c r="H70" s="182"/>
      <c r="I70" s="182"/>
      <c r="J70" s="182"/>
      <c r="K70" s="182"/>
      <c r="L70" s="182"/>
      <c r="M70" s="182"/>
      <c r="N70" s="182"/>
      <c r="O70" s="182"/>
      <c r="P70" s="182"/>
      <c r="Q70" s="182"/>
      <c r="R70" s="182"/>
      <c r="S70" s="182" t="s">
        <v>586</v>
      </c>
      <c r="T70" s="187" t="s">
        <v>625</v>
      </c>
      <c r="U70" s="183">
        <v>492266.15</v>
      </c>
      <c r="V70" s="183">
        <v>511532.68</v>
      </c>
      <c r="W70" s="183">
        <v>529987.98</v>
      </c>
      <c r="X70" s="187" t="s">
        <v>625</v>
      </c>
    </row>
    <row r="71" spans="1:24" ht="18.600000000000001" customHeight="1" x14ac:dyDescent="0.3">
      <c r="A71" s="179" t="s">
        <v>626</v>
      </c>
      <c r="B71" s="191" t="s">
        <v>335</v>
      </c>
      <c r="C71" s="191" t="s">
        <v>317</v>
      </c>
      <c r="D71" s="191"/>
      <c r="E71" s="191"/>
      <c r="F71" s="191"/>
      <c r="G71" s="191"/>
      <c r="H71" s="191"/>
      <c r="I71" s="191"/>
      <c r="J71" s="191"/>
      <c r="K71" s="191"/>
      <c r="L71" s="191"/>
      <c r="M71" s="191"/>
      <c r="N71" s="191"/>
      <c r="O71" s="191"/>
      <c r="P71" s="191"/>
      <c r="Q71" s="191"/>
      <c r="R71" s="191"/>
      <c r="S71" s="191"/>
      <c r="T71" s="179" t="s">
        <v>626</v>
      </c>
      <c r="U71" s="180">
        <f>U72+U87+U92+U113</f>
        <v>8312735.8399999999</v>
      </c>
      <c r="V71" s="180">
        <f>V72+V87+V92+V113</f>
        <v>7657449.6799999997</v>
      </c>
      <c r="W71" s="180">
        <f>W72+W87+W92+W113</f>
        <v>7657449.6799999997</v>
      </c>
      <c r="X71" s="179" t="s">
        <v>626</v>
      </c>
    </row>
    <row r="72" spans="1:24" ht="18.600000000000001" customHeight="1" x14ac:dyDescent="0.3">
      <c r="A72" s="181" t="s">
        <v>351</v>
      </c>
      <c r="B72" s="182" t="s">
        <v>335</v>
      </c>
      <c r="C72" s="182" t="s">
        <v>294</v>
      </c>
      <c r="D72" s="182"/>
      <c r="E72" s="182"/>
      <c r="F72" s="182"/>
      <c r="G72" s="182"/>
      <c r="H72" s="182"/>
      <c r="I72" s="182"/>
      <c r="J72" s="182"/>
      <c r="K72" s="182"/>
      <c r="L72" s="182"/>
      <c r="M72" s="182"/>
      <c r="N72" s="182"/>
      <c r="O72" s="182"/>
      <c r="P72" s="182"/>
      <c r="Q72" s="182"/>
      <c r="R72" s="182"/>
      <c r="S72" s="182"/>
      <c r="T72" s="181" t="s">
        <v>351</v>
      </c>
      <c r="U72" s="312">
        <f>U73+U75+U77+U79+U81+U83+U85</f>
        <v>636250</v>
      </c>
      <c r="V72" s="312">
        <f>V73+V75+V77+V79+V81+V83+V85</f>
        <v>636200</v>
      </c>
      <c r="W72" s="312">
        <f>W73+W75+W77+W79+W81+W83+W85</f>
        <v>636200</v>
      </c>
      <c r="X72" s="181" t="s">
        <v>351</v>
      </c>
    </row>
    <row r="73" spans="1:24" ht="74.400000000000006" customHeight="1" x14ac:dyDescent="0.3">
      <c r="A73" s="181" t="s">
        <v>627</v>
      </c>
      <c r="B73" s="182" t="s">
        <v>335</v>
      </c>
      <c r="C73" s="182" t="s">
        <v>294</v>
      </c>
      <c r="D73" s="182" t="s">
        <v>628</v>
      </c>
      <c r="E73" s="182"/>
      <c r="F73" s="182"/>
      <c r="G73" s="182"/>
      <c r="H73" s="182"/>
      <c r="I73" s="182"/>
      <c r="J73" s="182"/>
      <c r="K73" s="182"/>
      <c r="L73" s="182"/>
      <c r="M73" s="182"/>
      <c r="N73" s="182"/>
      <c r="O73" s="182"/>
      <c r="P73" s="182"/>
      <c r="Q73" s="182"/>
      <c r="R73" s="182"/>
      <c r="S73" s="182"/>
      <c r="T73" s="181" t="s">
        <v>627</v>
      </c>
      <c r="U73" s="183">
        <v>50000</v>
      </c>
      <c r="V73" s="183">
        <v>50000</v>
      </c>
      <c r="W73" s="183">
        <v>50000</v>
      </c>
      <c r="X73" s="181" t="s">
        <v>627</v>
      </c>
    </row>
    <row r="74" spans="1:24" ht="130.35" customHeight="1" x14ac:dyDescent="0.3">
      <c r="A74" s="181" t="s">
        <v>629</v>
      </c>
      <c r="B74" s="182" t="s">
        <v>335</v>
      </c>
      <c r="C74" s="182" t="s">
        <v>294</v>
      </c>
      <c r="D74" s="182" t="s">
        <v>628</v>
      </c>
      <c r="E74" s="182"/>
      <c r="F74" s="182"/>
      <c r="G74" s="182"/>
      <c r="H74" s="182"/>
      <c r="I74" s="182"/>
      <c r="J74" s="182"/>
      <c r="K74" s="182"/>
      <c r="L74" s="182"/>
      <c r="M74" s="182"/>
      <c r="N74" s="182"/>
      <c r="O74" s="182"/>
      <c r="P74" s="182"/>
      <c r="Q74" s="182"/>
      <c r="R74" s="182"/>
      <c r="S74" s="182" t="s">
        <v>586</v>
      </c>
      <c r="T74" s="181" t="s">
        <v>629</v>
      </c>
      <c r="U74" s="183">
        <v>50000</v>
      </c>
      <c r="V74" s="183">
        <v>50000</v>
      </c>
      <c r="W74" s="183">
        <v>50000</v>
      </c>
      <c r="X74" s="181" t="s">
        <v>629</v>
      </c>
    </row>
    <row r="75" spans="1:24" ht="55.95" customHeight="1" x14ac:dyDescent="0.3">
      <c r="A75" s="181" t="s">
        <v>630</v>
      </c>
      <c r="B75" s="182" t="s">
        <v>335</v>
      </c>
      <c r="C75" s="182" t="s">
        <v>294</v>
      </c>
      <c r="D75" s="182" t="s">
        <v>631</v>
      </c>
      <c r="E75" s="182"/>
      <c r="F75" s="182"/>
      <c r="G75" s="182"/>
      <c r="H75" s="182"/>
      <c r="I75" s="182"/>
      <c r="J75" s="182"/>
      <c r="K75" s="182"/>
      <c r="L75" s="182"/>
      <c r="M75" s="182"/>
      <c r="N75" s="182"/>
      <c r="O75" s="182"/>
      <c r="P75" s="182"/>
      <c r="Q75" s="182"/>
      <c r="R75" s="182"/>
      <c r="S75" s="182"/>
      <c r="T75" s="181" t="s">
        <v>630</v>
      </c>
      <c r="U75" s="183">
        <v>100000</v>
      </c>
      <c r="V75" s="183">
        <v>100000</v>
      </c>
      <c r="W75" s="183">
        <v>100000</v>
      </c>
      <c r="X75" s="181" t="s">
        <v>630</v>
      </c>
    </row>
    <row r="76" spans="1:24" ht="111.75" customHeight="1" x14ac:dyDescent="0.3">
      <c r="A76" s="181" t="s">
        <v>632</v>
      </c>
      <c r="B76" s="182" t="s">
        <v>335</v>
      </c>
      <c r="C76" s="182" t="s">
        <v>294</v>
      </c>
      <c r="D76" s="182" t="s">
        <v>631</v>
      </c>
      <c r="E76" s="182"/>
      <c r="F76" s="182"/>
      <c r="G76" s="182"/>
      <c r="H76" s="182"/>
      <c r="I76" s="182"/>
      <c r="J76" s="182"/>
      <c r="K76" s="182"/>
      <c r="L76" s="182"/>
      <c r="M76" s="182"/>
      <c r="N76" s="182"/>
      <c r="O76" s="182"/>
      <c r="P76" s="182"/>
      <c r="Q76" s="182"/>
      <c r="R76" s="182"/>
      <c r="S76" s="182" t="s">
        <v>586</v>
      </c>
      <c r="T76" s="181" t="s">
        <v>632</v>
      </c>
      <c r="U76" s="183">
        <v>100000</v>
      </c>
      <c r="V76" s="183">
        <v>100000</v>
      </c>
      <c r="W76" s="183">
        <v>100000</v>
      </c>
      <c r="X76" s="181" t="s">
        <v>632</v>
      </c>
    </row>
    <row r="77" spans="1:24" ht="93" customHeight="1" x14ac:dyDescent="0.3">
      <c r="A77" s="181" t="s">
        <v>633</v>
      </c>
      <c r="B77" s="182" t="s">
        <v>335</v>
      </c>
      <c r="C77" s="182" t="s">
        <v>294</v>
      </c>
      <c r="D77" s="182" t="s">
        <v>634</v>
      </c>
      <c r="E77" s="182"/>
      <c r="F77" s="182"/>
      <c r="G77" s="182"/>
      <c r="H77" s="182"/>
      <c r="I77" s="182"/>
      <c r="J77" s="182"/>
      <c r="K77" s="182"/>
      <c r="L77" s="182"/>
      <c r="M77" s="182"/>
      <c r="N77" s="182"/>
      <c r="O77" s="182"/>
      <c r="P77" s="182"/>
      <c r="Q77" s="182"/>
      <c r="R77" s="182"/>
      <c r="S77" s="182"/>
      <c r="T77" s="181" t="s">
        <v>633</v>
      </c>
      <c r="U77" s="183">
        <v>200000</v>
      </c>
      <c r="V77" s="183">
        <v>200000</v>
      </c>
      <c r="W77" s="183">
        <v>200000</v>
      </c>
      <c r="X77" s="181" t="s">
        <v>633</v>
      </c>
    </row>
    <row r="78" spans="1:24" ht="130.35" customHeight="1" x14ac:dyDescent="0.3">
      <c r="A78" s="181" t="s">
        <v>635</v>
      </c>
      <c r="B78" s="182" t="s">
        <v>335</v>
      </c>
      <c r="C78" s="182" t="s">
        <v>294</v>
      </c>
      <c r="D78" s="182" t="s">
        <v>634</v>
      </c>
      <c r="E78" s="182"/>
      <c r="F78" s="182"/>
      <c r="G78" s="182"/>
      <c r="H78" s="182"/>
      <c r="I78" s="182"/>
      <c r="J78" s="182"/>
      <c r="K78" s="182"/>
      <c r="L78" s="182"/>
      <c r="M78" s="182"/>
      <c r="N78" s="182"/>
      <c r="O78" s="182"/>
      <c r="P78" s="182"/>
      <c r="Q78" s="182"/>
      <c r="R78" s="182"/>
      <c r="S78" s="182" t="s">
        <v>586</v>
      </c>
      <c r="T78" s="181" t="s">
        <v>635</v>
      </c>
      <c r="U78" s="183">
        <v>200000</v>
      </c>
      <c r="V78" s="183">
        <v>200000</v>
      </c>
      <c r="W78" s="183">
        <v>200000</v>
      </c>
      <c r="X78" s="181" t="s">
        <v>635</v>
      </c>
    </row>
    <row r="79" spans="1:24" ht="55.95" customHeight="1" x14ac:dyDescent="0.3">
      <c r="A79" s="181" t="s">
        <v>636</v>
      </c>
      <c r="B79" s="182" t="s">
        <v>335</v>
      </c>
      <c r="C79" s="182" t="s">
        <v>294</v>
      </c>
      <c r="D79" s="182" t="s">
        <v>637</v>
      </c>
      <c r="E79" s="182"/>
      <c r="F79" s="182"/>
      <c r="G79" s="182"/>
      <c r="H79" s="182"/>
      <c r="I79" s="182"/>
      <c r="J79" s="182"/>
      <c r="K79" s="182"/>
      <c r="L79" s="182"/>
      <c r="M79" s="182"/>
      <c r="N79" s="182"/>
      <c r="O79" s="182"/>
      <c r="P79" s="182"/>
      <c r="Q79" s="182"/>
      <c r="R79" s="182"/>
      <c r="S79" s="182"/>
      <c r="T79" s="181" t="s">
        <v>636</v>
      </c>
      <c r="U79" s="183">
        <v>70000</v>
      </c>
      <c r="V79" s="183">
        <v>70000</v>
      </c>
      <c r="W79" s="183">
        <v>70000</v>
      </c>
      <c r="X79" s="181" t="s">
        <v>636</v>
      </c>
    </row>
    <row r="80" spans="1:24" ht="93" customHeight="1" x14ac:dyDescent="0.3">
      <c r="A80" s="181" t="s">
        <v>638</v>
      </c>
      <c r="B80" s="182" t="s">
        <v>335</v>
      </c>
      <c r="C80" s="182" t="s">
        <v>294</v>
      </c>
      <c r="D80" s="182" t="s">
        <v>637</v>
      </c>
      <c r="E80" s="182"/>
      <c r="F80" s="182"/>
      <c r="G80" s="182"/>
      <c r="H80" s="182"/>
      <c r="I80" s="182"/>
      <c r="J80" s="182"/>
      <c r="K80" s="182"/>
      <c r="L80" s="182"/>
      <c r="M80" s="182"/>
      <c r="N80" s="182"/>
      <c r="O80" s="182"/>
      <c r="P80" s="182"/>
      <c r="Q80" s="182"/>
      <c r="R80" s="182"/>
      <c r="S80" s="182" t="s">
        <v>586</v>
      </c>
      <c r="T80" s="181" t="s">
        <v>638</v>
      </c>
      <c r="U80" s="183">
        <v>70000</v>
      </c>
      <c r="V80" s="183">
        <v>70000</v>
      </c>
      <c r="W80" s="183">
        <v>70000</v>
      </c>
      <c r="X80" s="181" t="s">
        <v>638</v>
      </c>
    </row>
    <row r="81" spans="1:24" ht="55.95" customHeight="1" x14ac:dyDescent="0.3">
      <c r="A81" s="181" t="s">
        <v>639</v>
      </c>
      <c r="B81" s="182" t="s">
        <v>335</v>
      </c>
      <c r="C81" s="182" t="s">
        <v>294</v>
      </c>
      <c r="D81" s="182" t="s">
        <v>640</v>
      </c>
      <c r="E81" s="182"/>
      <c r="F81" s="182"/>
      <c r="G81" s="182"/>
      <c r="H81" s="182"/>
      <c r="I81" s="182"/>
      <c r="J81" s="182"/>
      <c r="K81" s="182"/>
      <c r="L81" s="182"/>
      <c r="M81" s="182"/>
      <c r="N81" s="182"/>
      <c r="O81" s="182"/>
      <c r="P81" s="182"/>
      <c r="Q81" s="182"/>
      <c r="R81" s="182"/>
      <c r="S81" s="182"/>
      <c r="T81" s="181" t="s">
        <v>639</v>
      </c>
      <c r="U81" s="183">
        <v>30000</v>
      </c>
      <c r="V81" s="183">
        <v>30000</v>
      </c>
      <c r="W81" s="183">
        <v>30000</v>
      </c>
      <c r="X81" s="181" t="s">
        <v>639</v>
      </c>
    </row>
    <row r="82" spans="1:24" ht="93" customHeight="1" x14ac:dyDescent="0.3">
      <c r="A82" s="181" t="s">
        <v>641</v>
      </c>
      <c r="B82" s="182" t="s">
        <v>335</v>
      </c>
      <c r="C82" s="182" t="s">
        <v>294</v>
      </c>
      <c r="D82" s="182" t="s">
        <v>640</v>
      </c>
      <c r="E82" s="182"/>
      <c r="F82" s="182"/>
      <c r="G82" s="182"/>
      <c r="H82" s="182"/>
      <c r="I82" s="182"/>
      <c r="J82" s="182"/>
      <c r="K82" s="182"/>
      <c r="L82" s="182"/>
      <c r="M82" s="182"/>
      <c r="N82" s="182"/>
      <c r="O82" s="182"/>
      <c r="P82" s="182"/>
      <c r="Q82" s="182"/>
      <c r="R82" s="182"/>
      <c r="S82" s="182" t="s">
        <v>586</v>
      </c>
      <c r="T82" s="181" t="s">
        <v>641</v>
      </c>
      <c r="U82" s="183">
        <v>30000</v>
      </c>
      <c r="V82" s="183">
        <v>30000</v>
      </c>
      <c r="W82" s="183">
        <v>30000</v>
      </c>
      <c r="X82" s="181" t="s">
        <v>641</v>
      </c>
    </row>
    <row r="83" spans="1:24" ht="74.400000000000006" customHeight="1" x14ac:dyDescent="0.3">
      <c r="A83" s="181" t="s">
        <v>642</v>
      </c>
      <c r="B83" s="182" t="s">
        <v>335</v>
      </c>
      <c r="C83" s="182" t="s">
        <v>294</v>
      </c>
      <c r="D83" s="182" t="s">
        <v>643</v>
      </c>
      <c r="E83" s="182"/>
      <c r="F83" s="182"/>
      <c r="G83" s="182"/>
      <c r="H83" s="182"/>
      <c r="I83" s="182"/>
      <c r="J83" s="182"/>
      <c r="K83" s="182"/>
      <c r="L83" s="182"/>
      <c r="M83" s="182"/>
      <c r="N83" s="182"/>
      <c r="O83" s="182"/>
      <c r="P83" s="182"/>
      <c r="Q83" s="182"/>
      <c r="R83" s="182"/>
      <c r="S83" s="182"/>
      <c r="T83" s="181" t="s">
        <v>642</v>
      </c>
      <c r="U83" s="183">
        <v>30000</v>
      </c>
      <c r="V83" s="183">
        <v>30000</v>
      </c>
      <c r="W83" s="183">
        <v>30000</v>
      </c>
      <c r="X83" s="181" t="s">
        <v>642</v>
      </c>
    </row>
    <row r="84" spans="1:24" ht="130.35" customHeight="1" x14ac:dyDescent="0.3">
      <c r="A84" s="181" t="s">
        <v>644</v>
      </c>
      <c r="B84" s="182" t="s">
        <v>335</v>
      </c>
      <c r="C84" s="182" t="s">
        <v>294</v>
      </c>
      <c r="D84" s="182" t="s">
        <v>643</v>
      </c>
      <c r="E84" s="182"/>
      <c r="F84" s="182"/>
      <c r="G84" s="182"/>
      <c r="H84" s="182"/>
      <c r="I84" s="182"/>
      <c r="J84" s="182"/>
      <c r="K84" s="182"/>
      <c r="L84" s="182"/>
      <c r="M84" s="182"/>
      <c r="N84" s="182"/>
      <c r="O84" s="182"/>
      <c r="P84" s="182"/>
      <c r="Q84" s="182"/>
      <c r="R84" s="182"/>
      <c r="S84" s="182" t="s">
        <v>586</v>
      </c>
      <c r="T84" s="181" t="s">
        <v>644</v>
      </c>
      <c r="U84" s="183">
        <v>30000</v>
      </c>
      <c r="V84" s="183">
        <v>30000</v>
      </c>
      <c r="W84" s="183">
        <v>30000</v>
      </c>
      <c r="X84" s="181" t="s">
        <v>644</v>
      </c>
    </row>
    <row r="85" spans="1:24" ht="111.75" customHeight="1" x14ac:dyDescent="0.3">
      <c r="A85" s="181" t="s">
        <v>645</v>
      </c>
      <c r="B85" s="182" t="s">
        <v>335</v>
      </c>
      <c r="C85" s="182" t="s">
        <v>294</v>
      </c>
      <c r="D85" s="182" t="s">
        <v>646</v>
      </c>
      <c r="E85" s="182"/>
      <c r="F85" s="182"/>
      <c r="G85" s="182"/>
      <c r="H85" s="182"/>
      <c r="I85" s="182"/>
      <c r="J85" s="182"/>
      <c r="K85" s="182"/>
      <c r="L85" s="182"/>
      <c r="M85" s="182"/>
      <c r="N85" s="182"/>
      <c r="O85" s="182"/>
      <c r="P85" s="182"/>
      <c r="Q85" s="182"/>
      <c r="R85" s="182"/>
      <c r="S85" s="182"/>
      <c r="T85" s="181" t="s">
        <v>645</v>
      </c>
      <c r="U85" s="183">
        <f>U86</f>
        <v>156250</v>
      </c>
      <c r="V85" s="183">
        <v>156200</v>
      </c>
      <c r="W85" s="183">
        <v>156200</v>
      </c>
      <c r="X85" s="181" t="s">
        <v>645</v>
      </c>
    </row>
    <row r="86" spans="1:24" ht="167.7" customHeight="1" x14ac:dyDescent="0.3">
      <c r="A86" s="181" t="s">
        <v>647</v>
      </c>
      <c r="B86" s="182" t="s">
        <v>335</v>
      </c>
      <c r="C86" s="182" t="s">
        <v>294</v>
      </c>
      <c r="D86" s="182" t="s">
        <v>646</v>
      </c>
      <c r="E86" s="182"/>
      <c r="F86" s="182"/>
      <c r="G86" s="182"/>
      <c r="H86" s="182"/>
      <c r="I86" s="182"/>
      <c r="J86" s="182"/>
      <c r="K86" s="182"/>
      <c r="L86" s="182"/>
      <c r="M86" s="182"/>
      <c r="N86" s="182"/>
      <c r="O86" s="182"/>
      <c r="P86" s="182"/>
      <c r="Q86" s="182"/>
      <c r="R86" s="182"/>
      <c r="S86" s="182" t="s">
        <v>586</v>
      </c>
      <c r="T86" s="181" t="s">
        <v>647</v>
      </c>
      <c r="U86" s="183">
        <f>156200+50</f>
        <v>156250</v>
      </c>
      <c r="V86" s="183">
        <v>156200</v>
      </c>
      <c r="W86" s="183">
        <v>156200</v>
      </c>
      <c r="X86" s="181" t="s">
        <v>647</v>
      </c>
    </row>
    <row r="87" spans="1:24" ht="18.600000000000001" customHeight="1" x14ac:dyDescent="0.3">
      <c r="A87" s="181" t="s">
        <v>538</v>
      </c>
      <c r="B87" s="182" t="s">
        <v>335</v>
      </c>
      <c r="C87" s="182" t="s">
        <v>296</v>
      </c>
      <c r="D87" s="182"/>
      <c r="E87" s="182"/>
      <c r="F87" s="182"/>
      <c r="G87" s="182"/>
      <c r="H87" s="182"/>
      <c r="I87" s="182"/>
      <c r="J87" s="182"/>
      <c r="K87" s="182"/>
      <c r="L87" s="182"/>
      <c r="M87" s="182"/>
      <c r="N87" s="182"/>
      <c r="O87" s="182"/>
      <c r="P87" s="182"/>
      <c r="Q87" s="182"/>
      <c r="R87" s="182"/>
      <c r="S87" s="182"/>
      <c r="T87" s="181" t="s">
        <v>538</v>
      </c>
      <c r="U87" s="312">
        <f>U88+U90</f>
        <v>533000</v>
      </c>
      <c r="V87" s="183">
        <v>200000</v>
      </c>
      <c r="W87" s="183">
        <v>200000</v>
      </c>
      <c r="X87" s="181" t="s">
        <v>538</v>
      </c>
    </row>
    <row r="88" spans="1:24" ht="37.200000000000003" customHeight="1" x14ac:dyDescent="0.3">
      <c r="A88" s="181" t="s">
        <v>648</v>
      </c>
      <c r="B88" s="182" t="s">
        <v>335</v>
      </c>
      <c r="C88" s="182" t="s">
        <v>296</v>
      </c>
      <c r="D88" s="182" t="s">
        <v>649</v>
      </c>
      <c r="E88" s="182"/>
      <c r="F88" s="182"/>
      <c r="G88" s="182"/>
      <c r="H88" s="182"/>
      <c r="I88" s="182"/>
      <c r="J88" s="182"/>
      <c r="K88" s="182"/>
      <c r="L88" s="182"/>
      <c r="M88" s="182"/>
      <c r="N88" s="182"/>
      <c r="O88" s="182"/>
      <c r="P88" s="182"/>
      <c r="Q88" s="182"/>
      <c r="R88" s="182"/>
      <c r="S88" s="182"/>
      <c r="T88" s="181" t="s">
        <v>648</v>
      </c>
      <c r="U88" s="183">
        <f>U89</f>
        <v>0</v>
      </c>
      <c r="V88" s="183">
        <v>100000</v>
      </c>
      <c r="W88" s="183">
        <v>100000</v>
      </c>
      <c r="X88" s="181" t="s">
        <v>648</v>
      </c>
    </row>
    <row r="89" spans="1:24" ht="74.400000000000006" customHeight="1" x14ac:dyDescent="0.3">
      <c r="A89" s="181" t="s">
        <v>650</v>
      </c>
      <c r="B89" s="182" t="s">
        <v>335</v>
      </c>
      <c r="C89" s="182" t="s">
        <v>296</v>
      </c>
      <c r="D89" s="182" t="s">
        <v>649</v>
      </c>
      <c r="E89" s="182"/>
      <c r="F89" s="182"/>
      <c r="G89" s="182"/>
      <c r="H89" s="182"/>
      <c r="I89" s="182"/>
      <c r="J89" s="182"/>
      <c r="K89" s="182"/>
      <c r="L89" s="182"/>
      <c r="M89" s="182"/>
      <c r="N89" s="182"/>
      <c r="O89" s="182"/>
      <c r="P89" s="182"/>
      <c r="Q89" s="182"/>
      <c r="R89" s="182"/>
      <c r="S89" s="182" t="s">
        <v>586</v>
      </c>
      <c r="T89" s="181" t="s">
        <v>650</v>
      </c>
      <c r="U89" s="183">
        <v>0</v>
      </c>
      <c r="V89" s="183">
        <v>100000</v>
      </c>
      <c r="W89" s="183">
        <v>100000</v>
      </c>
      <c r="X89" s="181" t="s">
        <v>650</v>
      </c>
    </row>
    <row r="90" spans="1:24" ht="37.200000000000003" customHeight="1" x14ac:dyDescent="0.3">
      <c r="A90" s="181" t="s">
        <v>651</v>
      </c>
      <c r="B90" s="182" t="s">
        <v>335</v>
      </c>
      <c r="C90" s="182" t="s">
        <v>296</v>
      </c>
      <c r="D90" s="182" t="s">
        <v>652</v>
      </c>
      <c r="E90" s="182"/>
      <c r="F90" s="182"/>
      <c r="G90" s="182"/>
      <c r="H90" s="182"/>
      <c r="I90" s="182"/>
      <c r="J90" s="182"/>
      <c r="K90" s="182"/>
      <c r="L90" s="182"/>
      <c r="M90" s="182"/>
      <c r="N90" s="182"/>
      <c r="O90" s="182"/>
      <c r="P90" s="182"/>
      <c r="Q90" s="182"/>
      <c r="R90" s="182"/>
      <c r="S90" s="182"/>
      <c r="T90" s="181" t="s">
        <v>651</v>
      </c>
      <c r="U90" s="183">
        <f>U91</f>
        <v>533000</v>
      </c>
      <c r="V90" s="183">
        <v>100000</v>
      </c>
      <c r="W90" s="183">
        <v>100000</v>
      </c>
      <c r="X90" s="181" t="s">
        <v>651</v>
      </c>
    </row>
    <row r="91" spans="1:24" ht="93" customHeight="1" x14ac:dyDescent="0.3">
      <c r="A91" s="181" t="s">
        <v>653</v>
      </c>
      <c r="B91" s="182" t="s">
        <v>335</v>
      </c>
      <c r="C91" s="182" t="s">
        <v>296</v>
      </c>
      <c r="D91" s="182" t="s">
        <v>652</v>
      </c>
      <c r="E91" s="182"/>
      <c r="F91" s="182"/>
      <c r="G91" s="182"/>
      <c r="H91" s="182"/>
      <c r="I91" s="182"/>
      <c r="J91" s="182"/>
      <c r="K91" s="182"/>
      <c r="L91" s="182"/>
      <c r="M91" s="182"/>
      <c r="N91" s="182"/>
      <c r="O91" s="182"/>
      <c r="P91" s="182"/>
      <c r="Q91" s="182"/>
      <c r="R91" s="182"/>
      <c r="S91" s="182" t="s">
        <v>586</v>
      </c>
      <c r="T91" s="181" t="s">
        <v>653</v>
      </c>
      <c r="U91" s="183">
        <f>100000+433000</f>
        <v>533000</v>
      </c>
      <c r="V91" s="183">
        <v>100000</v>
      </c>
      <c r="W91" s="183">
        <v>100000</v>
      </c>
      <c r="X91" s="181" t="s">
        <v>653</v>
      </c>
    </row>
    <row r="92" spans="1:24" ht="18.600000000000001" customHeight="1" x14ac:dyDescent="0.3">
      <c r="A92" s="181" t="s">
        <v>353</v>
      </c>
      <c r="B92" s="182" t="s">
        <v>335</v>
      </c>
      <c r="C92" s="182" t="s">
        <v>298</v>
      </c>
      <c r="D92" s="182"/>
      <c r="E92" s="182"/>
      <c r="F92" s="182"/>
      <c r="G92" s="182"/>
      <c r="H92" s="182"/>
      <c r="I92" s="182"/>
      <c r="J92" s="182"/>
      <c r="K92" s="182"/>
      <c r="L92" s="182"/>
      <c r="M92" s="182"/>
      <c r="N92" s="182"/>
      <c r="O92" s="182"/>
      <c r="P92" s="182"/>
      <c r="Q92" s="182"/>
      <c r="R92" s="182"/>
      <c r="S92" s="182"/>
      <c r="T92" s="181" t="s">
        <v>353</v>
      </c>
      <c r="U92" s="312">
        <f>U93+U95+U97+U99+U101+U103+U105+U107+U109+U111</f>
        <v>6943485.8399999999</v>
      </c>
      <c r="V92" s="183">
        <f>V93+V95+V97+V99+V101+V103+V105+V107+V109+V111</f>
        <v>6571249.6799999997</v>
      </c>
      <c r="W92" s="183">
        <f>W93+W95+W97+W99+W101+W103+W105+W107+W109+W111</f>
        <v>6571249.6799999997</v>
      </c>
      <c r="X92" s="181" t="s">
        <v>353</v>
      </c>
    </row>
    <row r="93" spans="1:24" ht="37.200000000000003" customHeight="1" x14ac:dyDescent="0.3">
      <c r="A93" s="181" t="s">
        <v>654</v>
      </c>
      <c r="B93" s="182" t="s">
        <v>335</v>
      </c>
      <c r="C93" s="182" t="s">
        <v>298</v>
      </c>
      <c r="D93" s="182" t="s">
        <v>655</v>
      </c>
      <c r="E93" s="182"/>
      <c r="F93" s="182"/>
      <c r="G93" s="182"/>
      <c r="H93" s="182"/>
      <c r="I93" s="182"/>
      <c r="J93" s="182"/>
      <c r="K93" s="182"/>
      <c r="L93" s="182"/>
      <c r="M93" s="182"/>
      <c r="N93" s="182"/>
      <c r="O93" s="182"/>
      <c r="P93" s="182"/>
      <c r="Q93" s="182"/>
      <c r="R93" s="182"/>
      <c r="S93" s="182"/>
      <c r="T93" s="181" t="s">
        <v>654</v>
      </c>
      <c r="U93" s="183">
        <v>250000</v>
      </c>
      <c r="V93" s="183">
        <v>250000</v>
      </c>
      <c r="W93" s="183">
        <v>250000</v>
      </c>
      <c r="X93" s="181" t="s">
        <v>654</v>
      </c>
    </row>
    <row r="94" spans="1:24" ht="93" customHeight="1" x14ac:dyDescent="0.3">
      <c r="A94" s="181" t="s">
        <v>656</v>
      </c>
      <c r="B94" s="182" t="s">
        <v>335</v>
      </c>
      <c r="C94" s="182" t="s">
        <v>298</v>
      </c>
      <c r="D94" s="182" t="s">
        <v>655</v>
      </c>
      <c r="E94" s="182"/>
      <c r="F94" s="182"/>
      <c r="G94" s="182"/>
      <c r="H94" s="182"/>
      <c r="I94" s="182"/>
      <c r="J94" s="182"/>
      <c r="K94" s="182"/>
      <c r="L94" s="182"/>
      <c r="M94" s="182"/>
      <c r="N94" s="182"/>
      <c r="O94" s="182"/>
      <c r="P94" s="182"/>
      <c r="Q94" s="182"/>
      <c r="R94" s="182"/>
      <c r="S94" s="182" t="s">
        <v>586</v>
      </c>
      <c r="T94" s="181" t="s">
        <v>656</v>
      </c>
      <c r="U94" s="183">
        <v>250000</v>
      </c>
      <c r="V94" s="183">
        <v>250000</v>
      </c>
      <c r="W94" s="183">
        <v>250000</v>
      </c>
      <c r="X94" s="181" t="s">
        <v>656</v>
      </c>
    </row>
    <row r="95" spans="1:24" ht="55.95" customHeight="1" x14ac:dyDescent="0.3">
      <c r="A95" s="181" t="s">
        <v>657</v>
      </c>
      <c r="B95" s="182" t="s">
        <v>335</v>
      </c>
      <c r="C95" s="182" t="s">
        <v>298</v>
      </c>
      <c r="D95" s="182" t="s">
        <v>658</v>
      </c>
      <c r="E95" s="182"/>
      <c r="F95" s="182"/>
      <c r="G95" s="182"/>
      <c r="H95" s="182"/>
      <c r="I95" s="182"/>
      <c r="J95" s="182"/>
      <c r="K95" s="182"/>
      <c r="L95" s="182"/>
      <c r="M95" s="182"/>
      <c r="N95" s="182"/>
      <c r="O95" s="182"/>
      <c r="P95" s="182"/>
      <c r="Q95" s="182"/>
      <c r="R95" s="182"/>
      <c r="S95" s="182"/>
      <c r="T95" s="181" t="s">
        <v>657</v>
      </c>
      <c r="U95" s="183">
        <v>150000</v>
      </c>
      <c r="V95" s="183">
        <v>150000</v>
      </c>
      <c r="W95" s="183">
        <v>150000</v>
      </c>
      <c r="X95" s="181" t="s">
        <v>657</v>
      </c>
    </row>
    <row r="96" spans="1:24" ht="111.75" customHeight="1" x14ac:dyDescent="0.3">
      <c r="A96" s="181" t="s">
        <v>659</v>
      </c>
      <c r="B96" s="182" t="s">
        <v>335</v>
      </c>
      <c r="C96" s="182" t="s">
        <v>298</v>
      </c>
      <c r="D96" s="182" t="s">
        <v>658</v>
      </c>
      <c r="E96" s="182"/>
      <c r="F96" s="182"/>
      <c r="G96" s="182"/>
      <c r="H96" s="182"/>
      <c r="I96" s="182"/>
      <c r="J96" s="182"/>
      <c r="K96" s="182"/>
      <c r="L96" s="182"/>
      <c r="M96" s="182"/>
      <c r="N96" s="182"/>
      <c r="O96" s="182"/>
      <c r="P96" s="182"/>
      <c r="Q96" s="182"/>
      <c r="R96" s="182"/>
      <c r="S96" s="182" t="s">
        <v>586</v>
      </c>
      <c r="T96" s="181" t="s">
        <v>659</v>
      </c>
      <c r="U96" s="183">
        <v>150000</v>
      </c>
      <c r="V96" s="183">
        <v>150000</v>
      </c>
      <c r="W96" s="183">
        <v>150000</v>
      </c>
      <c r="X96" s="181" t="s">
        <v>659</v>
      </c>
    </row>
    <row r="97" spans="1:24" ht="55.95" customHeight="1" x14ac:dyDescent="0.3">
      <c r="A97" s="181" t="s">
        <v>660</v>
      </c>
      <c r="B97" s="182" t="s">
        <v>335</v>
      </c>
      <c r="C97" s="182" t="s">
        <v>298</v>
      </c>
      <c r="D97" s="182" t="s">
        <v>661</v>
      </c>
      <c r="E97" s="182"/>
      <c r="F97" s="182"/>
      <c r="G97" s="182"/>
      <c r="H97" s="182"/>
      <c r="I97" s="182"/>
      <c r="J97" s="182"/>
      <c r="K97" s="182"/>
      <c r="L97" s="182"/>
      <c r="M97" s="182"/>
      <c r="N97" s="182"/>
      <c r="O97" s="182"/>
      <c r="P97" s="182"/>
      <c r="Q97" s="182"/>
      <c r="R97" s="182"/>
      <c r="S97" s="182"/>
      <c r="T97" s="181" t="s">
        <v>660</v>
      </c>
      <c r="U97" s="183">
        <v>49950</v>
      </c>
      <c r="V97" s="183">
        <v>49950</v>
      </c>
      <c r="W97" s="183">
        <v>49950</v>
      </c>
      <c r="X97" s="181" t="s">
        <v>660</v>
      </c>
    </row>
    <row r="98" spans="1:24" ht="111.75" customHeight="1" x14ac:dyDescent="0.3">
      <c r="A98" s="181" t="s">
        <v>662</v>
      </c>
      <c r="B98" s="182" t="s">
        <v>335</v>
      </c>
      <c r="C98" s="182" t="s">
        <v>298</v>
      </c>
      <c r="D98" s="182" t="s">
        <v>661</v>
      </c>
      <c r="E98" s="182"/>
      <c r="F98" s="182"/>
      <c r="G98" s="182"/>
      <c r="H98" s="182"/>
      <c r="I98" s="182"/>
      <c r="J98" s="182"/>
      <c r="K98" s="182"/>
      <c r="L98" s="182"/>
      <c r="M98" s="182"/>
      <c r="N98" s="182"/>
      <c r="O98" s="182"/>
      <c r="P98" s="182"/>
      <c r="Q98" s="182"/>
      <c r="R98" s="182"/>
      <c r="S98" s="182" t="s">
        <v>586</v>
      </c>
      <c r="T98" s="181" t="s">
        <v>662</v>
      </c>
      <c r="U98" s="183">
        <v>49950</v>
      </c>
      <c r="V98" s="183">
        <v>49950</v>
      </c>
      <c r="W98" s="183">
        <v>49950</v>
      </c>
      <c r="X98" s="181" t="s">
        <v>662</v>
      </c>
    </row>
    <row r="99" spans="1:24" ht="18.600000000000001" customHeight="1" x14ac:dyDescent="0.3">
      <c r="A99" s="181" t="s">
        <v>663</v>
      </c>
      <c r="B99" s="182" t="s">
        <v>335</v>
      </c>
      <c r="C99" s="182" t="s">
        <v>298</v>
      </c>
      <c r="D99" s="182" t="s">
        <v>664</v>
      </c>
      <c r="E99" s="182"/>
      <c r="F99" s="182"/>
      <c r="G99" s="182"/>
      <c r="H99" s="182"/>
      <c r="I99" s="182"/>
      <c r="J99" s="182"/>
      <c r="K99" s="182"/>
      <c r="L99" s="182"/>
      <c r="M99" s="182"/>
      <c r="N99" s="182"/>
      <c r="O99" s="182"/>
      <c r="P99" s="182"/>
      <c r="Q99" s="182"/>
      <c r="R99" s="182"/>
      <c r="S99" s="182"/>
      <c r="T99" s="181" t="s">
        <v>663</v>
      </c>
      <c r="U99" s="183">
        <v>100000</v>
      </c>
      <c r="V99" s="183">
        <v>100000</v>
      </c>
      <c r="W99" s="183">
        <v>100000</v>
      </c>
      <c r="X99" s="181" t="s">
        <v>663</v>
      </c>
    </row>
    <row r="100" spans="1:24" ht="74.400000000000006" customHeight="1" x14ac:dyDescent="0.3">
      <c r="A100" s="181" t="s">
        <v>665</v>
      </c>
      <c r="B100" s="182" t="s">
        <v>335</v>
      </c>
      <c r="C100" s="182" t="s">
        <v>298</v>
      </c>
      <c r="D100" s="182" t="s">
        <v>664</v>
      </c>
      <c r="E100" s="182"/>
      <c r="F100" s="182"/>
      <c r="G100" s="182"/>
      <c r="H100" s="182"/>
      <c r="I100" s="182"/>
      <c r="J100" s="182"/>
      <c r="K100" s="182"/>
      <c r="L100" s="182"/>
      <c r="M100" s="182"/>
      <c r="N100" s="182"/>
      <c r="O100" s="182"/>
      <c r="P100" s="182"/>
      <c r="Q100" s="182"/>
      <c r="R100" s="182"/>
      <c r="S100" s="182" t="s">
        <v>586</v>
      </c>
      <c r="T100" s="181" t="s">
        <v>665</v>
      </c>
      <c r="U100" s="183">
        <v>100000</v>
      </c>
      <c r="V100" s="183">
        <v>100000</v>
      </c>
      <c r="W100" s="183">
        <v>100000</v>
      </c>
      <c r="X100" s="181" t="s">
        <v>665</v>
      </c>
    </row>
    <row r="101" spans="1:24" ht="55.95" customHeight="1" x14ac:dyDescent="0.3">
      <c r="A101" s="181" t="s">
        <v>666</v>
      </c>
      <c r="B101" s="182" t="s">
        <v>335</v>
      </c>
      <c r="C101" s="182" t="s">
        <v>298</v>
      </c>
      <c r="D101" s="182" t="s">
        <v>667</v>
      </c>
      <c r="E101" s="182"/>
      <c r="F101" s="182"/>
      <c r="G101" s="182"/>
      <c r="H101" s="182"/>
      <c r="I101" s="182"/>
      <c r="J101" s="182"/>
      <c r="K101" s="182"/>
      <c r="L101" s="182"/>
      <c r="M101" s="182"/>
      <c r="N101" s="182"/>
      <c r="O101" s="182"/>
      <c r="P101" s="182"/>
      <c r="Q101" s="182"/>
      <c r="R101" s="182"/>
      <c r="S101" s="182"/>
      <c r="T101" s="181" t="s">
        <v>666</v>
      </c>
      <c r="U101" s="183">
        <v>266637.68</v>
      </c>
      <c r="V101" s="183">
        <v>266637.68</v>
      </c>
      <c r="W101" s="183">
        <v>266637.68</v>
      </c>
      <c r="X101" s="181" t="s">
        <v>666</v>
      </c>
    </row>
    <row r="102" spans="1:24" ht="111.75" customHeight="1" x14ac:dyDescent="0.3">
      <c r="A102" s="181" t="s">
        <v>668</v>
      </c>
      <c r="B102" s="182" t="s">
        <v>335</v>
      </c>
      <c r="C102" s="182" t="s">
        <v>298</v>
      </c>
      <c r="D102" s="182" t="s">
        <v>667</v>
      </c>
      <c r="E102" s="182"/>
      <c r="F102" s="182"/>
      <c r="G102" s="182"/>
      <c r="H102" s="182"/>
      <c r="I102" s="182"/>
      <c r="J102" s="182"/>
      <c r="K102" s="182"/>
      <c r="L102" s="182"/>
      <c r="M102" s="182"/>
      <c r="N102" s="182"/>
      <c r="O102" s="182"/>
      <c r="P102" s="182"/>
      <c r="Q102" s="182"/>
      <c r="R102" s="182"/>
      <c r="S102" s="182" t="s">
        <v>528</v>
      </c>
      <c r="T102" s="181" t="s">
        <v>668</v>
      </c>
      <c r="U102" s="183">
        <v>266637.68</v>
      </c>
      <c r="V102" s="183">
        <v>266637.68</v>
      </c>
      <c r="W102" s="183">
        <v>266637.68</v>
      </c>
      <c r="X102" s="181" t="s">
        <v>668</v>
      </c>
    </row>
    <row r="103" spans="1:24" ht="37.200000000000003" customHeight="1" x14ac:dyDescent="0.3">
      <c r="A103" s="181" t="s">
        <v>669</v>
      </c>
      <c r="B103" s="182" t="s">
        <v>335</v>
      </c>
      <c r="C103" s="182" t="s">
        <v>298</v>
      </c>
      <c r="D103" s="182" t="s">
        <v>670</v>
      </c>
      <c r="E103" s="182"/>
      <c r="F103" s="182"/>
      <c r="G103" s="182"/>
      <c r="H103" s="182"/>
      <c r="I103" s="182"/>
      <c r="J103" s="182"/>
      <c r="K103" s="182"/>
      <c r="L103" s="182"/>
      <c r="M103" s="182"/>
      <c r="N103" s="182"/>
      <c r="O103" s="182"/>
      <c r="P103" s="182"/>
      <c r="Q103" s="182"/>
      <c r="R103" s="182"/>
      <c r="S103" s="182"/>
      <c r="T103" s="181" t="s">
        <v>669</v>
      </c>
      <c r="U103" s="183">
        <v>250000</v>
      </c>
      <c r="V103" s="183">
        <v>250000</v>
      </c>
      <c r="W103" s="183">
        <v>250000</v>
      </c>
      <c r="X103" s="181" t="s">
        <v>669</v>
      </c>
    </row>
    <row r="104" spans="1:24" ht="74.400000000000006" customHeight="1" x14ac:dyDescent="0.3">
      <c r="A104" s="181" t="s">
        <v>671</v>
      </c>
      <c r="B104" s="182" t="s">
        <v>335</v>
      </c>
      <c r="C104" s="182" t="s">
        <v>298</v>
      </c>
      <c r="D104" s="182" t="s">
        <v>670</v>
      </c>
      <c r="E104" s="182"/>
      <c r="F104" s="182"/>
      <c r="G104" s="182"/>
      <c r="H104" s="182"/>
      <c r="I104" s="182"/>
      <c r="J104" s="182"/>
      <c r="K104" s="182"/>
      <c r="L104" s="182"/>
      <c r="M104" s="182"/>
      <c r="N104" s="182"/>
      <c r="O104" s="182"/>
      <c r="P104" s="182"/>
      <c r="Q104" s="182"/>
      <c r="R104" s="182"/>
      <c r="S104" s="182" t="s">
        <v>586</v>
      </c>
      <c r="T104" s="181" t="s">
        <v>671</v>
      </c>
      <c r="U104" s="183">
        <v>250000</v>
      </c>
      <c r="V104" s="183">
        <v>250000</v>
      </c>
      <c r="W104" s="183">
        <v>250000</v>
      </c>
      <c r="X104" s="181" t="s">
        <v>671</v>
      </c>
    </row>
    <row r="105" spans="1:24" ht="130.35" customHeight="1" x14ac:dyDescent="0.3">
      <c r="A105" s="181" t="s">
        <v>672</v>
      </c>
      <c r="B105" s="182" t="s">
        <v>335</v>
      </c>
      <c r="C105" s="182" t="s">
        <v>298</v>
      </c>
      <c r="D105" s="182" t="s">
        <v>673</v>
      </c>
      <c r="E105" s="182"/>
      <c r="F105" s="182"/>
      <c r="G105" s="182"/>
      <c r="H105" s="182"/>
      <c r="I105" s="182"/>
      <c r="J105" s="182"/>
      <c r="K105" s="182"/>
      <c r="L105" s="182"/>
      <c r="M105" s="182"/>
      <c r="N105" s="182"/>
      <c r="O105" s="182"/>
      <c r="P105" s="182"/>
      <c r="Q105" s="182"/>
      <c r="R105" s="182"/>
      <c r="S105" s="182"/>
      <c r="T105" s="181" t="s">
        <v>672</v>
      </c>
      <c r="U105" s="183">
        <v>100000</v>
      </c>
      <c r="V105" s="183">
        <v>100000</v>
      </c>
      <c r="W105" s="183">
        <v>100000</v>
      </c>
      <c r="X105" s="181" t="s">
        <v>672</v>
      </c>
    </row>
    <row r="106" spans="1:24" ht="167.7" customHeight="1" x14ac:dyDescent="0.3">
      <c r="A106" s="187" t="s">
        <v>674</v>
      </c>
      <c r="B106" s="182" t="s">
        <v>335</v>
      </c>
      <c r="C106" s="182" t="s">
        <v>298</v>
      </c>
      <c r="D106" s="182" t="s">
        <v>673</v>
      </c>
      <c r="E106" s="182"/>
      <c r="F106" s="182"/>
      <c r="G106" s="182"/>
      <c r="H106" s="182"/>
      <c r="I106" s="182"/>
      <c r="J106" s="182"/>
      <c r="K106" s="182"/>
      <c r="L106" s="182"/>
      <c r="M106" s="182"/>
      <c r="N106" s="182"/>
      <c r="O106" s="182"/>
      <c r="P106" s="182"/>
      <c r="Q106" s="182"/>
      <c r="R106" s="182"/>
      <c r="S106" s="182" t="s">
        <v>586</v>
      </c>
      <c r="T106" s="187" t="s">
        <v>674</v>
      </c>
      <c r="U106" s="183">
        <v>100000</v>
      </c>
      <c r="V106" s="183">
        <v>100000</v>
      </c>
      <c r="W106" s="183">
        <v>100000</v>
      </c>
      <c r="X106" s="187" t="s">
        <v>674</v>
      </c>
    </row>
    <row r="107" spans="1:24" ht="55.95" customHeight="1" x14ac:dyDescent="0.3">
      <c r="A107" s="181" t="s">
        <v>675</v>
      </c>
      <c r="B107" s="182" t="s">
        <v>335</v>
      </c>
      <c r="C107" s="182" t="s">
        <v>298</v>
      </c>
      <c r="D107" s="182" t="s">
        <v>676</v>
      </c>
      <c r="E107" s="182"/>
      <c r="F107" s="182"/>
      <c r="G107" s="182"/>
      <c r="H107" s="182"/>
      <c r="I107" s="182"/>
      <c r="J107" s="182"/>
      <c r="K107" s="182"/>
      <c r="L107" s="182"/>
      <c r="M107" s="182"/>
      <c r="N107" s="182"/>
      <c r="O107" s="182"/>
      <c r="P107" s="182"/>
      <c r="Q107" s="182"/>
      <c r="R107" s="182"/>
      <c r="S107" s="182"/>
      <c r="T107" s="181" t="s">
        <v>675</v>
      </c>
      <c r="U107" s="183">
        <f>U108</f>
        <v>2372706</v>
      </c>
      <c r="V107" s="183">
        <f>V108</f>
        <v>2372706</v>
      </c>
      <c r="W107" s="183">
        <f>W108</f>
        <v>2372706</v>
      </c>
      <c r="X107" s="181" t="s">
        <v>675</v>
      </c>
    </row>
    <row r="108" spans="1:24" ht="111.75" customHeight="1" x14ac:dyDescent="0.3">
      <c r="A108" s="181" t="s">
        <v>677</v>
      </c>
      <c r="B108" s="182" t="s">
        <v>335</v>
      </c>
      <c r="C108" s="182" t="s">
        <v>298</v>
      </c>
      <c r="D108" s="182" t="s">
        <v>676</v>
      </c>
      <c r="E108" s="182"/>
      <c r="F108" s="182"/>
      <c r="G108" s="182"/>
      <c r="H108" s="182"/>
      <c r="I108" s="182"/>
      <c r="J108" s="182"/>
      <c r="K108" s="182"/>
      <c r="L108" s="182"/>
      <c r="M108" s="182"/>
      <c r="N108" s="182"/>
      <c r="O108" s="182"/>
      <c r="P108" s="182"/>
      <c r="Q108" s="182"/>
      <c r="R108" s="182"/>
      <c r="S108" s="182" t="s">
        <v>586</v>
      </c>
      <c r="T108" s="181" t="s">
        <v>677</v>
      </c>
      <c r="U108" s="183">
        <f>1372706+1000000</f>
        <v>2372706</v>
      </c>
      <c r="V108" s="183">
        <f>1372706+1000000</f>
        <v>2372706</v>
      </c>
      <c r="W108" s="183">
        <f>1372706+1000000</f>
        <v>2372706</v>
      </c>
      <c r="X108" s="181" t="s">
        <v>677</v>
      </c>
    </row>
    <row r="109" spans="1:24" ht="55.95" customHeight="1" x14ac:dyDescent="0.3">
      <c r="A109" s="181" t="s">
        <v>678</v>
      </c>
      <c r="B109" s="182" t="s">
        <v>335</v>
      </c>
      <c r="C109" s="182" t="s">
        <v>298</v>
      </c>
      <c r="D109" s="182" t="s">
        <v>679</v>
      </c>
      <c r="E109" s="182"/>
      <c r="F109" s="182"/>
      <c r="G109" s="182"/>
      <c r="H109" s="182"/>
      <c r="I109" s="182"/>
      <c r="J109" s="182"/>
      <c r="K109" s="182"/>
      <c r="L109" s="182"/>
      <c r="M109" s="182"/>
      <c r="N109" s="182"/>
      <c r="O109" s="182"/>
      <c r="P109" s="182"/>
      <c r="Q109" s="182"/>
      <c r="R109" s="182"/>
      <c r="S109" s="182"/>
      <c r="T109" s="181" t="s">
        <v>678</v>
      </c>
      <c r="U109" s="183">
        <f>U110</f>
        <v>0</v>
      </c>
      <c r="V109" s="183">
        <v>2000000</v>
      </c>
      <c r="W109" s="183">
        <v>2000000</v>
      </c>
      <c r="X109" s="181" t="s">
        <v>678</v>
      </c>
    </row>
    <row r="110" spans="1:24" ht="111.75" customHeight="1" x14ac:dyDescent="0.3">
      <c r="A110" s="181" t="s">
        <v>680</v>
      </c>
      <c r="B110" s="182" t="s">
        <v>335</v>
      </c>
      <c r="C110" s="182" t="s">
        <v>298</v>
      </c>
      <c r="D110" s="182" t="s">
        <v>679</v>
      </c>
      <c r="E110" s="182"/>
      <c r="F110" s="182"/>
      <c r="G110" s="182"/>
      <c r="H110" s="182"/>
      <c r="I110" s="182"/>
      <c r="J110" s="182"/>
      <c r="K110" s="182"/>
      <c r="L110" s="182"/>
      <c r="M110" s="182"/>
      <c r="N110" s="182"/>
      <c r="O110" s="182"/>
      <c r="P110" s="182"/>
      <c r="Q110" s="182"/>
      <c r="R110" s="182"/>
      <c r="S110" s="182" t="s">
        <v>586</v>
      </c>
      <c r="T110" s="181" t="s">
        <v>680</v>
      </c>
      <c r="U110" s="183">
        <f>2000000-2000000</f>
        <v>0</v>
      </c>
      <c r="V110" s="183">
        <v>2000000</v>
      </c>
      <c r="W110" s="183">
        <v>2000000</v>
      </c>
      <c r="X110" s="181" t="s">
        <v>680</v>
      </c>
    </row>
    <row r="111" spans="1:24" ht="93" customHeight="1" x14ac:dyDescent="0.3">
      <c r="A111" s="181" t="s">
        <v>681</v>
      </c>
      <c r="B111" s="182" t="s">
        <v>335</v>
      </c>
      <c r="C111" s="182" t="s">
        <v>298</v>
      </c>
      <c r="D111" s="182" t="s">
        <v>682</v>
      </c>
      <c r="E111" s="182"/>
      <c r="F111" s="182"/>
      <c r="G111" s="182"/>
      <c r="H111" s="182"/>
      <c r="I111" s="182"/>
      <c r="J111" s="182"/>
      <c r="K111" s="182"/>
      <c r="L111" s="182"/>
      <c r="M111" s="182"/>
      <c r="N111" s="182"/>
      <c r="O111" s="182"/>
      <c r="P111" s="182"/>
      <c r="Q111" s="182"/>
      <c r="R111" s="182"/>
      <c r="S111" s="182"/>
      <c r="T111" s="181" t="s">
        <v>681</v>
      </c>
      <c r="U111" s="183">
        <v>3404192.16</v>
      </c>
      <c r="V111" s="183">
        <v>1031956</v>
      </c>
      <c r="W111" s="183">
        <v>1031956</v>
      </c>
      <c r="X111" s="181" t="s">
        <v>681</v>
      </c>
    </row>
    <row r="112" spans="1:24" ht="148.94999999999999" customHeight="1" x14ac:dyDescent="0.3">
      <c r="A112" s="181" t="s">
        <v>683</v>
      </c>
      <c r="B112" s="182" t="s">
        <v>335</v>
      </c>
      <c r="C112" s="182" t="s">
        <v>298</v>
      </c>
      <c r="D112" s="182" t="s">
        <v>682</v>
      </c>
      <c r="E112" s="182"/>
      <c r="F112" s="182"/>
      <c r="G112" s="182"/>
      <c r="H112" s="182"/>
      <c r="I112" s="182"/>
      <c r="J112" s="182"/>
      <c r="K112" s="182"/>
      <c r="L112" s="182"/>
      <c r="M112" s="182"/>
      <c r="N112" s="182"/>
      <c r="O112" s="182"/>
      <c r="P112" s="182"/>
      <c r="Q112" s="182"/>
      <c r="R112" s="182"/>
      <c r="S112" s="182" t="s">
        <v>586</v>
      </c>
      <c r="T112" s="181" t="s">
        <v>683</v>
      </c>
      <c r="U112" s="183">
        <v>3404192.16</v>
      </c>
      <c r="V112" s="183">
        <v>1031956</v>
      </c>
      <c r="W112" s="183">
        <v>1031956</v>
      </c>
      <c r="X112" s="181" t="s">
        <v>683</v>
      </c>
    </row>
    <row r="113" spans="1:24" ht="37.200000000000003" customHeight="1" x14ac:dyDescent="0.3">
      <c r="A113" s="181" t="s">
        <v>355</v>
      </c>
      <c r="B113" s="182" t="s">
        <v>335</v>
      </c>
      <c r="C113" s="182" t="s">
        <v>304</v>
      </c>
      <c r="D113" s="182"/>
      <c r="E113" s="182"/>
      <c r="F113" s="182"/>
      <c r="G113" s="182"/>
      <c r="H113" s="182"/>
      <c r="I113" s="182"/>
      <c r="J113" s="182"/>
      <c r="K113" s="182"/>
      <c r="L113" s="182"/>
      <c r="M113" s="182"/>
      <c r="N113" s="182"/>
      <c r="O113" s="182"/>
      <c r="P113" s="182"/>
      <c r="Q113" s="182"/>
      <c r="R113" s="182"/>
      <c r="S113" s="182"/>
      <c r="T113" s="181" t="s">
        <v>355</v>
      </c>
      <c r="U113" s="183">
        <f>U114+U116+U118+U120</f>
        <v>200000</v>
      </c>
      <c r="V113" s="183">
        <v>250000</v>
      </c>
      <c r="W113" s="183">
        <v>250000</v>
      </c>
      <c r="X113" s="181" t="s">
        <v>355</v>
      </c>
    </row>
    <row r="114" spans="1:24" ht="74.400000000000006" customHeight="1" x14ac:dyDescent="0.3">
      <c r="A114" s="181" t="s">
        <v>684</v>
      </c>
      <c r="B114" s="182" t="s">
        <v>335</v>
      </c>
      <c r="C114" s="182" t="s">
        <v>304</v>
      </c>
      <c r="D114" s="182" t="s">
        <v>685</v>
      </c>
      <c r="E114" s="182"/>
      <c r="F114" s="182"/>
      <c r="G114" s="182"/>
      <c r="H114" s="182"/>
      <c r="I114" s="182"/>
      <c r="J114" s="182"/>
      <c r="K114" s="182"/>
      <c r="L114" s="182"/>
      <c r="M114" s="182"/>
      <c r="N114" s="182"/>
      <c r="O114" s="182"/>
      <c r="P114" s="182"/>
      <c r="Q114" s="182"/>
      <c r="R114" s="182"/>
      <c r="S114" s="182"/>
      <c r="T114" s="181" t="s">
        <v>684</v>
      </c>
      <c r="U114" s="183">
        <f>U115</f>
        <v>100000</v>
      </c>
      <c r="V114" s="183">
        <v>100000</v>
      </c>
      <c r="W114" s="183">
        <v>100000</v>
      </c>
      <c r="X114" s="181" t="s">
        <v>684</v>
      </c>
    </row>
    <row r="115" spans="1:24" ht="130.35" customHeight="1" x14ac:dyDescent="0.3">
      <c r="A115" s="181" t="s">
        <v>686</v>
      </c>
      <c r="B115" s="182" t="s">
        <v>335</v>
      </c>
      <c r="C115" s="182" t="s">
        <v>304</v>
      </c>
      <c r="D115" s="182" t="s">
        <v>685</v>
      </c>
      <c r="E115" s="182"/>
      <c r="F115" s="182"/>
      <c r="G115" s="182"/>
      <c r="H115" s="182"/>
      <c r="I115" s="182"/>
      <c r="J115" s="182"/>
      <c r="K115" s="182"/>
      <c r="L115" s="182"/>
      <c r="M115" s="182"/>
      <c r="N115" s="182"/>
      <c r="O115" s="182"/>
      <c r="P115" s="182"/>
      <c r="Q115" s="182"/>
      <c r="R115" s="182"/>
      <c r="S115" s="182" t="s">
        <v>528</v>
      </c>
      <c r="T115" s="181" t="s">
        <v>686</v>
      </c>
      <c r="U115" s="183">
        <v>100000</v>
      </c>
      <c r="V115" s="183">
        <v>100000</v>
      </c>
      <c r="W115" s="183">
        <v>100000</v>
      </c>
      <c r="X115" s="181" t="s">
        <v>686</v>
      </c>
    </row>
    <row r="116" spans="1:24" ht="130.35" customHeight="1" x14ac:dyDescent="0.3">
      <c r="A116" s="181" t="s">
        <v>687</v>
      </c>
      <c r="B116" s="182" t="s">
        <v>335</v>
      </c>
      <c r="C116" s="182" t="s">
        <v>304</v>
      </c>
      <c r="D116" s="182" t="s">
        <v>688</v>
      </c>
      <c r="E116" s="182"/>
      <c r="F116" s="182"/>
      <c r="G116" s="182"/>
      <c r="H116" s="182"/>
      <c r="I116" s="182"/>
      <c r="J116" s="182"/>
      <c r="K116" s="182"/>
      <c r="L116" s="182"/>
      <c r="M116" s="182"/>
      <c r="N116" s="182"/>
      <c r="O116" s="182"/>
      <c r="P116" s="182"/>
      <c r="Q116" s="182"/>
      <c r="R116" s="182"/>
      <c r="S116" s="182"/>
      <c r="T116" s="181" t="s">
        <v>687</v>
      </c>
      <c r="U116" s="183">
        <v>50000</v>
      </c>
      <c r="V116" s="183">
        <v>50000</v>
      </c>
      <c r="W116" s="183">
        <v>50000</v>
      </c>
      <c r="X116" s="181" t="s">
        <v>687</v>
      </c>
    </row>
    <row r="117" spans="1:24" ht="167.7" customHeight="1" x14ac:dyDescent="0.3">
      <c r="A117" s="187" t="s">
        <v>689</v>
      </c>
      <c r="B117" s="182" t="s">
        <v>335</v>
      </c>
      <c r="C117" s="182" t="s">
        <v>304</v>
      </c>
      <c r="D117" s="182" t="s">
        <v>688</v>
      </c>
      <c r="E117" s="182"/>
      <c r="F117" s="182"/>
      <c r="G117" s="182"/>
      <c r="H117" s="182"/>
      <c r="I117" s="182"/>
      <c r="J117" s="182"/>
      <c r="K117" s="182"/>
      <c r="L117" s="182"/>
      <c r="M117" s="182"/>
      <c r="N117" s="182"/>
      <c r="O117" s="182"/>
      <c r="P117" s="182"/>
      <c r="Q117" s="182"/>
      <c r="R117" s="182"/>
      <c r="S117" s="182" t="s">
        <v>586</v>
      </c>
      <c r="T117" s="187" t="s">
        <v>689</v>
      </c>
      <c r="U117" s="183">
        <v>50000</v>
      </c>
      <c r="V117" s="183">
        <v>50000</v>
      </c>
      <c r="W117" s="183">
        <v>50000</v>
      </c>
      <c r="X117" s="187" t="s">
        <v>689</v>
      </c>
    </row>
    <row r="118" spans="1:24" ht="74.400000000000006" customHeight="1" x14ac:dyDescent="0.3">
      <c r="A118" s="181" t="s">
        <v>690</v>
      </c>
      <c r="B118" s="182" t="s">
        <v>335</v>
      </c>
      <c r="C118" s="182" t="s">
        <v>304</v>
      </c>
      <c r="D118" s="182" t="s">
        <v>691</v>
      </c>
      <c r="E118" s="182"/>
      <c r="F118" s="182"/>
      <c r="G118" s="182"/>
      <c r="H118" s="182"/>
      <c r="I118" s="182"/>
      <c r="J118" s="182"/>
      <c r="K118" s="182"/>
      <c r="L118" s="182"/>
      <c r="M118" s="182"/>
      <c r="N118" s="182"/>
      <c r="O118" s="182"/>
      <c r="P118" s="182"/>
      <c r="Q118" s="182"/>
      <c r="R118" s="182"/>
      <c r="S118" s="182"/>
      <c r="T118" s="181" t="s">
        <v>690</v>
      </c>
      <c r="U118" s="183">
        <v>50000</v>
      </c>
      <c r="V118" s="183">
        <v>50000</v>
      </c>
      <c r="W118" s="183">
        <v>50000</v>
      </c>
      <c r="X118" s="181" t="s">
        <v>690</v>
      </c>
    </row>
    <row r="119" spans="1:24" ht="130.35" customHeight="1" x14ac:dyDescent="0.3">
      <c r="A119" s="181" t="s">
        <v>692</v>
      </c>
      <c r="B119" s="182" t="s">
        <v>335</v>
      </c>
      <c r="C119" s="182" t="s">
        <v>304</v>
      </c>
      <c r="D119" s="182" t="s">
        <v>691</v>
      </c>
      <c r="E119" s="182"/>
      <c r="F119" s="182"/>
      <c r="G119" s="182"/>
      <c r="H119" s="182"/>
      <c r="I119" s="182"/>
      <c r="J119" s="182"/>
      <c r="K119" s="182"/>
      <c r="L119" s="182"/>
      <c r="M119" s="182"/>
      <c r="N119" s="182"/>
      <c r="O119" s="182"/>
      <c r="P119" s="182"/>
      <c r="Q119" s="182"/>
      <c r="R119" s="182"/>
      <c r="S119" s="182" t="s">
        <v>586</v>
      </c>
      <c r="T119" s="181" t="s">
        <v>692</v>
      </c>
      <c r="U119" s="183">
        <v>50000</v>
      </c>
      <c r="V119" s="183">
        <v>50000</v>
      </c>
      <c r="W119" s="183">
        <v>50000</v>
      </c>
      <c r="X119" s="181" t="s">
        <v>692</v>
      </c>
    </row>
    <row r="120" spans="1:24" ht="55.95" customHeight="1" x14ac:dyDescent="0.3">
      <c r="A120" s="181" t="s">
        <v>693</v>
      </c>
      <c r="B120" s="182" t="s">
        <v>335</v>
      </c>
      <c r="C120" s="182" t="s">
        <v>304</v>
      </c>
      <c r="D120" s="182" t="s">
        <v>694</v>
      </c>
      <c r="E120" s="182"/>
      <c r="F120" s="182"/>
      <c r="G120" s="182"/>
      <c r="H120" s="182"/>
      <c r="I120" s="182"/>
      <c r="J120" s="182"/>
      <c r="K120" s="182"/>
      <c r="L120" s="182"/>
      <c r="M120" s="182"/>
      <c r="N120" s="182"/>
      <c r="O120" s="182"/>
      <c r="P120" s="182"/>
      <c r="Q120" s="182"/>
      <c r="R120" s="182"/>
      <c r="S120" s="182"/>
      <c r="T120" s="181" t="s">
        <v>693</v>
      </c>
      <c r="U120" s="183">
        <f>U121</f>
        <v>0</v>
      </c>
      <c r="V120" s="183">
        <v>50000</v>
      </c>
      <c r="W120" s="183">
        <v>50000</v>
      </c>
      <c r="X120" s="181" t="s">
        <v>693</v>
      </c>
    </row>
    <row r="121" spans="1:24" ht="111.75" customHeight="1" x14ac:dyDescent="0.3">
      <c r="A121" s="181" t="s">
        <v>695</v>
      </c>
      <c r="B121" s="182" t="s">
        <v>335</v>
      </c>
      <c r="C121" s="182" t="s">
        <v>304</v>
      </c>
      <c r="D121" s="182" t="s">
        <v>694</v>
      </c>
      <c r="E121" s="182"/>
      <c r="F121" s="182"/>
      <c r="G121" s="182"/>
      <c r="H121" s="182"/>
      <c r="I121" s="182"/>
      <c r="J121" s="182"/>
      <c r="K121" s="182"/>
      <c r="L121" s="182"/>
      <c r="M121" s="182"/>
      <c r="N121" s="182"/>
      <c r="O121" s="182"/>
      <c r="P121" s="182"/>
      <c r="Q121" s="182"/>
      <c r="R121" s="182"/>
      <c r="S121" s="182" t="s">
        <v>586</v>
      </c>
      <c r="T121" s="181" t="s">
        <v>695</v>
      </c>
      <c r="U121" s="183">
        <f>50000-50000</f>
        <v>0</v>
      </c>
      <c r="V121" s="183">
        <v>50000</v>
      </c>
      <c r="W121" s="183">
        <v>50000</v>
      </c>
      <c r="X121" s="181" t="s">
        <v>695</v>
      </c>
    </row>
    <row r="122" spans="1:24" ht="37.200000000000003" customHeight="1" x14ac:dyDescent="0.3">
      <c r="A122" s="179" t="s">
        <v>696</v>
      </c>
      <c r="B122" s="191" t="s">
        <v>294</v>
      </c>
      <c r="C122" s="191" t="s">
        <v>317</v>
      </c>
      <c r="D122" s="191"/>
      <c r="E122" s="191"/>
      <c r="F122" s="191"/>
      <c r="G122" s="191"/>
      <c r="H122" s="191"/>
      <c r="I122" s="191"/>
      <c r="J122" s="191"/>
      <c r="K122" s="191"/>
      <c r="L122" s="191"/>
      <c r="M122" s="191"/>
      <c r="N122" s="191"/>
      <c r="O122" s="191"/>
      <c r="P122" s="191"/>
      <c r="Q122" s="191"/>
      <c r="R122" s="191"/>
      <c r="S122" s="191"/>
      <c r="T122" s="179" t="s">
        <v>696</v>
      </c>
      <c r="U122" s="180">
        <f>U123+U126+U129</f>
        <v>104938700</v>
      </c>
      <c r="V122" s="180">
        <v>106486170</v>
      </c>
      <c r="W122" s="180">
        <v>111838000</v>
      </c>
      <c r="X122" s="179" t="s">
        <v>696</v>
      </c>
    </row>
    <row r="123" spans="1:24" ht="18.600000000000001" customHeight="1" x14ac:dyDescent="0.3">
      <c r="A123" s="181" t="s">
        <v>356</v>
      </c>
      <c r="B123" s="182" t="s">
        <v>294</v>
      </c>
      <c r="C123" s="182" t="s">
        <v>290</v>
      </c>
      <c r="D123" s="182"/>
      <c r="E123" s="182"/>
      <c r="F123" s="182"/>
      <c r="G123" s="182"/>
      <c r="H123" s="182"/>
      <c r="I123" s="182"/>
      <c r="J123" s="182"/>
      <c r="K123" s="182"/>
      <c r="L123" s="182"/>
      <c r="M123" s="182"/>
      <c r="N123" s="182"/>
      <c r="O123" s="182"/>
      <c r="P123" s="182"/>
      <c r="Q123" s="182"/>
      <c r="R123" s="182"/>
      <c r="S123" s="182"/>
      <c r="T123" s="181" t="s">
        <v>356</v>
      </c>
      <c r="U123" s="312">
        <v>5723000</v>
      </c>
      <c r="V123" s="183">
        <v>3500000</v>
      </c>
      <c r="W123" s="183">
        <v>4000000</v>
      </c>
      <c r="X123" s="181" t="s">
        <v>356</v>
      </c>
    </row>
    <row r="124" spans="1:24" ht="93" customHeight="1" x14ac:dyDescent="0.3">
      <c r="A124" s="181" t="s">
        <v>697</v>
      </c>
      <c r="B124" s="182" t="s">
        <v>294</v>
      </c>
      <c r="C124" s="182" t="s">
        <v>290</v>
      </c>
      <c r="D124" s="182" t="s">
        <v>698</v>
      </c>
      <c r="E124" s="182"/>
      <c r="F124" s="182"/>
      <c r="G124" s="182"/>
      <c r="H124" s="182"/>
      <c r="I124" s="182"/>
      <c r="J124" s="182"/>
      <c r="K124" s="182"/>
      <c r="L124" s="182"/>
      <c r="M124" s="182"/>
      <c r="N124" s="182"/>
      <c r="O124" s="182"/>
      <c r="P124" s="182"/>
      <c r="Q124" s="182"/>
      <c r="R124" s="182"/>
      <c r="S124" s="182"/>
      <c r="T124" s="181" t="s">
        <v>697</v>
      </c>
      <c r="U124" s="183">
        <v>5723000</v>
      </c>
      <c r="V124" s="183">
        <v>3500000</v>
      </c>
      <c r="W124" s="183">
        <v>4000000</v>
      </c>
      <c r="X124" s="181" t="s">
        <v>697</v>
      </c>
    </row>
    <row r="125" spans="1:24" ht="167.7" customHeight="1" x14ac:dyDescent="0.3">
      <c r="A125" s="181" t="s">
        <v>699</v>
      </c>
      <c r="B125" s="182" t="s">
        <v>294</v>
      </c>
      <c r="C125" s="182" t="s">
        <v>290</v>
      </c>
      <c r="D125" s="182" t="s">
        <v>698</v>
      </c>
      <c r="E125" s="182"/>
      <c r="F125" s="182"/>
      <c r="G125" s="182"/>
      <c r="H125" s="182"/>
      <c r="I125" s="182"/>
      <c r="J125" s="182"/>
      <c r="K125" s="182"/>
      <c r="L125" s="182"/>
      <c r="M125" s="182"/>
      <c r="N125" s="182"/>
      <c r="O125" s="182"/>
      <c r="P125" s="182"/>
      <c r="Q125" s="182"/>
      <c r="R125" s="182"/>
      <c r="S125" s="182" t="s">
        <v>700</v>
      </c>
      <c r="T125" s="181" t="s">
        <v>699</v>
      </c>
      <c r="U125" s="183">
        <v>5723000</v>
      </c>
      <c r="V125" s="183">
        <v>3500000</v>
      </c>
      <c r="W125" s="183">
        <v>4000000</v>
      </c>
      <c r="X125" s="181" t="s">
        <v>699</v>
      </c>
    </row>
    <row r="126" spans="1:24" ht="18.600000000000001" customHeight="1" x14ac:dyDescent="0.3">
      <c r="A126" s="181" t="s">
        <v>357</v>
      </c>
      <c r="B126" s="182" t="s">
        <v>294</v>
      </c>
      <c r="C126" s="182" t="s">
        <v>316</v>
      </c>
      <c r="D126" s="182"/>
      <c r="E126" s="182"/>
      <c r="F126" s="182"/>
      <c r="G126" s="182"/>
      <c r="H126" s="182"/>
      <c r="I126" s="182"/>
      <c r="J126" s="182"/>
      <c r="K126" s="182"/>
      <c r="L126" s="182"/>
      <c r="M126" s="182"/>
      <c r="N126" s="182"/>
      <c r="O126" s="182"/>
      <c r="P126" s="182"/>
      <c r="Q126" s="182"/>
      <c r="R126" s="182"/>
      <c r="S126" s="182"/>
      <c r="T126" s="181" t="s">
        <v>357</v>
      </c>
      <c r="U126" s="312">
        <v>97665700</v>
      </c>
      <c r="V126" s="183">
        <v>102206170</v>
      </c>
      <c r="W126" s="183">
        <v>107058000</v>
      </c>
      <c r="X126" s="181" t="s">
        <v>357</v>
      </c>
    </row>
    <row r="127" spans="1:24" ht="316.5" customHeight="1" x14ac:dyDescent="0.3">
      <c r="A127" s="187" t="s">
        <v>511</v>
      </c>
      <c r="B127" s="182" t="s">
        <v>294</v>
      </c>
      <c r="C127" s="182" t="s">
        <v>316</v>
      </c>
      <c r="D127" s="182" t="s">
        <v>701</v>
      </c>
      <c r="E127" s="182"/>
      <c r="F127" s="182"/>
      <c r="G127" s="182"/>
      <c r="H127" s="182"/>
      <c r="I127" s="182"/>
      <c r="J127" s="182"/>
      <c r="K127" s="182"/>
      <c r="L127" s="182"/>
      <c r="M127" s="182"/>
      <c r="N127" s="182"/>
      <c r="O127" s="182"/>
      <c r="P127" s="182"/>
      <c r="Q127" s="182"/>
      <c r="R127" s="182"/>
      <c r="S127" s="182"/>
      <c r="T127" s="187" t="s">
        <v>511</v>
      </c>
      <c r="U127" s="183">
        <v>97665700</v>
      </c>
      <c r="V127" s="183">
        <v>102206170</v>
      </c>
      <c r="W127" s="183">
        <v>107058000</v>
      </c>
      <c r="X127" s="187" t="s">
        <v>511</v>
      </c>
    </row>
    <row r="128" spans="1:24" ht="372.45" customHeight="1" x14ac:dyDescent="0.3">
      <c r="A128" s="187" t="s">
        <v>702</v>
      </c>
      <c r="B128" s="182" t="s">
        <v>294</v>
      </c>
      <c r="C128" s="182" t="s">
        <v>316</v>
      </c>
      <c r="D128" s="182" t="s">
        <v>701</v>
      </c>
      <c r="E128" s="182"/>
      <c r="F128" s="182"/>
      <c r="G128" s="182"/>
      <c r="H128" s="182"/>
      <c r="I128" s="182"/>
      <c r="J128" s="182"/>
      <c r="K128" s="182"/>
      <c r="L128" s="182"/>
      <c r="M128" s="182"/>
      <c r="N128" s="182"/>
      <c r="O128" s="182"/>
      <c r="P128" s="182"/>
      <c r="Q128" s="182"/>
      <c r="R128" s="182"/>
      <c r="S128" s="182" t="s">
        <v>528</v>
      </c>
      <c r="T128" s="187" t="s">
        <v>702</v>
      </c>
      <c r="U128" s="183">
        <v>97665700</v>
      </c>
      <c r="V128" s="183">
        <v>102206170</v>
      </c>
      <c r="W128" s="183">
        <v>107058000</v>
      </c>
      <c r="X128" s="187" t="s">
        <v>702</v>
      </c>
    </row>
    <row r="129" spans="1:24" ht="18.600000000000001" customHeight="1" x14ac:dyDescent="0.3">
      <c r="A129" s="181" t="s">
        <v>358</v>
      </c>
      <c r="B129" s="182" t="s">
        <v>294</v>
      </c>
      <c r="C129" s="182" t="s">
        <v>292</v>
      </c>
      <c r="D129" s="182"/>
      <c r="E129" s="182"/>
      <c r="F129" s="182"/>
      <c r="G129" s="182"/>
      <c r="H129" s="182"/>
      <c r="I129" s="182"/>
      <c r="J129" s="182"/>
      <c r="K129" s="182"/>
      <c r="L129" s="182"/>
      <c r="M129" s="182"/>
      <c r="N129" s="182"/>
      <c r="O129" s="182"/>
      <c r="P129" s="182"/>
      <c r="Q129" s="182"/>
      <c r="R129" s="182"/>
      <c r="S129" s="182"/>
      <c r="T129" s="181" t="s">
        <v>358</v>
      </c>
      <c r="U129" s="312">
        <f>U130+U132+U134+U136+U138+U140+U142+U144</f>
        <v>1550000</v>
      </c>
      <c r="V129" s="183">
        <v>780000</v>
      </c>
      <c r="W129" s="183">
        <v>780000</v>
      </c>
      <c r="X129" s="181" t="s">
        <v>358</v>
      </c>
    </row>
    <row r="130" spans="1:24" ht="33" customHeight="1" x14ac:dyDescent="0.3">
      <c r="A130" s="181"/>
      <c r="B130" s="182" t="s">
        <v>294</v>
      </c>
      <c r="C130" s="182" t="s">
        <v>292</v>
      </c>
      <c r="D130" s="182" t="s">
        <v>1028</v>
      </c>
      <c r="E130" s="182"/>
      <c r="F130" s="182"/>
      <c r="G130" s="182"/>
      <c r="H130" s="182"/>
      <c r="I130" s="182"/>
      <c r="J130" s="182"/>
      <c r="K130" s="182"/>
      <c r="L130" s="182"/>
      <c r="M130" s="182"/>
      <c r="N130" s="182"/>
      <c r="O130" s="182"/>
      <c r="P130" s="182"/>
      <c r="Q130" s="182"/>
      <c r="R130" s="182"/>
      <c r="S130" s="182"/>
      <c r="T130" s="295" t="s">
        <v>1026</v>
      </c>
      <c r="U130" s="183">
        <f>U131</f>
        <v>100000</v>
      </c>
      <c r="V130" s="183">
        <f>V131</f>
        <v>0</v>
      </c>
      <c r="W130" s="183">
        <f>W131</f>
        <v>0</v>
      </c>
      <c r="X130" s="181"/>
    </row>
    <row r="131" spans="1:24" ht="73.5" customHeight="1" x14ac:dyDescent="0.3">
      <c r="A131" s="181"/>
      <c r="B131" s="182" t="s">
        <v>294</v>
      </c>
      <c r="C131" s="182" t="s">
        <v>292</v>
      </c>
      <c r="D131" s="182" t="s">
        <v>1028</v>
      </c>
      <c r="E131" s="182"/>
      <c r="F131" s="182"/>
      <c r="G131" s="182"/>
      <c r="H131" s="182"/>
      <c r="I131" s="182"/>
      <c r="J131" s="182"/>
      <c r="K131" s="182"/>
      <c r="L131" s="182"/>
      <c r="M131" s="182"/>
      <c r="N131" s="182"/>
      <c r="O131" s="182"/>
      <c r="P131" s="182"/>
      <c r="Q131" s="182"/>
      <c r="R131" s="182"/>
      <c r="S131" s="182" t="s">
        <v>586</v>
      </c>
      <c r="T131" s="274" t="s">
        <v>1027</v>
      </c>
      <c r="U131" s="183">
        <v>100000</v>
      </c>
      <c r="V131" s="183">
        <v>0</v>
      </c>
      <c r="W131" s="183">
        <v>0</v>
      </c>
      <c r="X131" s="181"/>
    </row>
    <row r="132" spans="1:24" ht="55.95" customHeight="1" x14ac:dyDescent="0.3">
      <c r="A132" s="181" t="s">
        <v>703</v>
      </c>
      <c r="B132" s="182" t="s">
        <v>294</v>
      </c>
      <c r="C132" s="182" t="s">
        <v>292</v>
      </c>
      <c r="D132" s="182" t="s">
        <v>704</v>
      </c>
      <c r="E132" s="182"/>
      <c r="F132" s="182"/>
      <c r="G132" s="182"/>
      <c r="H132" s="182"/>
      <c r="I132" s="182"/>
      <c r="J132" s="182"/>
      <c r="K132" s="182"/>
      <c r="L132" s="182"/>
      <c r="M132" s="182"/>
      <c r="N132" s="182"/>
      <c r="O132" s="182"/>
      <c r="P132" s="182"/>
      <c r="Q132" s="182"/>
      <c r="R132" s="182"/>
      <c r="S132" s="182"/>
      <c r="T132" s="181" t="s">
        <v>703</v>
      </c>
      <c r="U132" s="183">
        <f>U133</f>
        <v>900000</v>
      </c>
      <c r="V132" s="183">
        <v>100000</v>
      </c>
      <c r="W132" s="183">
        <v>100000</v>
      </c>
      <c r="X132" s="181" t="s">
        <v>703</v>
      </c>
    </row>
    <row r="133" spans="1:24" ht="93" customHeight="1" x14ac:dyDescent="0.3">
      <c r="A133" s="181" t="s">
        <v>705</v>
      </c>
      <c r="B133" s="182" t="s">
        <v>294</v>
      </c>
      <c r="C133" s="182" t="s">
        <v>292</v>
      </c>
      <c r="D133" s="182" t="s">
        <v>704</v>
      </c>
      <c r="E133" s="182"/>
      <c r="F133" s="182"/>
      <c r="G133" s="182"/>
      <c r="H133" s="182"/>
      <c r="I133" s="182"/>
      <c r="J133" s="182"/>
      <c r="K133" s="182"/>
      <c r="L133" s="182"/>
      <c r="M133" s="182"/>
      <c r="N133" s="182"/>
      <c r="O133" s="182"/>
      <c r="P133" s="182"/>
      <c r="Q133" s="182"/>
      <c r="R133" s="182"/>
      <c r="S133" s="182" t="s">
        <v>586</v>
      </c>
      <c r="T133" s="181" t="s">
        <v>705</v>
      </c>
      <c r="U133" s="183">
        <f>100000+800000</f>
        <v>900000</v>
      </c>
      <c r="V133" s="183">
        <v>100000</v>
      </c>
      <c r="W133" s="183">
        <v>100000</v>
      </c>
      <c r="X133" s="181" t="s">
        <v>705</v>
      </c>
    </row>
    <row r="134" spans="1:24" ht="37.200000000000003" customHeight="1" x14ac:dyDescent="0.3">
      <c r="A134" s="181" t="s">
        <v>706</v>
      </c>
      <c r="B134" s="182" t="s">
        <v>294</v>
      </c>
      <c r="C134" s="182" t="s">
        <v>292</v>
      </c>
      <c r="D134" s="182" t="s">
        <v>707</v>
      </c>
      <c r="E134" s="182"/>
      <c r="F134" s="182"/>
      <c r="G134" s="182"/>
      <c r="H134" s="182"/>
      <c r="I134" s="182"/>
      <c r="J134" s="182"/>
      <c r="K134" s="182"/>
      <c r="L134" s="182"/>
      <c r="M134" s="182"/>
      <c r="N134" s="182"/>
      <c r="O134" s="182"/>
      <c r="P134" s="182"/>
      <c r="Q134" s="182"/>
      <c r="R134" s="182"/>
      <c r="S134" s="182"/>
      <c r="T134" s="181" t="s">
        <v>706</v>
      </c>
      <c r="U134" s="183">
        <f>U135</f>
        <v>350000</v>
      </c>
      <c r="V134" s="183">
        <v>50000</v>
      </c>
      <c r="W134" s="183">
        <v>50000</v>
      </c>
      <c r="X134" s="181" t="s">
        <v>706</v>
      </c>
    </row>
    <row r="135" spans="1:24" ht="74.400000000000006" customHeight="1" x14ac:dyDescent="0.3">
      <c r="A135" s="181" t="s">
        <v>708</v>
      </c>
      <c r="B135" s="182" t="s">
        <v>294</v>
      </c>
      <c r="C135" s="182" t="s">
        <v>292</v>
      </c>
      <c r="D135" s="182" t="s">
        <v>707</v>
      </c>
      <c r="E135" s="182"/>
      <c r="F135" s="182"/>
      <c r="G135" s="182"/>
      <c r="H135" s="182"/>
      <c r="I135" s="182"/>
      <c r="J135" s="182"/>
      <c r="K135" s="182"/>
      <c r="L135" s="182"/>
      <c r="M135" s="182"/>
      <c r="N135" s="182"/>
      <c r="O135" s="182"/>
      <c r="P135" s="182"/>
      <c r="Q135" s="182"/>
      <c r="R135" s="182"/>
      <c r="S135" s="182" t="s">
        <v>586</v>
      </c>
      <c r="T135" s="181" t="s">
        <v>708</v>
      </c>
      <c r="U135" s="183">
        <f>50000+200000+100000</f>
        <v>350000</v>
      </c>
      <c r="V135" s="183">
        <v>50000</v>
      </c>
      <c r="W135" s="183">
        <v>50000</v>
      </c>
      <c r="X135" s="181" t="s">
        <v>708</v>
      </c>
    </row>
    <row r="136" spans="1:24" ht="37.200000000000003" customHeight="1" x14ac:dyDescent="0.3">
      <c r="A136" s="181" t="s">
        <v>709</v>
      </c>
      <c r="B136" s="182" t="s">
        <v>294</v>
      </c>
      <c r="C136" s="182" t="s">
        <v>292</v>
      </c>
      <c r="D136" s="182" t="s">
        <v>710</v>
      </c>
      <c r="E136" s="182"/>
      <c r="F136" s="182"/>
      <c r="G136" s="182"/>
      <c r="H136" s="182"/>
      <c r="I136" s="182"/>
      <c r="J136" s="182"/>
      <c r="K136" s="182"/>
      <c r="L136" s="182"/>
      <c r="M136" s="182"/>
      <c r="N136" s="182"/>
      <c r="O136" s="182"/>
      <c r="P136" s="182"/>
      <c r="Q136" s="182"/>
      <c r="R136" s="182"/>
      <c r="S136" s="182"/>
      <c r="T136" s="181" t="s">
        <v>709</v>
      </c>
      <c r="U136" s="183">
        <f>U137</f>
        <v>0</v>
      </c>
      <c r="V136" s="183">
        <v>100000</v>
      </c>
      <c r="W136" s="183">
        <v>100000</v>
      </c>
      <c r="X136" s="181" t="s">
        <v>709</v>
      </c>
    </row>
    <row r="137" spans="1:24" ht="93" customHeight="1" x14ac:dyDescent="0.3">
      <c r="A137" s="181" t="s">
        <v>711</v>
      </c>
      <c r="B137" s="182" t="s">
        <v>294</v>
      </c>
      <c r="C137" s="182" t="s">
        <v>292</v>
      </c>
      <c r="D137" s="182" t="s">
        <v>710</v>
      </c>
      <c r="E137" s="182"/>
      <c r="F137" s="182"/>
      <c r="G137" s="182"/>
      <c r="H137" s="182"/>
      <c r="I137" s="182"/>
      <c r="J137" s="182"/>
      <c r="K137" s="182"/>
      <c r="L137" s="182"/>
      <c r="M137" s="182"/>
      <c r="N137" s="182"/>
      <c r="O137" s="182"/>
      <c r="P137" s="182"/>
      <c r="Q137" s="182"/>
      <c r="R137" s="182"/>
      <c r="S137" s="182" t="s">
        <v>586</v>
      </c>
      <c r="T137" s="181" t="s">
        <v>711</v>
      </c>
      <c r="U137" s="183">
        <f>100000-100000</f>
        <v>0</v>
      </c>
      <c r="V137" s="183">
        <v>100000</v>
      </c>
      <c r="W137" s="183">
        <v>100000</v>
      </c>
      <c r="X137" s="181" t="s">
        <v>711</v>
      </c>
    </row>
    <row r="138" spans="1:24" ht="18.600000000000001" customHeight="1" x14ac:dyDescent="0.3">
      <c r="A138" s="181" t="s">
        <v>712</v>
      </c>
      <c r="B138" s="182" t="s">
        <v>294</v>
      </c>
      <c r="C138" s="182" t="s">
        <v>292</v>
      </c>
      <c r="D138" s="182" t="s">
        <v>713</v>
      </c>
      <c r="E138" s="182"/>
      <c r="F138" s="182"/>
      <c r="G138" s="182"/>
      <c r="H138" s="182"/>
      <c r="I138" s="182"/>
      <c r="J138" s="182"/>
      <c r="K138" s="182"/>
      <c r="L138" s="182"/>
      <c r="M138" s="182"/>
      <c r="N138" s="182"/>
      <c r="O138" s="182"/>
      <c r="P138" s="182"/>
      <c r="Q138" s="182"/>
      <c r="R138" s="182"/>
      <c r="S138" s="182"/>
      <c r="T138" s="181" t="s">
        <v>712</v>
      </c>
      <c r="U138" s="183">
        <f>U139</f>
        <v>0</v>
      </c>
      <c r="V138" s="183">
        <v>150000</v>
      </c>
      <c r="W138" s="183">
        <v>150000</v>
      </c>
      <c r="X138" s="181" t="s">
        <v>712</v>
      </c>
    </row>
    <row r="139" spans="1:24" ht="74.400000000000006" customHeight="1" x14ac:dyDescent="0.3">
      <c r="A139" s="181" t="s">
        <v>714</v>
      </c>
      <c r="B139" s="182" t="s">
        <v>294</v>
      </c>
      <c r="C139" s="182" t="s">
        <v>292</v>
      </c>
      <c r="D139" s="182" t="s">
        <v>713</v>
      </c>
      <c r="E139" s="182"/>
      <c r="F139" s="182"/>
      <c r="G139" s="182"/>
      <c r="H139" s="182"/>
      <c r="I139" s="182"/>
      <c r="J139" s="182"/>
      <c r="K139" s="182"/>
      <c r="L139" s="182"/>
      <c r="M139" s="182"/>
      <c r="N139" s="182"/>
      <c r="O139" s="182"/>
      <c r="P139" s="182"/>
      <c r="Q139" s="182"/>
      <c r="R139" s="182"/>
      <c r="S139" s="182" t="s">
        <v>586</v>
      </c>
      <c r="T139" s="181" t="s">
        <v>714</v>
      </c>
      <c r="U139" s="183">
        <f>150000-150000</f>
        <v>0</v>
      </c>
      <c r="V139" s="183">
        <v>150000</v>
      </c>
      <c r="W139" s="183">
        <v>150000</v>
      </c>
      <c r="X139" s="181" t="s">
        <v>714</v>
      </c>
    </row>
    <row r="140" spans="1:24" ht="37.200000000000003" customHeight="1" x14ac:dyDescent="0.3">
      <c r="A140" s="181" t="s">
        <v>715</v>
      </c>
      <c r="B140" s="182" t="s">
        <v>294</v>
      </c>
      <c r="C140" s="182" t="s">
        <v>292</v>
      </c>
      <c r="D140" s="182" t="s">
        <v>716</v>
      </c>
      <c r="E140" s="182"/>
      <c r="F140" s="182"/>
      <c r="G140" s="182"/>
      <c r="H140" s="182"/>
      <c r="I140" s="182"/>
      <c r="J140" s="182"/>
      <c r="K140" s="182"/>
      <c r="L140" s="182"/>
      <c r="M140" s="182"/>
      <c r="N140" s="182"/>
      <c r="O140" s="182"/>
      <c r="P140" s="182"/>
      <c r="Q140" s="182"/>
      <c r="R140" s="182"/>
      <c r="S140" s="182"/>
      <c r="T140" s="181" t="s">
        <v>715</v>
      </c>
      <c r="U140" s="183">
        <f>U141</f>
        <v>160000</v>
      </c>
      <c r="V140" s="183">
        <v>200000</v>
      </c>
      <c r="W140" s="183">
        <v>200000</v>
      </c>
      <c r="X140" s="181" t="s">
        <v>715</v>
      </c>
    </row>
    <row r="141" spans="1:24" ht="93" customHeight="1" x14ac:dyDescent="0.3">
      <c r="A141" s="181" t="s">
        <v>717</v>
      </c>
      <c r="B141" s="182" t="s">
        <v>294</v>
      </c>
      <c r="C141" s="182" t="s">
        <v>292</v>
      </c>
      <c r="D141" s="182" t="s">
        <v>716</v>
      </c>
      <c r="E141" s="182"/>
      <c r="F141" s="182"/>
      <c r="G141" s="182"/>
      <c r="H141" s="182"/>
      <c r="I141" s="182"/>
      <c r="J141" s="182"/>
      <c r="K141" s="182"/>
      <c r="L141" s="182"/>
      <c r="M141" s="182"/>
      <c r="N141" s="182"/>
      <c r="O141" s="182"/>
      <c r="P141" s="182"/>
      <c r="Q141" s="182"/>
      <c r="R141" s="182"/>
      <c r="S141" s="182" t="s">
        <v>586</v>
      </c>
      <c r="T141" s="181" t="s">
        <v>717</v>
      </c>
      <c r="U141" s="183">
        <f>200000-40000</f>
        <v>160000</v>
      </c>
      <c r="V141" s="183">
        <v>200000</v>
      </c>
      <c r="W141" s="183">
        <v>200000</v>
      </c>
      <c r="X141" s="181" t="s">
        <v>717</v>
      </c>
    </row>
    <row r="142" spans="1:24" ht="18.600000000000001" customHeight="1" x14ac:dyDescent="0.3">
      <c r="A142" s="181" t="s">
        <v>718</v>
      </c>
      <c r="B142" s="182" t="s">
        <v>294</v>
      </c>
      <c r="C142" s="182" t="s">
        <v>292</v>
      </c>
      <c r="D142" s="182" t="s">
        <v>719</v>
      </c>
      <c r="E142" s="182"/>
      <c r="F142" s="182"/>
      <c r="G142" s="182"/>
      <c r="H142" s="182"/>
      <c r="I142" s="182"/>
      <c r="J142" s="182"/>
      <c r="K142" s="182"/>
      <c r="L142" s="182"/>
      <c r="M142" s="182"/>
      <c r="N142" s="182"/>
      <c r="O142" s="182"/>
      <c r="P142" s="182"/>
      <c r="Q142" s="182"/>
      <c r="R142" s="182"/>
      <c r="S142" s="182"/>
      <c r="T142" s="181" t="s">
        <v>718</v>
      </c>
      <c r="U142" s="183">
        <f>U143</f>
        <v>40000</v>
      </c>
      <c r="V142" s="183">
        <v>80000</v>
      </c>
      <c r="W142" s="183">
        <v>80000</v>
      </c>
      <c r="X142" s="181" t="s">
        <v>718</v>
      </c>
    </row>
    <row r="143" spans="1:24" ht="74.400000000000006" customHeight="1" x14ac:dyDescent="0.3">
      <c r="A143" s="181" t="s">
        <v>720</v>
      </c>
      <c r="B143" s="182" t="s">
        <v>294</v>
      </c>
      <c r="C143" s="182" t="s">
        <v>292</v>
      </c>
      <c r="D143" s="182" t="s">
        <v>719</v>
      </c>
      <c r="E143" s="182"/>
      <c r="F143" s="182"/>
      <c r="G143" s="182"/>
      <c r="H143" s="182"/>
      <c r="I143" s="182"/>
      <c r="J143" s="182"/>
      <c r="K143" s="182"/>
      <c r="L143" s="182"/>
      <c r="M143" s="182"/>
      <c r="N143" s="182"/>
      <c r="O143" s="182"/>
      <c r="P143" s="182"/>
      <c r="Q143" s="182"/>
      <c r="R143" s="182"/>
      <c r="S143" s="182" t="s">
        <v>586</v>
      </c>
      <c r="T143" s="181" t="s">
        <v>720</v>
      </c>
      <c r="U143" s="183">
        <f>80000-40000</f>
        <v>40000</v>
      </c>
      <c r="V143" s="183">
        <v>80000</v>
      </c>
      <c r="W143" s="183">
        <v>80000</v>
      </c>
      <c r="X143" s="181" t="s">
        <v>720</v>
      </c>
    </row>
    <row r="144" spans="1:24" ht="55.95" customHeight="1" x14ac:dyDescent="0.3">
      <c r="A144" s="181" t="s">
        <v>721</v>
      </c>
      <c r="B144" s="182" t="s">
        <v>294</v>
      </c>
      <c r="C144" s="182" t="s">
        <v>292</v>
      </c>
      <c r="D144" s="182" t="s">
        <v>722</v>
      </c>
      <c r="E144" s="182"/>
      <c r="F144" s="182"/>
      <c r="G144" s="182"/>
      <c r="H144" s="182"/>
      <c r="I144" s="182"/>
      <c r="J144" s="182"/>
      <c r="K144" s="182"/>
      <c r="L144" s="182"/>
      <c r="M144" s="182"/>
      <c r="N144" s="182"/>
      <c r="O144" s="182"/>
      <c r="P144" s="182"/>
      <c r="Q144" s="182"/>
      <c r="R144" s="182"/>
      <c r="S144" s="182"/>
      <c r="T144" s="181" t="s">
        <v>721</v>
      </c>
      <c r="U144" s="183">
        <f>U145</f>
        <v>0</v>
      </c>
      <c r="V144" s="183">
        <v>100000</v>
      </c>
      <c r="W144" s="183">
        <v>100000</v>
      </c>
      <c r="X144" s="181" t="s">
        <v>721</v>
      </c>
    </row>
    <row r="145" spans="1:24" ht="93" customHeight="1" x14ac:dyDescent="0.3">
      <c r="A145" s="181" t="s">
        <v>723</v>
      </c>
      <c r="B145" s="182" t="s">
        <v>294</v>
      </c>
      <c r="C145" s="182" t="s">
        <v>292</v>
      </c>
      <c r="D145" s="182" t="s">
        <v>722</v>
      </c>
      <c r="E145" s="182"/>
      <c r="F145" s="182"/>
      <c r="G145" s="182"/>
      <c r="H145" s="182"/>
      <c r="I145" s="182"/>
      <c r="J145" s="182"/>
      <c r="K145" s="182"/>
      <c r="L145" s="182"/>
      <c r="M145" s="182"/>
      <c r="N145" s="182"/>
      <c r="O145" s="182"/>
      <c r="P145" s="182"/>
      <c r="Q145" s="182"/>
      <c r="R145" s="182"/>
      <c r="S145" s="182" t="s">
        <v>586</v>
      </c>
      <c r="T145" s="181" t="s">
        <v>723</v>
      </c>
      <c r="U145" s="183">
        <f>100000-100000</f>
        <v>0</v>
      </c>
      <c r="V145" s="183">
        <v>100000</v>
      </c>
      <c r="W145" s="183">
        <v>100000</v>
      </c>
      <c r="X145" s="181" t="s">
        <v>723</v>
      </c>
    </row>
    <row r="146" spans="1:24" ht="18.600000000000001" customHeight="1" x14ac:dyDescent="0.3">
      <c r="A146" s="179" t="s">
        <v>724</v>
      </c>
      <c r="B146" s="191" t="s">
        <v>339</v>
      </c>
      <c r="C146" s="191" t="s">
        <v>317</v>
      </c>
      <c r="D146" s="191"/>
      <c r="E146" s="191"/>
      <c r="F146" s="191"/>
      <c r="G146" s="191"/>
      <c r="H146" s="191"/>
      <c r="I146" s="191"/>
      <c r="J146" s="191"/>
      <c r="K146" s="191"/>
      <c r="L146" s="191"/>
      <c r="M146" s="191"/>
      <c r="N146" s="191"/>
      <c r="O146" s="191"/>
      <c r="P146" s="191"/>
      <c r="Q146" s="191"/>
      <c r="R146" s="191"/>
      <c r="S146" s="191"/>
      <c r="T146" s="179" t="s">
        <v>724</v>
      </c>
      <c r="U146" s="180">
        <f>U147+U154+U188+U203</f>
        <v>436058992.38</v>
      </c>
      <c r="V146" s="180">
        <f>V147+V154+V188+V203</f>
        <v>391006564.30000001</v>
      </c>
      <c r="W146" s="180">
        <f>W147+W154+W188+W203</f>
        <v>357439094.73000002</v>
      </c>
      <c r="X146" s="179" t="s">
        <v>724</v>
      </c>
    </row>
    <row r="147" spans="1:24" ht="18.600000000000001" customHeight="1" x14ac:dyDescent="0.3">
      <c r="A147" s="181" t="s">
        <v>361</v>
      </c>
      <c r="B147" s="182" t="s">
        <v>339</v>
      </c>
      <c r="C147" s="182" t="s">
        <v>290</v>
      </c>
      <c r="D147" s="182"/>
      <c r="E147" s="182"/>
      <c r="F147" s="182"/>
      <c r="G147" s="182"/>
      <c r="H147" s="182"/>
      <c r="I147" s="182"/>
      <c r="J147" s="182"/>
      <c r="K147" s="182"/>
      <c r="L147" s="182"/>
      <c r="M147" s="182"/>
      <c r="N147" s="182"/>
      <c r="O147" s="182"/>
      <c r="P147" s="182"/>
      <c r="Q147" s="182"/>
      <c r="R147" s="182"/>
      <c r="S147" s="182"/>
      <c r="T147" s="181" t="s">
        <v>361</v>
      </c>
      <c r="U147" s="183">
        <f>U148+U150+U152</f>
        <v>137838032.63999999</v>
      </c>
      <c r="V147" s="183">
        <v>96302010.519999996</v>
      </c>
      <c r="W147" s="183">
        <v>98491028.030000001</v>
      </c>
      <c r="X147" s="181" t="s">
        <v>361</v>
      </c>
    </row>
    <row r="148" spans="1:24" ht="74.400000000000006" customHeight="1" x14ac:dyDescent="0.3">
      <c r="A148" s="181" t="s">
        <v>814</v>
      </c>
      <c r="B148" s="182" t="s">
        <v>339</v>
      </c>
      <c r="C148" s="182" t="s">
        <v>290</v>
      </c>
      <c r="D148" s="182" t="s">
        <v>815</v>
      </c>
      <c r="E148" s="182"/>
      <c r="F148" s="182"/>
      <c r="G148" s="182"/>
      <c r="H148" s="182"/>
      <c r="I148" s="182"/>
      <c r="J148" s="182"/>
      <c r="K148" s="182"/>
      <c r="L148" s="182"/>
      <c r="M148" s="182"/>
      <c r="N148" s="182"/>
      <c r="O148" s="182"/>
      <c r="P148" s="182"/>
      <c r="Q148" s="182"/>
      <c r="R148" s="182"/>
      <c r="S148" s="182"/>
      <c r="T148" s="181" t="s">
        <v>814</v>
      </c>
      <c r="U148" s="183">
        <f>U149</f>
        <v>88139521.420000002</v>
      </c>
      <c r="V148" s="183">
        <v>53758310.520000003</v>
      </c>
      <c r="W148" s="183">
        <v>55947328.030000001</v>
      </c>
      <c r="X148" s="181" t="s">
        <v>814</v>
      </c>
    </row>
    <row r="149" spans="1:24" ht="148.94999999999999" customHeight="1" x14ac:dyDescent="0.3">
      <c r="A149" s="181" t="s">
        <v>816</v>
      </c>
      <c r="B149" s="182" t="s">
        <v>339</v>
      </c>
      <c r="C149" s="182" t="s">
        <v>290</v>
      </c>
      <c r="D149" s="182" t="s">
        <v>815</v>
      </c>
      <c r="E149" s="182"/>
      <c r="F149" s="182"/>
      <c r="G149" s="182"/>
      <c r="H149" s="182"/>
      <c r="I149" s="182"/>
      <c r="J149" s="182"/>
      <c r="K149" s="182"/>
      <c r="L149" s="182"/>
      <c r="M149" s="182"/>
      <c r="N149" s="182"/>
      <c r="O149" s="182"/>
      <c r="P149" s="182"/>
      <c r="Q149" s="182"/>
      <c r="R149" s="182"/>
      <c r="S149" s="182" t="s">
        <v>613</v>
      </c>
      <c r="T149" s="181" t="s">
        <v>816</v>
      </c>
      <c r="U149" s="183">
        <f>51839521.42+36300000</f>
        <v>88139521.420000002</v>
      </c>
      <c r="V149" s="183">
        <v>53758310.520000003</v>
      </c>
      <c r="W149" s="183">
        <v>55947328.030000001</v>
      </c>
      <c r="X149" s="181" t="s">
        <v>816</v>
      </c>
    </row>
    <row r="150" spans="1:24" ht="37.200000000000003" customHeight="1" x14ac:dyDescent="0.3">
      <c r="A150" s="181" t="s">
        <v>817</v>
      </c>
      <c r="B150" s="182" t="s">
        <v>339</v>
      </c>
      <c r="C150" s="182" t="s">
        <v>290</v>
      </c>
      <c r="D150" s="182" t="s">
        <v>818</v>
      </c>
      <c r="E150" s="182"/>
      <c r="F150" s="182"/>
      <c r="G150" s="182"/>
      <c r="H150" s="182"/>
      <c r="I150" s="182"/>
      <c r="J150" s="182"/>
      <c r="K150" s="182"/>
      <c r="L150" s="182"/>
      <c r="M150" s="182"/>
      <c r="N150" s="182"/>
      <c r="O150" s="182"/>
      <c r="P150" s="182"/>
      <c r="Q150" s="182"/>
      <c r="R150" s="182"/>
      <c r="S150" s="182"/>
      <c r="T150" s="181" t="s">
        <v>817</v>
      </c>
      <c r="U150" s="183">
        <v>2000000</v>
      </c>
      <c r="V150" s="183">
        <v>2000000</v>
      </c>
      <c r="W150" s="183">
        <v>2000000</v>
      </c>
      <c r="X150" s="181" t="s">
        <v>817</v>
      </c>
    </row>
    <row r="151" spans="1:24" ht="111.75" customHeight="1" x14ac:dyDescent="0.3">
      <c r="A151" s="181" t="s">
        <v>819</v>
      </c>
      <c r="B151" s="182" t="s">
        <v>339</v>
      </c>
      <c r="C151" s="182" t="s">
        <v>290</v>
      </c>
      <c r="D151" s="182" t="s">
        <v>818</v>
      </c>
      <c r="E151" s="182"/>
      <c r="F151" s="182"/>
      <c r="G151" s="182"/>
      <c r="H151" s="182"/>
      <c r="I151" s="182"/>
      <c r="J151" s="182"/>
      <c r="K151" s="182"/>
      <c r="L151" s="182"/>
      <c r="M151" s="182"/>
      <c r="N151" s="182"/>
      <c r="O151" s="182"/>
      <c r="P151" s="182"/>
      <c r="Q151" s="182"/>
      <c r="R151" s="182"/>
      <c r="S151" s="182" t="s">
        <v>613</v>
      </c>
      <c r="T151" s="181" t="s">
        <v>819</v>
      </c>
      <c r="U151" s="183">
        <v>2000000</v>
      </c>
      <c r="V151" s="183">
        <v>2000000</v>
      </c>
      <c r="W151" s="183">
        <v>2000000</v>
      </c>
      <c r="X151" s="181" t="s">
        <v>819</v>
      </c>
    </row>
    <row r="152" spans="1:24" ht="242.1" customHeight="1" x14ac:dyDescent="0.3">
      <c r="A152" s="187" t="s">
        <v>519</v>
      </c>
      <c r="B152" s="182" t="s">
        <v>339</v>
      </c>
      <c r="C152" s="182" t="s">
        <v>290</v>
      </c>
      <c r="D152" s="182" t="s">
        <v>820</v>
      </c>
      <c r="E152" s="182"/>
      <c r="F152" s="182"/>
      <c r="G152" s="182"/>
      <c r="H152" s="182"/>
      <c r="I152" s="182"/>
      <c r="J152" s="182"/>
      <c r="K152" s="182"/>
      <c r="L152" s="182"/>
      <c r="M152" s="182"/>
      <c r="N152" s="182"/>
      <c r="O152" s="182"/>
      <c r="P152" s="182"/>
      <c r="Q152" s="182"/>
      <c r="R152" s="182"/>
      <c r="S152" s="182"/>
      <c r="T152" s="187" t="s">
        <v>519</v>
      </c>
      <c r="U152" s="183">
        <f>U153</f>
        <v>47698511.219999999</v>
      </c>
      <c r="V152" s="183">
        <v>40543700</v>
      </c>
      <c r="W152" s="183">
        <v>40543700</v>
      </c>
      <c r="X152" s="187" t="s">
        <v>519</v>
      </c>
    </row>
    <row r="153" spans="1:24" ht="316.5" customHeight="1" x14ac:dyDescent="0.3">
      <c r="A153" s="187" t="s">
        <v>821</v>
      </c>
      <c r="B153" s="182" t="s">
        <v>339</v>
      </c>
      <c r="C153" s="182" t="s">
        <v>290</v>
      </c>
      <c r="D153" s="182" t="s">
        <v>820</v>
      </c>
      <c r="E153" s="182"/>
      <c r="F153" s="182"/>
      <c r="G153" s="182"/>
      <c r="H153" s="182"/>
      <c r="I153" s="182"/>
      <c r="J153" s="182"/>
      <c r="K153" s="182"/>
      <c r="L153" s="182"/>
      <c r="M153" s="182"/>
      <c r="N153" s="182"/>
      <c r="O153" s="182"/>
      <c r="P153" s="182"/>
      <c r="Q153" s="182"/>
      <c r="R153" s="182"/>
      <c r="S153" s="182" t="s">
        <v>613</v>
      </c>
      <c r="T153" s="187" t="s">
        <v>821</v>
      </c>
      <c r="U153" s="183">
        <f>47698500+11.22</f>
        <v>47698511.219999999</v>
      </c>
      <c r="V153" s="183">
        <v>40543700</v>
      </c>
      <c r="W153" s="183">
        <v>40543700</v>
      </c>
      <c r="X153" s="187" t="s">
        <v>821</v>
      </c>
    </row>
    <row r="154" spans="1:24" ht="18.600000000000001" customHeight="1" x14ac:dyDescent="0.3">
      <c r="A154" s="181" t="s">
        <v>362</v>
      </c>
      <c r="B154" s="182" t="s">
        <v>339</v>
      </c>
      <c r="C154" s="182" t="s">
        <v>316</v>
      </c>
      <c r="D154" s="182"/>
      <c r="E154" s="182"/>
      <c r="F154" s="182"/>
      <c r="G154" s="182"/>
      <c r="H154" s="182"/>
      <c r="I154" s="182"/>
      <c r="J154" s="182"/>
      <c r="K154" s="182"/>
      <c r="L154" s="182"/>
      <c r="M154" s="182"/>
      <c r="N154" s="182"/>
      <c r="O154" s="182"/>
      <c r="P154" s="182"/>
      <c r="Q154" s="182"/>
      <c r="R154" s="182"/>
      <c r="S154" s="182"/>
      <c r="T154" s="181" t="s">
        <v>362</v>
      </c>
      <c r="U154" s="183">
        <f>U155+U157+U159+U161+U163+U165+U167+U169+U171+U174+U176+U178+U180+U182+U184+U186</f>
        <v>272363119.95999998</v>
      </c>
      <c r="V154" s="183">
        <v>268243711.09999999</v>
      </c>
      <c r="W154" s="183">
        <v>231937224.02000001</v>
      </c>
      <c r="X154" s="181" t="s">
        <v>362</v>
      </c>
    </row>
    <row r="155" spans="1:24" ht="74.400000000000006" customHeight="1" x14ac:dyDescent="0.3">
      <c r="A155" s="181" t="s">
        <v>822</v>
      </c>
      <c r="B155" s="182" t="s">
        <v>339</v>
      </c>
      <c r="C155" s="182" t="s">
        <v>316</v>
      </c>
      <c r="D155" s="182" t="s">
        <v>823</v>
      </c>
      <c r="E155" s="182"/>
      <c r="F155" s="182"/>
      <c r="G155" s="182"/>
      <c r="H155" s="182"/>
      <c r="I155" s="182"/>
      <c r="J155" s="182"/>
      <c r="K155" s="182"/>
      <c r="L155" s="182"/>
      <c r="M155" s="182"/>
      <c r="N155" s="182"/>
      <c r="O155" s="182"/>
      <c r="P155" s="182"/>
      <c r="Q155" s="182"/>
      <c r="R155" s="182"/>
      <c r="S155" s="182"/>
      <c r="T155" s="181" t="s">
        <v>822</v>
      </c>
      <c r="U155" s="183">
        <v>50000</v>
      </c>
      <c r="V155" s="183">
        <v>50000</v>
      </c>
      <c r="W155" s="183">
        <v>50000</v>
      </c>
      <c r="X155" s="181" t="s">
        <v>822</v>
      </c>
    </row>
    <row r="156" spans="1:24" ht="130.35" customHeight="1" x14ac:dyDescent="0.3">
      <c r="A156" s="181" t="s">
        <v>824</v>
      </c>
      <c r="B156" s="182" t="s">
        <v>339</v>
      </c>
      <c r="C156" s="182" t="s">
        <v>316</v>
      </c>
      <c r="D156" s="182" t="s">
        <v>823</v>
      </c>
      <c r="E156" s="182"/>
      <c r="F156" s="182"/>
      <c r="G156" s="182"/>
      <c r="H156" s="182"/>
      <c r="I156" s="182"/>
      <c r="J156" s="182"/>
      <c r="K156" s="182"/>
      <c r="L156" s="182"/>
      <c r="M156" s="182"/>
      <c r="N156" s="182"/>
      <c r="O156" s="182"/>
      <c r="P156" s="182"/>
      <c r="Q156" s="182"/>
      <c r="R156" s="182"/>
      <c r="S156" s="182" t="s">
        <v>613</v>
      </c>
      <c r="T156" s="181" t="s">
        <v>824</v>
      </c>
      <c r="U156" s="183">
        <v>50000</v>
      </c>
      <c r="V156" s="183">
        <v>50000</v>
      </c>
      <c r="W156" s="183">
        <v>50000</v>
      </c>
      <c r="X156" s="181" t="s">
        <v>824</v>
      </c>
    </row>
    <row r="157" spans="1:24" ht="18.600000000000001" customHeight="1" x14ac:dyDescent="0.3">
      <c r="A157" s="181" t="s">
        <v>825</v>
      </c>
      <c r="B157" s="182" t="s">
        <v>339</v>
      </c>
      <c r="C157" s="182" t="s">
        <v>316</v>
      </c>
      <c r="D157" s="182" t="s">
        <v>826</v>
      </c>
      <c r="E157" s="182"/>
      <c r="F157" s="182"/>
      <c r="G157" s="182"/>
      <c r="H157" s="182"/>
      <c r="I157" s="182"/>
      <c r="J157" s="182"/>
      <c r="K157" s="182"/>
      <c r="L157" s="182"/>
      <c r="M157" s="182"/>
      <c r="N157" s="182"/>
      <c r="O157" s="182"/>
      <c r="P157" s="182"/>
      <c r="Q157" s="182"/>
      <c r="R157" s="182"/>
      <c r="S157" s="182"/>
      <c r="T157" s="181" t="s">
        <v>825</v>
      </c>
      <c r="U157" s="183">
        <v>300000</v>
      </c>
      <c r="V157" s="183">
        <v>300000</v>
      </c>
      <c r="W157" s="183">
        <v>300000</v>
      </c>
      <c r="X157" s="181" t="s">
        <v>825</v>
      </c>
    </row>
    <row r="158" spans="1:24" ht="93" customHeight="1" x14ac:dyDescent="0.3">
      <c r="A158" s="181" t="s">
        <v>827</v>
      </c>
      <c r="B158" s="182" t="s">
        <v>339</v>
      </c>
      <c r="C158" s="182" t="s">
        <v>316</v>
      </c>
      <c r="D158" s="182" t="s">
        <v>826</v>
      </c>
      <c r="E158" s="182"/>
      <c r="F158" s="182"/>
      <c r="G158" s="182"/>
      <c r="H158" s="182"/>
      <c r="I158" s="182"/>
      <c r="J158" s="182"/>
      <c r="K158" s="182"/>
      <c r="L158" s="182"/>
      <c r="M158" s="182"/>
      <c r="N158" s="182"/>
      <c r="O158" s="182"/>
      <c r="P158" s="182"/>
      <c r="Q158" s="182"/>
      <c r="R158" s="182"/>
      <c r="S158" s="182" t="s">
        <v>613</v>
      </c>
      <c r="T158" s="181" t="s">
        <v>827</v>
      </c>
      <c r="U158" s="183">
        <v>300000</v>
      </c>
      <c r="V158" s="183">
        <v>300000</v>
      </c>
      <c r="W158" s="183">
        <v>300000</v>
      </c>
      <c r="X158" s="181" t="s">
        <v>827</v>
      </c>
    </row>
    <row r="159" spans="1:24" ht="37.200000000000003" customHeight="1" x14ac:dyDescent="0.3">
      <c r="A159" s="181" t="s">
        <v>828</v>
      </c>
      <c r="B159" s="182" t="s">
        <v>339</v>
      </c>
      <c r="C159" s="182" t="s">
        <v>316</v>
      </c>
      <c r="D159" s="182" t="s">
        <v>829</v>
      </c>
      <c r="E159" s="182"/>
      <c r="F159" s="182"/>
      <c r="G159" s="182"/>
      <c r="H159" s="182"/>
      <c r="I159" s="182"/>
      <c r="J159" s="182"/>
      <c r="K159" s="182"/>
      <c r="L159" s="182"/>
      <c r="M159" s="182"/>
      <c r="N159" s="182"/>
      <c r="O159" s="182"/>
      <c r="P159" s="182"/>
      <c r="Q159" s="182"/>
      <c r="R159" s="182"/>
      <c r="S159" s="182"/>
      <c r="T159" s="181" t="s">
        <v>828</v>
      </c>
      <c r="U159" s="183">
        <v>3000000</v>
      </c>
      <c r="V159" s="183">
        <v>3500000</v>
      </c>
      <c r="W159" s="183">
        <v>4000000</v>
      </c>
      <c r="X159" s="181" t="s">
        <v>828</v>
      </c>
    </row>
    <row r="160" spans="1:24" ht="111.75" customHeight="1" x14ac:dyDescent="0.3">
      <c r="A160" s="181" t="s">
        <v>830</v>
      </c>
      <c r="B160" s="182" t="s">
        <v>339</v>
      </c>
      <c r="C160" s="182" t="s">
        <v>316</v>
      </c>
      <c r="D160" s="182" t="s">
        <v>829</v>
      </c>
      <c r="E160" s="182"/>
      <c r="F160" s="182"/>
      <c r="G160" s="182"/>
      <c r="H160" s="182"/>
      <c r="I160" s="182"/>
      <c r="J160" s="182"/>
      <c r="K160" s="182"/>
      <c r="L160" s="182"/>
      <c r="M160" s="182"/>
      <c r="N160" s="182"/>
      <c r="O160" s="182"/>
      <c r="P160" s="182"/>
      <c r="Q160" s="182"/>
      <c r="R160" s="182"/>
      <c r="S160" s="182" t="s">
        <v>613</v>
      </c>
      <c r="T160" s="181" t="s">
        <v>830</v>
      </c>
      <c r="U160" s="183">
        <v>3000000</v>
      </c>
      <c r="V160" s="183">
        <v>3500000</v>
      </c>
      <c r="W160" s="183">
        <v>4000000</v>
      </c>
      <c r="X160" s="181" t="s">
        <v>830</v>
      </c>
    </row>
    <row r="161" spans="1:24" ht="55.95" customHeight="1" x14ac:dyDescent="0.3">
      <c r="A161" s="181" t="s">
        <v>831</v>
      </c>
      <c r="B161" s="182" t="s">
        <v>339</v>
      </c>
      <c r="C161" s="182" t="s">
        <v>316</v>
      </c>
      <c r="D161" s="182" t="s">
        <v>832</v>
      </c>
      <c r="E161" s="182"/>
      <c r="F161" s="182"/>
      <c r="G161" s="182"/>
      <c r="H161" s="182"/>
      <c r="I161" s="182"/>
      <c r="J161" s="182"/>
      <c r="K161" s="182"/>
      <c r="L161" s="182"/>
      <c r="M161" s="182"/>
      <c r="N161" s="182"/>
      <c r="O161" s="182"/>
      <c r="P161" s="182"/>
      <c r="Q161" s="182"/>
      <c r="R161" s="182"/>
      <c r="S161" s="182"/>
      <c r="T161" s="181" t="s">
        <v>831</v>
      </c>
      <c r="U161" s="183">
        <v>300000</v>
      </c>
      <c r="V161" s="183">
        <v>300000</v>
      </c>
      <c r="W161" s="183">
        <v>300000</v>
      </c>
      <c r="X161" s="181" t="s">
        <v>831</v>
      </c>
    </row>
    <row r="162" spans="1:24" ht="130.35" customHeight="1" x14ac:dyDescent="0.3">
      <c r="A162" s="181" t="s">
        <v>833</v>
      </c>
      <c r="B162" s="182" t="s">
        <v>339</v>
      </c>
      <c r="C162" s="182" t="s">
        <v>316</v>
      </c>
      <c r="D162" s="182" t="s">
        <v>832</v>
      </c>
      <c r="E162" s="182"/>
      <c r="F162" s="182"/>
      <c r="G162" s="182"/>
      <c r="H162" s="182"/>
      <c r="I162" s="182"/>
      <c r="J162" s="182"/>
      <c r="K162" s="182"/>
      <c r="L162" s="182"/>
      <c r="M162" s="182"/>
      <c r="N162" s="182"/>
      <c r="O162" s="182"/>
      <c r="P162" s="182"/>
      <c r="Q162" s="182"/>
      <c r="R162" s="182"/>
      <c r="S162" s="182" t="s">
        <v>613</v>
      </c>
      <c r="T162" s="181" t="s">
        <v>833</v>
      </c>
      <c r="U162" s="183">
        <v>300000</v>
      </c>
      <c r="V162" s="183">
        <v>300000</v>
      </c>
      <c r="W162" s="183">
        <v>300000</v>
      </c>
      <c r="X162" s="181" t="s">
        <v>833</v>
      </c>
    </row>
    <row r="163" spans="1:24" ht="55.95" customHeight="1" x14ac:dyDescent="0.3">
      <c r="A163" s="181" t="s">
        <v>834</v>
      </c>
      <c r="B163" s="182" t="s">
        <v>339</v>
      </c>
      <c r="C163" s="182" t="s">
        <v>316</v>
      </c>
      <c r="D163" s="182" t="s">
        <v>835</v>
      </c>
      <c r="E163" s="182"/>
      <c r="F163" s="182"/>
      <c r="G163" s="182"/>
      <c r="H163" s="182"/>
      <c r="I163" s="182"/>
      <c r="J163" s="182"/>
      <c r="K163" s="182"/>
      <c r="L163" s="182"/>
      <c r="M163" s="182"/>
      <c r="N163" s="182"/>
      <c r="O163" s="182"/>
      <c r="P163" s="182"/>
      <c r="Q163" s="182"/>
      <c r="R163" s="182"/>
      <c r="S163" s="182"/>
      <c r="T163" s="181" t="s">
        <v>834</v>
      </c>
      <c r="U163" s="183">
        <v>1650000</v>
      </c>
      <c r="V163" s="183">
        <v>1650000</v>
      </c>
      <c r="W163" s="183">
        <v>1650000</v>
      </c>
      <c r="X163" s="181" t="s">
        <v>834</v>
      </c>
    </row>
    <row r="164" spans="1:24" ht="130.35" customHeight="1" x14ac:dyDescent="0.3">
      <c r="A164" s="181" t="s">
        <v>836</v>
      </c>
      <c r="B164" s="182" t="s">
        <v>339</v>
      </c>
      <c r="C164" s="182" t="s">
        <v>316</v>
      </c>
      <c r="D164" s="182" t="s">
        <v>835</v>
      </c>
      <c r="E164" s="182"/>
      <c r="F164" s="182"/>
      <c r="G164" s="182"/>
      <c r="H164" s="182"/>
      <c r="I164" s="182"/>
      <c r="J164" s="182"/>
      <c r="K164" s="182"/>
      <c r="L164" s="182"/>
      <c r="M164" s="182"/>
      <c r="N164" s="182"/>
      <c r="O164" s="182"/>
      <c r="P164" s="182"/>
      <c r="Q164" s="182"/>
      <c r="R164" s="182"/>
      <c r="S164" s="182" t="s">
        <v>613</v>
      </c>
      <c r="T164" s="181" t="s">
        <v>836</v>
      </c>
      <c r="U164" s="183">
        <v>1650000</v>
      </c>
      <c r="V164" s="183">
        <v>1650000</v>
      </c>
      <c r="W164" s="183">
        <v>1650000</v>
      </c>
      <c r="X164" s="181" t="s">
        <v>836</v>
      </c>
    </row>
    <row r="165" spans="1:24" ht="74.400000000000006" customHeight="1" x14ac:dyDescent="0.3">
      <c r="A165" s="181" t="s">
        <v>837</v>
      </c>
      <c r="B165" s="182" t="s">
        <v>339</v>
      </c>
      <c r="C165" s="182" t="s">
        <v>316</v>
      </c>
      <c r="D165" s="182" t="s">
        <v>838</v>
      </c>
      <c r="E165" s="182"/>
      <c r="F165" s="182"/>
      <c r="G165" s="182"/>
      <c r="H165" s="182"/>
      <c r="I165" s="182"/>
      <c r="J165" s="182"/>
      <c r="K165" s="182"/>
      <c r="L165" s="182"/>
      <c r="M165" s="182"/>
      <c r="N165" s="182"/>
      <c r="O165" s="182"/>
      <c r="P165" s="182"/>
      <c r="Q165" s="182"/>
      <c r="R165" s="182"/>
      <c r="S165" s="182"/>
      <c r="T165" s="181" t="s">
        <v>837</v>
      </c>
      <c r="U165" s="183">
        <v>79740646.790000007</v>
      </c>
      <c r="V165" s="183">
        <v>79740646.790000007</v>
      </c>
      <c r="W165" s="183">
        <v>79740646.790000007</v>
      </c>
      <c r="X165" s="181" t="s">
        <v>837</v>
      </c>
    </row>
    <row r="166" spans="1:24" ht="148.94999999999999" customHeight="1" x14ac:dyDescent="0.3">
      <c r="A166" s="181" t="s">
        <v>839</v>
      </c>
      <c r="B166" s="182" t="s">
        <v>339</v>
      </c>
      <c r="C166" s="182" t="s">
        <v>316</v>
      </c>
      <c r="D166" s="182" t="s">
        <v>838</v>
      </c>
      <c r="E166" s="182"/>
      <c r="F166" s="182"/>
      <c r="G166" s="182"/>
      <c r="H166" s="182"/>
      <c r="I166" s="182"/>
      <c r="J166" s="182"/>
      <c r="K166" s="182"/>
      <c r="L166" s="182"/>
      <c r="M166" s="182"/>
      <c r="N166" s="182"/>
      <c r="O166" s="182"/>
      <c r="P166" s="182"/>
      <c r="Q166" s="182"/>
      <c r="R166" s="182"/>
      <c r="S166" s="182" t="s">
        <v>613</v>
      </c>
      <c r="T166" s="181" t="s">
        <v>839</v>
      </c>
      <c r="U166" s="183">
        <v>79740646.790000007</v>
      </c>
      <c r="V166" s="183">
        <v>79740646.790000007</v>
      </c>
      <c r="W166" s="183">
        <v>79740646.790000007</v>
      </c>
      <c r="X166" s="181" t="s">
        <v>839</v>
      </c>
    </row>
    <row r="167" spans="1:24" ht="74.400000000000006" customHeight="1" x14ac:dyDescent="0.3">
      <c r="A167" s="181" t="s">
        <v>915</v>
      </c>
      <c r="B167" s="182" t="s">
        <v>339</v>
      </c>
      <c r="C167" s="182" t="s">
        <v>316</v>
      </c>
      <c r="D167" s="182" t="s">
        <v>916</v>
      </c>
      <c r="E167" s="182"/>
      <c r="F167" s="182"/>
      <c r="G167" s="182"/>
      <c r="H167" s="182"/>
      <c r="I167" s="182"/>
      <c r="J167" s="182"/>
      <c r="K167" s="182"/>
      <c r="L167" s="182"/>
      <c r="M167" s="182"/>
      <c r="N167" s="182"/>
      <c r="O167" s="182"/>
      <c r="P167" s="182"/>
      <c r="Q167" s="182"/>
      <c r="R167" s="182"/>
      <c r="S167" s="182"/>
      <c r="T167" s="181" t="s">
        <v>915</v>
      </c>
      <c r="U167" s="183">
        <v>8098730</v>
      </c>
      <c r="V167" s="183">
        <v>8479370.3100000005</v>
      </c>
      <c r="W167" s="183">
        <v>8843983.2300000004</v>
      </c>
      <c r="X167" s="181" t="s">
        <v>915</v>
      </c>
    </row>
    <row r="168" spans="1:24" ht="148.94999999999999" customHeight="1" x14ac:dyDescent="0.3">
      <c r="A168" s="181" t="s">
        <v>917</v>
      </c>
      <c r="B168" s="182" t="s">
        <v>339</v>
      </c>
      <c r="C168" s="182" t="s">
        <v>316</v>
      </c>
      <c r="D168" s="182" t="s">
        <v>916</v>
      </c>
      <c r="E168" s="182"/>
      <c r="F168" s="182"/>
      <c r="G168" s="182"/>
      <c r="H168" s="182"/>
      <c r="I168" s="182"/>
      <c r="J168" s="182"/>
      <c r="K168" s="182"/>
      <c r="L168" s="182"/>
      <c r="M168" s="182"/>
      <c r="N168" s="182"/>
      <c r="O168" s="182"/>
      <c r="P168" s="182"/>
      <c r="Q168" s="182"/>
      <c r="R168" s="182"/>
      <c r="S168" s="182" t="s">
        <v>613</v>
      </c>
      <c r="T168" s="181" t="s">
        <v>917</v>
      </c>
      <c r="U168" s="183">
        <v>8098730</v>
      </c>
      <c r="V168" s="183">
        <v>8479370.3100000005</v>
      </c>
      <c r="W168" s="183">
        <v>8843983.2300000004</v>
      </c>
      <c r="X168" s="181" t="s">
        <v>917</v>
      </c>
    </row>
    <row r="169" spans="1:24" ht="74.400000000000006" customHeight="1" x14ac:dyDescent="0.3">
      <c r="A169" s="181" t="s">
        <v>840</v>
      </c>
      <c r="B169" s="182" t="s">
        <v>339</v>
      </c>
      <c r="C169" s="182" t="s">
        <v>316</v>
      </c>
      <c r="D169" s="182" t="s">
        <v>841</v>
      </c>
      <c r="E169" s="182"/>
      <c r="F169" s="182"/>
      <c r="G169" s="182"/>
      <c r="H169" s="182"/>
      <c r="I169" s="182"/>
      <c r="J169" s="182"/>
      <c r="K169" s="182"/>
      <c r="L169" s="182"/>
      <c r="M169" s="182"/>
      <c r="N169" s="182"/>
      <c r="O169" s="182"/>
      <c r="P169" s="182"/>
      <c r="Q169" s="182"/>
      <c r="R169" s="182"/>
      <c r="S169" s="182"/>
      <c r="T169" s="181" t="s">
        <v>840</v>
      </c>
      <c r="U169" s="183">
        <v>7874294</v>
      </c>
      <c r="V169" s="183">
        <v>7874294</v>
      </c>
      <c r="W169" s="183">
        <v>7874294</v>
      </c>
      <c r="X169" s="181" t="s">
        <v>840</v>
      </c>
    </row>
    <row r="170" spans="1:24" ht="148.94999999999999" customHeight="1" x14ac:dyDescent="0.3">
      <c r="A170" s="181" t="s">
        <v>842</v>
      </c>
      <c r="B170" s="182" t="s">
        <v>339</v>
      </c>
      <c r="C170" s="182" t="s">
        <v>316</v>
      </c>
      <c r="D170" s="182" t="s">
        <v>841</v>
      </c>
      <c r="E170" s="182"/>
      <c r="F170" s="182"/>
      <c r="G170" s="182"/>
      <c r="H170" s="182"/>
      <c r="I170" s="182"/>
      <c r="J170" s="182"/>
      <c r="K170" s="182"/>
      <c r="L170" s="182"/>
      <c r="M170" s="182"/>
      <c r="N170" s="182"/>
      <c r="O170" s="182"/>
      <c r="P170" s="182"/>
      <c r="Q170" s="182"/>
      <c r="R170" s="182"/>
      <c r="S170" s="182" t="s">
        <v>613</v>
      </c>
      <c r="T170" s="181" t="s">
        <v>842</v>
      </c>
      <c r="U170" s="183">
        <v>7874294</v>
      </c>
      <c r="V170" s="183">
        <v>7874294</v>
      </c>
      <c r="W170" s="183">
        <v>7874294</v>
      </c>
      <c r="X170" s="181" t="s">
        <v>842</v>
      </c>
    </row>
    <row r="171" spans="1:24" ht="37.200000000000003" customHeight="1" x14ac:dyDescent="0.3">
      <c r="A171" s="181" t="s">
        <v>725</v>
      </c>
      <c r="B171" s="182" t="s">
        <v>339</v>
      </c>
      <c r="C171" s="182" t="s">
        <v>316</v>
      </c>
      <c r="D171" s="182" t="s">
        <v>726</v>
      </c>
      <c r="E171" s="182"/>
      <c r="F171" s="182"/>
      <c r="G171" s="182"/>
      <c r="H171" s="182"/>
      <c r="I171" s="182"/>
      <c r="J171" s="182"/>
      <c r="K171" s="182"/>
      <c r="L171" s="182"/>
      <c r="M171" s="182"/>
      <c r="N171" s="182"/>
      <c r="O171" s="182"/>
      <c r="P171" s="182"/>
      <c r="Q171" s="182"/>
      <c r="R171" s="182"/>
      <c r="S171" s="182"/>
      <c r="T171" s="181" t="s">
        <v>725</v>
      </c>
      <c r="U171" s="183">
        <f>U172+U173</f>
        <v>11500000</v>
      </c>
      <c r="V171" s="183">
        <v>6500000</v>
      </c>
      <c r="W171" s="183">
        <v>6500000</v>
      </c>
      <c r="X171" s="181" t="s">
        <v>725</v>
      </c>
    </row>
    <row r="172" spans="1:24" ht="93" customHeight="1" x14ac:dyDescent="0.3">
      <c r="A172" s="181" t="s">
        <v>727</v>
      </c>
      <c r="B172" s="182" t="s">
        <v>339</v>
      </c>
      <c r="C172" s="182" t="s">
        <v>316</v>
      </c>
      <c r="D172" s="182" t="s">
        <v>726</v>
      </c>
      <c r="E172" s="182"/>
      <c r="F172" s="182"/>
      <c r="G172" s="182"/>
      <c r="H172" s="182"/>
      <c r="I172" s="182"/>
      <c r="J172" s="182"/>
      <c r="K172" s="182"/>
      <c r="L172" s="182"/>
      <c r="M172" s="182"/>
      <c r="N172" s="182"/>
      <c r="O172" s="182"/>
      <c r="P172" s="182"/>
      <c r="Q172" s="182"/>
      <c r="R172" s="182"/>
      <c r="S172" s="182" t="s">
        <v>586</v>
      </c>
      <c r="T172" s="181" t="s">
        <v>727</v>
      </c>
      <c r="U172" s="183">
        <f>6000000+2000000</f>
        <v>8000000</v>
      </c>
      <c r="V172" s="183">
        <v>3000000</v>
      </c>
      <c r="W172" s="183">
        <v>3000000</v>
      </c>
      <c r="X172" s="181" t="s">
        <v>727</v>
      </c>
    </row>
    <row r="173" spans="1:24" ht="111.75" customHeight="1" x14ac:dyDescent="0.3">
      <c r="A173" s="181" t="s">
        <v>843</v>
      </c>
      <c r="B173" s="182" t="s">
        <v>339</v>
      </c>
      <c r="C173" s="182" t="s">
        <v>316</v>
      </c>
      <c r="D173" s="182" t="s">
        <v>726</v>
      </c>
      <c r="E173" s="182"/>
      <c r="F173" s="182"/>
      <c r="G173" s="182"/>
      <c r="H173" s="182"/>
      <c r="I173" s="182"/>
      <c r="J173" s="182"/>
      <c r="K173" s="182"/>
      <c r="L173" s="182"/>
      <c r="M173" s="182"/>
      <c r="N173" s="182"/>
      <c r="O173" s="182"/>
      <c r="P173" s="182"/>
      <c r="Q173" s="182"/>
      <c r="R173" s="182"/>
      <c r="S173" s="182" t="s">
        <v>613</v>
      </c>
      <c r="T173" s="181" t="s">
        <v>843</v>
      </c>
      <c r="U173" s="183">
        <v>3500000</v>
      </c>
      <c r="V173" s="183">
        <v>3500000</v>
      </c>
      <c r="W173" s="183">
        <v>3500000</v>
      </c>
      <c r="X173" s="181" t="s">
        <v>843</v>
      </c>
    </row>
    <row r="174" spans="1:24" ht="37.200000000000003" customHeight="1" x14ac:dyDescent="0.3">
      <c r="A174" s="181" t="s">
        <v>844</v>
      </c>
      <c r="B174" s="182" t="s">
        <v>339</v>
      </c>
      <c r="C174" s="182" t="s">
        <v>316</v>
      </c>
      <c r="D174" s="182" t="s">
        <v>845</v>
      </c>
      <c r="E174" s="182"/>
      <c r="F174" s="182"/>
      <c r="G174" s="182"/>
      <c r="H174" s="182"/>
      <c r="I174" s="182"/>
      <c r="J174" s="182"/>
      <c r="K174" s="182"/>
      <c r="L174" s="182"/>
      <c r="M174" s="182"/>
      <c r="N174" s="182"/>
      <c r="O174" s="182"/>
      <c r="P174" s="182"/>
      <c r="Q174" s="182"/>
      <c r="R174" s="182"/>
      <c r="S174" s="182"/>
      <c r="T174" s="181" t="s">
        <v>844</v>
      </c>
      <c r="U174" s="183">
        <v>300000</v>
      </c>
      <c r="V174" s="183">
        <v>300000</v>
      </c>
      <c r="W174" s="183">
        <v>300000</v>
      </c>
      <c r="X174" s="181" t="s">
        <v>844</v>
      </c>
    </row>
    <row r="175" spans="1:24" ht="93" customHeight="1" x14ac:dyDescent="0.3">
      <c r="A175" s="181" t="s">
        <v>846</v>
      </c>
      <c r="B175" s="182" t="s">
        <v>339</v>
      </c>
      <c r="C175" s="182" t="s">
        <v>316</v>
      </c>
      <c r="D175" s="182" t="s">
        <v>845</v>
      </c>
      <c r="E175" s="182"/>
      <c r="F175" s="182"/>
      <c r="G175" s="182"/>
      <c r="H175" s="182"/>
      <c r="I175" s="182"/>
      <c r="J175" s="182"/>
      <c r="K175" s="182"/>
      <c r="L175" s="182"/>
      <c r="M175" s="182"/>
      <c r="N175" s="182"/>
      <c r="O175" s="182"/>
      <c r="P175" s="182"/>
      <c r="Q175" s="182"/>
      <c r="R175" s="182"/>
      <c r="S175" s="182" t="s">
        <v>613</v>
      </c>
      <c r="T175" s="181" t="s">
        <v>846</v>
      </c>
      <c r="U175" s="183">
        <v>300000</v>
      </c>
      <c r="V175" s="183">
        <v>300000</v>
      </c>
      <c r="W175" s="183">
        <v>300000</v>
      </c>
      <c r="X175" s="181" t="s">
        <v>846</v>
      </c>
    </row>
    <row r="176" spans="1:24" ht="111.75" customHeight="1" x14ac:dyDescent="0.3">
      <c r="A176" s="181" t="s">
        <v>847</v>
      </c>
      <c r="B176" s="182" t="s">
        <v>339</v>
      </c>
      <c r="C176" s="182" t="s">
        <v>316</v>
      </c>
      <c r="D176" s="182" t="s">
        <v>848</v>
      </c>
      <c r="E176" s="182"/>
      <c r="F176" s="182"/>
      <c r="G176" s="182"/>
      <c r="H176" s="182"/>
      <c r="I176" s="182"/>
      <c r="J176" s="182"/>
      <c r="K176" s="182"/>
      <c r="L176" s="182"/>
      <c r="M176" s="182"/>
      <c r="N176" s="182"/>
      <c r="O176" s="182"/>
      <c r="P176" s="182"/>
      <c r="Q176" s="182"/>
      <c r="R176" s="182"/>
      <c r="S176" s="182"/>
      <c r="T176" s="181" t="s">
        <v>847</v>
      </c>
      <c r="U176" s="183">
        <v>50000</v>
      </c>
      <c r="V176" s="183">
        <v>50000</v>
      </c>
      <c r="W176" s="183">
        <v>50000</v>
      </c>
      <c r="X176" s="181" t="s">
        <v>847</v>
      </c>
    </row>
    <row r="177" spans="1:24" ht="167.7" customHeight="1" x14ac:dyDescent="0.3">
      <c r="A177" s="181" t="s">
        <v>849</v>
      </c>
      <c r="B177" s="182" t="s">
        <v>339</v>
      </c>
      <c r="C177" s="182" t="s">
        <v>316</v>
      </c>
      <c r="D177" s="182" t="s">
        <v>848</v>
      </c>
      <c r="E177" s="182"/>
      <c r="F177" s="182"/>
      <c r="G177" s="182"/>
      <c r="H177" s="182"/>
      <c r="I177" s="182"/>
      <c r="J177" s="182"/>
      <c r="K177" s="182"/>
      <c r="L177" s="182"/>
      <c r="M177" s="182"/>
      <c r="N177" s="182"/>
      <c r="O177" s="182"/>
      <c r="P177" s="182"/>
      <c r="Q177" s="182"/>
      <c r="R177" s="182"/>
      <c r="S177" s="182" t="s">
        <v>613</v>
      </c>
      <c r="T177" s="181" t="s">
        <v>849</v>
      </c>
      <c r="U177" s="183">
        <v>50000</v>
      </c>
      <c r="V177" s="183">
        <v>50000</v>
      </c>
      <c r="W177" s="183">
        <v>50000</v>
      </c>
      <c r="X177" s="181" t="s">
        <v>849</v>
      </c>
    </row>
    <row r="178" spans="1:24" ht="335.1" customHeight="1" x14ac:dyDescent="0.3">
      <c r="A178" s="187" t="s">
        <v>518</v>
      </c>
      <c r="B178" s="182" t="s">
        <v>339</v>
      </c>
      <c r="C178" s="182" t="s">
        <v>316</v>
      </c>
      <c r="D178" s="182" t="s">
        <v>850</v>
      </c>
      <c r="E178" s="182"/>
      <c r="F178" s="182"/>
      <c r="G178" s="182"/>
      <c r="H178" s="182"/>
      <c r="I178" s="182"/>
      <c r="J178" s="182"/>
      <c r="K178" s="182"/>
      <c r="L178" s="182"/>
      <c r="M178" s="182"/>
      <c r="N178" s="182"/>
      <c r="O178" s="182"/>
      <c r="P178" s="182"/>
      <c r="Q178" s="182"/>
      <c r="R178" s="182"/>
      <c r="S178" s="182"/>
      <c r="T178" s="187" t="s">
        <v>518</v>
      </c>
      <c r="U178" s="183">
        <f>U179</f>
        <v>159292449.16999999</v>
      </c>
      <c r="V178" s="183">
        <v>159292400</v>
      </c>
      <c r="W178" s="183">
        <v>122121300</v>
      </c>
      <c r="X178" s="187" t="s">
        <v>518</v>
      </c>
    </row>
    <row r="179" spans="1:24" ht="409.5" customHeight="1" x14ac:dyDescent="0.3">
      <c r="A179" s="187" t="s">
        <v>851</v>
      </c>
      <c r="B179" s="182" t="s">
        <v>339</v>
      </c>
      <c r="C179" s="182" t="s">
        <v>316</v>
      </c>
      <c r="D179" s="182" t="s">
        <v>850</v>
      </c>
      <c r="E179" s="182"/>
      <c r="F179" s="182"/>
      <c r="G179" s="182"/>
      <c r="H179" s="182"/>
      <c r="I179" s="182"/>
      <c r="J179" s="182"/>
      <c r="K179" s="182"/>
      <c r="L179" s="182"/>
      <c r="M179" s="182"/>
      <c r="N179" s="182"/>
      <c r="O179" s="182"/>
      <c r="P179" s="182"/>
      <c r="Q179" s="182"/>
      <c r="R179" s="182"/>
      <c r="S179" s="182" t="s">
        <v>613</v>
      </c>
      <c r="T179" s="187" t="s">
        <v>851</v>
      </c>
      <c r="U179" s="183">
        <f>159292400+49.17</f>
        <v>159292449.16999999</v>
      </c>
      <c r="V179" s="183">
        <v>159292400</v>
      </c>
      <c r="W179" s="183">
        <v>122121300</v>
      </c>
      <c r="X179" s="187" t="s">
        <v>851</v>
      </c>
    </row>
    <row r="180" spans="1:24" ht="37.200000000000003" customHeight="1" x14ac:dyDescent="0.3">
      <c r="A180" s="181" t="s">
        <v>852</v>
      </c>
      <c r="B180" s="182" t="s">
        <v>339</v>
      </c>
      <c r="C180" s="182" t="s">
        <v>316</v>
      </c>
      <c r="D180" s="182" t="s">
        <v>853</v>
      </c>
      <c r="E180" s="182"/>
      <c r="F180" s="182"/>
      <c r="G180" s="182"/>
      <c r="H180" s="182"/>
      <c r="I180" s="182"/>
      <c r="J180" s="182"/>
      <c r="K180" s="182"/>
      <c r="L180" s="182"/>
      <c r="M180" s="182"/>
      <c r="N180" s="182"/>
      <c r="O180" s="182"/>
      <c r="P180" s="182"/>
      <c r="Q180" s="182"/>
      <c r="R180" s="182"/>
      <c r="S180" s="182"/>
      <c r="T180" s="181" t="s">
        <v>852</v>
      </c>
      <c r="U180" s="183">
        <v>80000</v>
      </c>
      <c r="V180" s="183">
        <v>80000</v>
      </c>
      <c r="W180" s="183">
        <v>80000</v>
      </c>
      <c r="X180" s="181" t="s">
        <v>852</v>
      </c>
    </row>
    <row r="181" spans="1:24" ht="93" customHeight="1" x14ac:dyDescent="0.3">
      <c r="A181" s="181" t="s">
        <v>854</v>
      </c>
      <c r="B181" s="182" t="s">
        <v>339</v>
      </c>
      <c r="C181" s="182" t="s">
        <v>316</v>
      </c>
      <c r="D181" s="182" t="s">
        <v>853</v>
      </c>
      <c r="E181" s="182"/>
      <c r="F181" s="182"/>
      <c r="G181" s="182"/>
      <c r="H181" s="182"/>
      <c r="I181" s="182"/>
      <c r="J181" s="182"/>
      <c r="K181" s="182"/>
      <c r="L181" s="182"/>
      <c r="M181" s="182"/>
      <c r="N181" s="182"/>
      <c r="O181" s="182"/>
      <c r="P181" s="182"/>
      <c r="Q181" s="182"/>
      <c r="R181" s="182"/>
      <c r="S181" s="182" t="s">
        <v>613</v>
      </c>
      <c r="T181" s="181" t="s">
        <v>854</v>
      </c>
      <c r="U181" s="183">
        <v>80000</v>
      </c>
      <c r="V181" s="183">
        <v>80000</v>
      </c>
      <c r="W181" s="183">
        <v>80000</v>
      </c>
      <c r="X181" s="181" t="s">
        <v>854</v>
      </c>
    </row>
    <row r="182" spans="1:24" ht="37.200000000000003" customHeight="1" x14ac:dyDescent="0.3">
      <c r="A182" s="181" t="s">
        <v>855</v>
      </c>
      <c r="B182" s="182" t="s">
        <v>339</v>
      </c>
      <c r="C182" s="182" t="s">
        <v>316</v>
      </c>
      <c r="D182" s="182" t="s">
        <v>856</v>
      </c>
      <c r="E182" s="182"/>
      <c r="F182" s="182"/>
      <c r="G182" s="182"/>
      <c r="H182" s="182"/>
      <c r="I182" s="182"/>
      <c r="J182" s="182"/>
      <c r="K182" s="182"/>
      <c r="L182" s="182"/>
      <c r="M182" s="182"/>
      <c r="N182" s="182"/>
      <c r="O182" s="182"/>
      <c r="P182" s="182"/>
      <c r="Q182" s="182"/>
      <c r="R182" s="182"/>
      <c r="S182" s="182"/>
      <c r="T182" s="181" t="s">
        <v>855</v>
      </c>
      <c r="U182" s="183">
        <v>50000</v>
      </c>
      <c r="V182" s="183">
        <v>50000</v>
      </c>
      <c r="W182" s="183">
        <v>50000</v>
      </c>
      <c r="X182" s="181" t="s">
        <v>855</v>
      </c>
    </row>
    <row r="183" spans="1:24" ht="111.75" customHeight="1" x14ac:dyDescent="0.3">
      <c r="A183" s="181" t="s">
        <v>857</v>
      </c>
      <c r="B183" s="182" t="s">
        <v>339</v>
      </c>
      <c r="C183" s="182" t="s">
        <v>316</v>
      </c>
      <c r="D183" s="182" t="s">
        <v>856</v>
      </c>
      <c r="E183" s="182"/>
      <c r="F183" s="182"/>
      <c r="G183" s="182"/>
      <c r="H183" s="182"/>
      <c r="I183" s="182"/>
      <c r="J183" s="182"/>
      <c r="K183" s="182"/>
      <c r="L183" s="182"/>
      <c r="M183" s="182"/>
      <c r="N183" s="182"/>
      <c r="O183" s="182"/>
      <c r="P183" s="182"/>
      <c r="Q183" s="182"/>
      <c r="R183" s="182"/>
      <c r="S183" s="182" t="s">
        <v>613</v>
      </c>
      <c r="T183" s="181" t="s">
        <v>857</v>
      </c>
      <c r="U183" s="183">
        <v>50000</v>
      </c>
      <c r="V183" s="183">
        <v>50000</v>
      </c>
      <c r="W183" s="183">
        <v>50000</v>
      </c>
      <c r="X183" s="181" t="s">
        <v>857</v>
      </c>
    </row>
    <row r="184" spans="1:24" ht="55.95" customHeight="1" x14ac:dyDescent="0.3">
      <c r="A184" s="181" t="s">
        <v>858</v>
      </c>
      <c r="B184" s="182" t="s">
        <v>339</v>
      </c>
      <c r="C184" s="182" t="s">
        <v>316</v>
      </c>
      <c r="D184" s="182" t="s">
        <v>859</v>
      </c>
      <c r="E184" s="182"/>
      <c r="F184" s="182"/>
      <c r="G184" s="182"/>
      <c r="H184" s="182"/>
      <c r="I184" s="182"/>
      <c r="J184" s="182"/>
      <c r="K184" s="182"/>
      <c r="L184" s="182"/>
      <c r="M184" s="182"/>
      <c r="N184" s="182"/>
      <c r="O184" s="182"/>
      <c r="P184" s="182"/>
      <c r="Q184" s="182"/>
      <c r="R184" s="182"/>
      <c r="S184" s="182"/>
      <c r="T184" s="181" t="s">
        <v>858</v>
      </c>
      <c r="U184" s="183">
        <v>20000</v>
      </c>
      <c r="V184" s="183">
        <v>20000</v>
      </c>
      <c r="W184" s="183">
        <v>20000</v>
      </c>
      <c r="X184" s="181" t="s">
        <v>858</v>
      </c>
    </row>
    <row r="185" spans="1:24" ht="111.75" customHeight="1" x14ac:dyDescent="0.3">
      <c r="A185" s="181" t="s">
        <v>860</v>
      </c>
      <c r="B185" s="182" t="s">
        <v>339</v>
      </c>
      <c r="C185" s="182" t="s">
        <v>316</v>
      </c>
      <c r="D185" s="182" t="s">
        <v>859</v>
      </c>
      <c r="E185" s="182"/>
      <c r="F185" s="182"/>
      <c r="G185" s="182"/>
      <c r="H185" s="182"/>
      <c r="I185" s="182"/>
      <c r="J185" s="182"/>
      <c r="K185" s="182"/>
      <c r="L185" s="182"/>
      <c r="M185" s="182"/>
      <c r="N185" s="182"/>
      <c r="O185" s="182"/>
      <c r="P185" s="182"/>
      <c r="Q185" s="182"/>
      <c r="R185" s="182"/>
      <c r="S185" s="182" t="s">
        <v>613</v>
      </c>
      <c r="T185" s="181" t="s">
        <v>860</v>
      </c>
      <c r="U185" s="183">
        <v>20000</v>
      </c>
      <c r="V185" s="183">
        <v>20000</v>
      </c>
      <c r="W185" s="183">
        <v>20000</v>
      </c>
      <c r="X185" s="181" t="s">
        <v>860</v>
      </c>
    </row>
    <row r="186" spans="1:24" ht="111.75" customHeight="1" x14ac:dyDescent="0.3">
      <c r="A186" s="181" t="s">
        <v>861</v>
      </c>
      <c r="B186" s="182" t="s">
        <v>339</v>
      </c>
      <c r="C186" s="182" t="s">
        <v>316</v>
      </c>
      <c r="D186" s="182" t="s">
        <v>862</v>
      </c>
      <c r="E186" s="182"/>
      <c r="F186" s="182"/>
      <c r="G186" s="182"/>
      <c r="H186" s="182"/>
      <c r="I186" s="182"/>
      <c r="J186" s="182"/>
      <c r="K186" s="182"/>
      <c r="L186" s="182"/>
      <c r="M186" s="182"/>
      <c r="N186" s="182"/>
      <c r="O186" s="182"/>
      <c r="P186" s="182"/>
      <c r="Q186" s="182"/>
      <c r="R186" s="182"/>
      <c r="S186" s="182"/>
      <c r="T186" s="181" t="s">
        <v>861</v>
      </c>
      <c r="U186" s="183">
        <v>57000</v>
      </c>
      <c r="V186" s="183">
        <v>57000</v>
      </c>
      <c r="W186" s="183">
        <v>57000</v>
      </c>
      <c r="X186" s="181" t="s">
        <v>861</v>
      </c>
    </row>
    <row r="187" spans="1:24" ht="167.7" customHeight="1" x14ac:dyDescent="0.3">
      <c r="A187" s="181" t="s">
        <v>863</v>
      </c>
      <c r="B187" s="182" t="s">
        <v>339</v>
      </c>
      <c r="C187" s="182" t="s">
        <v>316</v>
      </c>
      <c r="D187" s="182" t="s">
        <v>862</v>
      </c>
      <c r="E187" s="182"/>
      <c r="F187" s="182"/>
      <c r="G187" s="182"/>
      <c r="H187" s="182"/>
      <c r="I187" s="182"/>
      <c r="J187" s="182"/>
      <c r="K187" s="182"/>
      <c r="L187" s="182"/>
      <c r="M187" s="182"/>
      <c r="N187" s="182"/>
      <c r="O187" s="182"/>
      <c r="P187" s="182"/>
      <c r="Q187" s="182"/>
      <c r="R187" s="182"/>
      <c r="S187" s="182" t="s">
        <v>613</v>
      </c>
      <c r="T187" s="181" t="s">
        <v>863</v>
      </c>
      <c r="U187" s="183">
        <v>57000</v>
      </c>
      <c r="V187" s="183">
        <v>57000</v>
      </c>
      <c r="W187" s="183">
        <v>57000</v>
      </c>
      <c r="X187" s="181" t="s">
        <v>863</v>
      </c>
    </row>
    <row r="188" spans="1:24" ht="37.200000000000003" customHeight="1" x14ac:dyDescent="0.3">
      <c r="A188" s="181" t="s">
        <v>363</v>
      </c>
      <c r="B188" s="182" t="s">
        <v>339</v>
      </c>
      <c r="C188" s="182" t="s">
        <v>339</v>
      </c>
      <c r="D188" s="182"/>
      <c r="E188" s="182"/>
      <c r="F188" s="182"/>
      <c r="G188" s="182"/>
      <c r="H188" s="182"/>
      <c r="I188" s="182"/>
      <c r="J188" s="182"/>
      <c r="K188" s="182"/>
      <c r="L188" s="182"/>
      <c r="M188" s="182"/>
      <c r="N188" s="182"/>
      <c r="O188" s="182"/>
      <c r="P188" s="182"/>
      <c r="Q188" s="182"/>
      <c r="R188" s="182"/>
      <c r="S188" s="182"/>
      <c r="T188" s="181" t="s">
        <v>363</v>
      </c>
      <c r="U188" s="183">
        <f>U189+U191+U193+U195+U197+U199+U201</f>
        <v>1997000</v>
      </c>
      <c r="V188" s="183">
        <v>2600000</v>
      </c>
      <c r="W188" s="183">
        <v>3150000</v>
      </c>
      <c r="X188" s="181" t="s">
        <v>363</v>
      </c>
    </row>
    <row r="189" spans="1:24" ht="55.95" customHeight="1" x14ac:dyDescent="0.3">
      <c r="A189" s="181" t="s">
        <v>728</v>
      </c>
      <c r="B189" s="182" t="s">
        <v>339</v>
      </c>
      <c r="C189" s="182" t="s">
        <v>339</v>
      </c>
      <c r="D189" s="182" t="s">
        <v>729</v>
      </c>
      <c r="E189" s="182"/>
      <c r="F189" s="182"/>
      <c r="G189" s="182"/>
      <c r="H189" s="182"/>
      <c r="I189" s="182"/>
      <c r="J189" s="182"/>
      <c r="K189" s="182"/>
      <c r="L189" s="182"/>
      <c r="M189" s="182"/>
      <c r="N189" s="182"/>
      <c r="O189" s="182"/>
      <c r="P189" s="182"/>
      <c r="Q189" s="182"/>
      <c r="R189" s="182"/>
      <c r="S189" s="182"/>
      <c r="T189" s="181" t="s">
        <v>728</v>
      </c>
      <c r="U189" s="183">
        <f>U190</f>
        <v>47000</v>
      </c>
      <c r="V189" s="183">
        <v>150000</v>
      </c>
      <c r="W189" s="183">
        <v>200000</v>
      </c>
      <c r="X189" s="181" t="s">
        <v>728</v>
      </c>
    </row>
    <row r="190" spans="1:24" ht="111.75" customHeight="1" x14ac:dyDescent="0.3">
      <c r="A190" s="181" t="s">
        <v>730</v>
      </c>
      <c r="B190" s="182" t="s">
        <v>339</v>
      </c>
      <c r="C190" s="182" t="s">
        <v>339</v>
      </c>
      <c r="D190" s="182" t="s">
        <v>729</v>
      </c>
      <c r="E190" s="182"/>
      <c r="F190" s="182"/>
      <c r="G190" s="182"/>
      <c r="H190" s="182"/>
      <c r="I190" s="182"/>
      <c r="J190" s="182"/>
      <c r="K190" s="182"/>
      <c r="L190" s="182"/>
      <c r="M190" s="182"/>
      <c r="N190" s="182"/>
      <c r="O190" s="182"/>
      <c r="P190" s="182"/>
      <c r="Q190" s="182"/>
      <c r="R190" s="182"/>
      <c r="S190" s="182" t="s">
        <v>586</v>
      </c>
      <c r="T190" s="181" t="s">
        <v>730</v>
      </c>
      <c r="U190" s="183">
        <f>100000-53000</f>
        <v>47000</v>
      </c>
      <c r="V190" s="183">
        <v>150000</v>
      </c>
      <c r="W190" s="183">
        <v>200000</v>
      </c>
      <c r="X190" s="181" t="s">
        <v>730</v>
      </c>
    </row>
    <row r="191" spans="1:24" ht="55.95" customHeight="1" x14ac:dyDescent="0.3">
      <c r="A191" s="181" t="s">
        <v>731</v>
      </c>
      <c r="B191" s="182" t="s">
        <v>339</v>
      </c>
      <c r="C191" s="182" t="s">
        <v>339</v>
      </c>
      <c r="D191" s="182" t="s">
        <v>732</v>
      </c>
      <c r="E191" s="182"/>
      <c r="F191" s="182"/>
      <c r="G191" s="182"/>
      <c r="H191" s="182"/>
      <c r="I191" s="182"/>
      <c r="J191" s="182"/>
      <c r="K191" s="182"/>
      <c r="L191" s="182"/>
      <c r="M191" s="182"/>
      <c r="N191" s="182"/>
      <c r="O191" s="182"/>
      <c r="P191" s="182"/>
      <c r="Q191" s="182"/>
      <c r="R191" s="182"/>
      <c r="S191" s="182"/>
      <c r="T191" s="181" t="s">
        <v>731</v>
      </c>
      <c r="U191" s="183">
        <v>50000</v>
      </c>
      <c r="V191" s="183">
        <v>50000</v>
      </c>
      <c r="W191" s="183">
        <v>50000</v>
      </c>
      <c r="X191" s="181" t="s">
        <v>731</v>
      </c>
    </row>
    <row r="192" spans="1:24" ht="111.75" customHeight="1" x14ac:dyDescent="0.3">
      <c r="A192" s="181" t="s">
        <v>733</v>
      </c>
      <c r="B192" s="182" t="s">
        <v>339</v>
      </c>
      <c r="C192" s="182" t="s">
        <v>339</v>
      </c>
      <c r="D192" s="182" t="s">
        <v>732</v>
      </c>
      <c r="E192" s="182"/>
      <c r="F192" s="182"/>
      <c r="G192" s="182"/>
      <c r="H192" s="182"/>
      <c r="I192" s="182"/>
      <c r="J192" s="182"/>
      <c r="K192" s="182"/>
      <c r="L192" s="182"/>
      <c r="M192" s="182"/>
      <c r="N192" s="182"/>
      <c r="O192" s="182"/>
      <c r="P192" s="182"/>
      <c r="Q192" s="182"/>
      <c r="R192" s="182"/>
      <c r="S192" s="182" t="s">
        <v>586</v>
      </c>
      <c r="T192" s="181" t="s">
        <v>733</v>
      </c>
      <c r="U192" s="183">
        <v>50000</v>
      </c>
      <c r="V192" s="183">
        <v>50000</v>
      </c>
      <c r="W192" s="183">
        <v>50000</v>
      </c>
      <c r="X192" s="181" t="s">
        <v>733</v>
      </c>
    </row>
    <row r="193" spans="1:24" ht="37.200000000000003" customHeight="1" x14ac:dyDescent="0.3">
      <c r="A193" s="181" t="s">
        <v>734</v>
      </c>
      <c r="B193" s="182" t="s">
        <v>339</v>
      </c>
      <c r="C193" s="182" t="s">
        <v>339</v>
      </c>
      <c r="D193" s="182" t="s">
        <v>735</v>
      </c>
      <c r="E193" s="182"/>
      <c r="F193" s="182"/>
      <c r="G193" s="182"/>
      <c r="H193" s="182"/>
      <c r="I193" s="182"/>
      <c r="J193" s="182"/>
      <c r="K193" s="182"/>
      <c r="L193" s="182"/>
      <c r="M193" s="182"/>
      <c r="N193" s="182"/>
      <c r="O193" s="182"/>
      <c r="P193" s="182"/>
      <c r="Q193" s="182"/>
      <c r="R193" s="182"/>
      <c r="S193" s="182"/>
      <c r="T193" s="181" t="s">
        <v>734</v>
      </c>
      <c r="U193" s="183">
        <v>50000</v>
      </c>
      <c r="V193" s="183">
        <v>50000</v>
      </c>
      <c r="W193" s="183">
        <v>50000</v>
      </c>
      <c r="X193" s="181" t="s">
        <v>734</v>
      </c>
    </row>
    <row r="194" spans="1:24" ht="93" customHeight="1" x14ac:dyDescent="0.3">
      <c r="A194" s="181" t="s">
        <v>736</v>
      </c>
      <c r="B194" s="182" t="s">
        <v>339</v>
      </c>
      <c r="C194" s="182" t="s">
        <v>339</v>
      </c>
      <c r="D194" s="182" t="s">
        <v>735</v>
      </c>
      <c r="E194" s="182"/>
      <c r="F194" s="182"/>
      <c r="G194" s="182"/>
      <c r="H194" s="182"/>
      <c r="I194" s="182"/>
      <c r="J194" s="182"/>
      <c r="K194" s="182"/>
      <c r="L194" s="182"/>
      <c r="M194" s="182"/>
      <c r="N194" s="182"/>
      <c r="O194" s="182"/>
      <c r="P194" s="182"/>
      <c r="Q194" s="182"/>
      <c r="R194" s="182"/>
      <c r="S194" s="182" t="s">
        <v>586</v>
      </c>
      <c r="T194" s="181" t="s">
        <v>736</v>
      </c>
      <c r="U194" s="183">
        <v>50000</v>
      </c>
      <c r="V194" s="183">
        <v>50000</v>
      </c>
      <c r="W194" s="183">
        <v>50000</v>
      </c>
      <c r="X194" s="181" t="s">
        <v>736</v>
      </c>
    </row>
    <row r="195" spans="1:24" ht="74.400000000000006" customHeight="1" x14ac:dyDescent="0.3">
      <c r="A195" s="181" t="s">
        <v>864</v>
      </c>
      <c r="B195" s="182" t="s">
        <v>339</v>
      </c>
      <c r="C195" s="182" t="s">
        <v>339</v>
      </c>
      <c r="D195" s="182" t="s">
        <v>865</v>
      </c>
      <c r="E195" s="182"/>
      <c r="F195" s="182"/>
      <c r="G195" s="182"/>
      <c r="H195" s="182"/>
      <c r="I195" s="182"/>
      <c r="J195" s="182"/>
      <c r="K195" s="182"/>
      <c r="L195" s="182"/>
      <c r="M195" s="182"/>
      <c r="N195" s="182"/>
      <c r="O195" s="182"/>
      <c r="P195" s="182"/>
      <c r="Q195" s="182"/>
      <c r="R195" s="182"/>
      <c r="S195" s="182"/>
      <c r="T195" s="181" t="s">
        <v>864</v>
      </c>
      <c r="U195" s="183">
        <v>1500000</v>
      </c>
      <c r="V195" s="183">
        <v>2000000</v>
      </c>
      <c r="W195" s="183">
        <v>2500000</v>
      </c>
      <c r="X195" s="181" t="s">
        <v>864</v>
      </c>
    </row>
    <row r="196" spans="1:24" ht="148.94999999999999" customHeight="1" x14ac:dyDescent="0.3">
      <c r="A196" s="181" t="s">
        <v>866</v>
      </c>
      <c r="B196" s="182" t="s">
        <v>339</v>
      </c>
      <c r="C196" s="182" t="s">
        <v>339</v>
      </c>
      <c r="D196" s="182" t="s">
        <v>865</v>
      </c>
      <c r="E196" s="182"/>
      <c r="F196" s="182"/>
      <c r="G196" s="182"/>
      <c r="H196" s="182"/>
      <c r="I196" s="182"/>
      <c r="J196" s="182"/>
      <c r="K196" s="182"/>
      <c r="L196" s="182"/>
      <c r="M196" s="182"/>
      <c r="N196" s="182"/>
      <c r="O196" s="182"/>
      <c r="P196" s="182"/>
      <c r="Q196" s="182"/>
      <c r="R196" s="182"/>
      <c r="S196" s="182" t="s">
        <v>613</v>
      </c>
      <c r="T196" s="181" t="s">
        <v>866</v>
      </c>
      <c r="U196" s="183">
        <v>1500000</v>
      </c>
      <c r="V196" s="183">
        <v>2000000</v>
      </c>
      <c r="W196" s="183">
        <v>2500000</v>
      </c>
      <c r="X196" s="181" t="s">
        <v>866</v>
      </c>
    </row>
    <row r="197" spans="1:24" ht="55.95" customHeight="1" x14ac:dyDescent="0.3">
      <c r="A197" s="181" t="s">
        <v>867</v>
      </c>
      <c r="B197" s="182" t="s">
        <v>339</v>
      </c>
      <c r="C197" s="182" t="s">
        <v>339</v>
      </c>
      <c r="D197" s="182" t="s">
        <v>868</v>
      </c>
      <c r="E197" s="182"/>
      <c r="F197" s="182"/>
      <c r="G197" s="182"/>
      <c r="H197" s="182"/>
      <c r="I197" s="182"/>
      <c r="J197" s="182"/>
      <c r="K197" s="182"/>
      <c r="L197" s="182"/>
      <c r="M197" s="182"/>
      <c r="N197" s="182"/>
      <c r="O197" s="182"/>
      <c r="P197" s="182"/>
      <c r="Q197" s="182"/>
      <c r="R197" s="182"/>
      <c r="S197" s="182"/>
      <c r="T197" s="181" t="s">
        <v>867</v>
      </c>
      <c r="U197" s="183">
        <v>100000</v>
      </c>
      <c r="V197" s="183">
        <v>100000</v>
      </c>
      <c r="W197" s="183">
        <v>100000</v>
      </c>
      <c r="X197" s="181" t="s">
        <v>867</v>
      </c>
    </row>
    <row r="198" spans="1:24" ht="130.35" customHeight="1" x14ac:dyDescent="0.3">
      <c r="A198" s="181" t="s">
        <v>869</v>
      </c>
      <c r="B198" s="182" t="s">
        <v>339</v>
      </c>
      <c r="C198" s="182" t="s">
        <v>339</v>
      </c>
      <c r="D198" s="182" t="s">
        <v>868</v>
      </c>
      <c r="E198" s="182"/>
      <c r="F198" s="182"/>
      <c r="G198" s="182"/>
      <c r="H198" s="182"/>
      <c r="I198" s="182"/>
      <c r="J198" s="182"/>
      <c r="K198" s="182"/>
      <c r="L198" s="182"/>
      <c r="M198" s="182"/>
      <c r="N198" s="182"/>
      <c r="O198" s="182"/>
      <c r="P198" s="182"/>
      <c r="Q198" s="182"/>
      <c r="R198" s="182"/>
      <c r="S198" s="182" t="s">
        <v>613</v>
      </c>
      <c r="T198" s="181" t="s">
        <v>869</v>
      </c>
      <c r="U198" s="183">
        <v>100000</v>
      </c>
      <c r="V198" s="183">
        <v>100000</v>
      </c>
      <c r="W198" s="183">
        <v>100000</v>
      </c>
      <c r="X198" s="181" t="s">
        <v>869</v>
      </c>
    </row>
    <row r="199" spans="1:24" ht="37.200000000000003" customHeight="1" x14ac:dyDescent="0.3">
      <c r="A199" s="181" t="s">
        <v>870</v>
      </c>
      <c r="B199" s="182" t="s">
        <v>339</v>
      </c>
      <c r="C199" s="182" t="s">
        <v>339</v>
      </c>
      <c r="D199" s="182" t="s">
        <v>871</v>
      </c>
      <c r="E199" s="182"/>
      <c r="F199" s="182"/>
      <c r="G199" s="182"/>
      <c r="H199" s="182"/>
      <c r="I199" s="182"/>
      <c r="J199" s="182"/>
      <c r="K199" s="182"/>
      <c r="L199" s="182"/>
      <c r="M199" s="182"/>
      <c r="N199" s="182"/>
      <c r="O199" s="182"/>
      <c r="P199" s="182"/>
      <c r="Q199" s="182"/>
      <c r="R199" s="182"/>
      <c r="S199" s="182"/>
      <c r="T199" s="181" t="s">
        <v>870</v>
      </c>
      <c r="U199" s="183">
        <v>200000</v>
      </c>
      <c r="V199" s="183">
        <v>200000</v>
      </c>
      <c r="W199" s="183">
        <v>200000</v>
      </c>
      <c r="X199" s="181" t="s">
        <v>870</v>
      </c>
    </row>
    <row r="200" spans="1:24" ht="93" customHeight="1" x14ac:dyDescent="0.3">
      <c r="A200" s="181" t="s">
        <v>872</v>
      </c>
      <c r="B200" s="182" t="s">
        <v>339</v>
      </c>
      <c r="C200" s="182" t="s">
        <v>339</v>
      </c>
      <c r="D200" s="182" t="s">
        <v>871</v>
      </c>
      <c r="E200" s="182"/>
      <c r="F200" s="182"/>
      <c r="G200" s="182"/>
      <c r="H200" s="182"/>
      <c r="I200" s="182"/>
      <c r="J200" s="182"/>
      <c r="K200" s="182"/>
      <c r="L200" s="182"/>
      <c r="M200" s="182"/>
      <c r="N200" s="182"/>
      <c r="O200" s="182"/>
      <c r="P200" s="182"/>
      <c r="Q200" s="182"/>
      <c r="R200" s="182"/>
      <c r="S200" s="182" t="s">
        <v>613</v>
      </c>
      <c r="T200" s="181" t="s">
        <v>872</v>
      </c>
      <c r="U200" s="183">
        <v>200000</v>
      </c>
      <c r="V200" s="183">
        <v>200000</v>
      </c>
      <c r="W200" s="183">
        <v>200000</v>
      </c>
      <c r="X200" s="181" t="s">
        <v>872</v>
      </c>
    </row>
    <row r="201" spans="1:24" ht="55.95" customHeight="1" x14ac:dyDescent="0.3">
      <c r="A201" s="181" t="s">
        <v>737</v>
      </c>
      <c r="B201" s="182" t="s">
        <v>339</v>
      </c>
      <c r="C201" s="182" t="s">
        <v>339</v>
      </c>
      <c r="D201" s="182" t="s">
        <v>738</v>
      </c>
      <c r="E201" s="182"/>
      <c r="F201" s="182"/>
      <c r="G201" s="182"/>
      <c r="H201" s="182"/>
      <c r="I201" s="182"/>
      <c r="J201" s="182"/>
      <c r="K201" s="182"/>
      <c r="L201" s="182"/>
      <c r="M201" s="182"/>
      <c r="N201" s="182"/>
      <c r="O201" s="182"/>
      <c r="P201" s="182"/>
      <c r="Q201" s="182"/>
      <c r="R201" s="182"/>
      <c r="S201" s="182"/>
      <c r="T201" s="181" t="s">
        <v>737</v>
      </c>
      <c r="U201" s="183">
        <v>50000</v>
      </c>
      <c r="V201" s="183">
        <v>50000</v>
      </c>
      <c r="W201" s="183">
        <v>50000</v>
      </c>
      <c r="X201" s="181" t="s">
        <v>737</v>
      </c>
    </row>
    <row r="202" spans="1:24" ht="111.75" customHeight="1" x14ac:dyDescent="0.3">
      <c r="A202" s="181" t="s">
        <v>739</v>
      </c>
      <c r="B202" s="182" t="s">
        <v>339</v>
      </c>
      <c r="C202" s="182" t="s">
        <v>339</v>
      </c>
      <c r="D202" s="182" t="s">
        <v>738</v>
      </c>
      <c r="E202" s="182"/>
      <c r="F202" s="182"/>
      <c r="G202" s="182"/>
      <c r="H202" s="182"/>
      <c r="I202" s="182"/>
      <c r="J202" s="182"/>
      <c r="K202" s="182"/>
      <c r="L202" s="182"/>
      <c r="M202" s="182"/>
      <c r="N202" s="182"/>
      <c r="O202" s="182"/>
      <c r="P202" s="182"/>
      <c r="Q202" s="182"/>
      <c r="R202" s="182"/>
      <c r="S202" s="182" t="s">
        <v>586</v>
      </c>
      <c r="T202" s="181" t="s">
        <v>739</v>
      </c>
      <c r="U202" s="183">
        <v>50000</v>
      </c>
      <c r="V202" s="183">
        <v>50000</v>
      </c>
      <c r="W202" s="183">
        <v>50000</v>
      </c>
      <c r="X202" s="181" t="s">
        <v>739</v>
      </c>
    </row>
    <row r="203" spans="1:24" ht="37.200000000000003" customHeight="1" x14ac:dyDescent="0.3">
      <c r="A203" s="181" t="s">
        <v>364</v>
      </c>
      <c r="B203" s="182" t="s">
        <v>339</v>
      </c>
      <c r="C203" s="182" t="s">
        <v>300</v>
      </c>
      <c r="D203" s="182"/>
      <c r="E203" s="182"/>
      <c r="F203" s="182"/>
      <c r="G203" s="182"/>
      <c r="H203" s="182"/>
      <c r="I203" s="182"/>
      <c r="J203" s="182"/>
      <c r="K203" s="182"/>
      <c r="L203" s="182"/>
      <c r="M203" s="182"/>
      <c r="N203" s="182"/>
      <c r="O203" s="182"/>
      <c r="P203" s="182"/>
      <c r="Q203" s="182"/>
      <c r="R203" s="182"/>
      <c r="S203" s="182"/>
      <c r="T203" s="181" t="s">
        <v>364</v>
      </c>
      <c r="U203" s="183">
        <f>U204+U207+U210+U214+U218</f>
        <v>23860839.780000001</v>
      </c>
      <c r="V203" s="183">
        <f>V204+V207+V210+V214+V218</f>
        <v>23860842.68</v>
      </c>
      <c r="W203" s="183">
        <f>W204+W207+W210+W214+W218</f>
        <v>23860842.68</v>
      </c>
      <c r="X203" s="181" t="s">
        <v>364</v>
      </c>
    </row>
    <row r="204" spans="1:24" ht="74.400000000000006" customHeight="1" x14ac:dyDescent="0.3">
      <c r="A204" s="181" t="s">
        <v>873</v>
      </c>
      <c r="B204" s="182" t="s">
        <v>339</v>
      </c>
      <c r="C204" s="182" t="s">
        <v>300</v>
      </c>
      <c r="D204" s="182" t="s">
        <v>874</v>
      </c>
      <c r="E204" s="182"/>
      <c r="F204" s="182"/>
      <c r="G204" s="182"/>
      <c r="H204" s="182"/>
      <c r="I204" s="182"/>
      <c r="J204" s="182"/>
      <c r="K204" s="182"/>
      <c r="L204" s="182"/>
      <c r="M204" s="182"/>
      <c r="N204" s="182"/>
      <c r="O204" s="182"/>
      <c r="P204" s="182"/>
      <c r="Q204" s="182"/>
      <c r="R204" s="182"/>
      <c r="S204" s="182"/>
      <c r="T204" s="181" t="s">
        <v>873</v>
      </c>
      <c r="U204" s="183">
        <v>0</v>
      </c>
      <c r="V204" s="183">
        <v>0</v>
      </c>
      <c r="W204" s="183">
        <v>0</v>
      </c>
      <c r="X204" s="181" t="s">
        <v>873</v>
      </c>
    </row>
    <row r="205" spans="1:24" ht="204.75" customHeight="1" x14ac:dyDescent="0.3">
      <c r="A205" s="187" t="s">
        <v>875</v>
      </c>
      <c r="B205" s="182" t="s">
        <v>339</v>
      </c>
      <c r="C205" s="182" t="s">
        <v>300</v>
      </c>
      <c r="D205" s="182" t="s">
        <v>874</v>
      </c>
      <c r="E205" s="182"/>
      <c r="F205" s="182"/>
      <c r="G205" s="182"/>
      <c r="H205" s="182"/>
      <c r="I205" s="182"/>
      <c r="J205" s="182"/>
      <c r="K205" s="182"/>
      <c r="L205" s="182"/>
      <c r="M205" s="182"/>
      <c r="N205" s="182"/>
      <c r="O205" s="182"/>
      <c r="P205" s="182"/>
      <c r="Q205" s="182"/>
      <c r="R205" s="182"/>
      <c r="S205" s="182" t="s">
        <v>162</v>
      </c>
      <c r="T205" s="187" t="s">
        <v>875</v>
      </c>
      <c r="U205" s="183">
        <v>0</v>
      </c>
      <c r="V205" s="183">
        <v>0</v>
      </c>
      <c r="W205" s="183">
        <v>0</v>
      </c>
      <c r="X205" s="187" t="s">
        <v>875</v>
      </c>
    </row>
    <row r="206" spans="1:24" ht="130.35" customHeight="1" x14ac:dyDescent="0.3">
      <c r="A206" s="181" t="s">
        <v>876</v>
      </c>
      <c r="B206" s="182" t="s">
        <v>339</v>
      </c>
      <c r="C206" s="182" t="s">
        <v>300</v>
      </c>
      <c r="D206" s="182" t="s">
        <v>874</v>
      </c>
      <c r="E206" s="182"/>
      <c r="F206" s="182"/>
      <c r="G206" s="182"/>
      <c r="H206" s="182"/>
      <c r="I206" s="182"/>
      <c r="J206" s="182"/>
      <c r="K206" s="182"/>
      <c r="L206" s="182"/>
      <c r="M206" s="182"/>
      <c r="N206" s="182"/>
      <c r="O206" s="182"/>
      <c r="P206" s="182"/>
      <c r="Q206" s="182"/>
      <c r="R206" s="182"/>
      <c r="S206" s="182" t="s">
        <v>586</v>
      </c>
      <c r="T206" s="181" t="s">
        <v>876</v>
      </c>
      <c r="U206" s="183">
        <v>0</v>
      </c>
      <c r="V206" s="183">
        <v>0</v>
      </c>
      <c r="W206" s="183">
        <v>0</v>
      </c>
      <c r="X206" s="181" t="s">
        <v>876</v>
      </c>
    </row>
    <row r="207" spans="1:24" ht="148.94999999999999" customHeight="1" x14ac:dyDescent="0.3">
      <c r="A207" s="181" t="s">
        <v>520</v>
      </c>
      <c r="B207" s="182" t="s">
        <v>339</v>
      </c>
      <c r="C207" s="182" t="s">
        <v>300</v>
      </c>
      <c r="D207" s="182" t="s">
        <v>740</v>
      </c>
      <c r="E207" s="182"/>
      <c r="F207" s="182"/>
      <c r="G207" s="182"/>
      <c r="H207" s="182"/>
      <c r="I207" s="182"/>
      <c r="J207" s="182"/>
      <c r="K207" s="182"/>
      <c r="L207" s="182"/>
      <c r="M207" s="182"/>
      <c r="N207" s="182"/>
      <c r="O207" s="182"/>
      <c r="P207" s="182"/>
      <c r="Q207" s="182"/>
      <c r="R207" s="182"/>
      <c r="S207" s="182"/>
      <c r="T207" s="181" t="s">
        <v>520</v>
      </c>
      <c r="U207" s="183">
        <f>U208+U209</f>
        <v>573397.1</v>
      </c>
      <c r="V207" s="183">
        <v>573400</v>
      </c>
      <c r="W207" s="183">
        <v>573400</v>
      </c>
      <c r="X207" s="181" t="s">
        <v>520</v>
      </c>
    </row>
    <row r="208" spans="1:24" ht="279.14999999999998" customHeight="1" x14ac:dyDescent="0.3">
      <c r="A208" s="187" t="s">
        <v>741</v>
      </c>
      <c r="B208" s="182" t="s">
        <v>339</v>
      </c>
      <c r="C208" s="182" t="s">
        <v>300</v>
      </c>
      <c r="D208" s="182" t="s">
        <v>740</v>
      </c>
      <c r="E208" s="182"/>
      <c r="F208" s="182"/>
      <c r="G208" s="182"/>
      <c r="H208" s="182"/>
      <c r="I208" s="182"/>
      <c r="J208" s="182"/>
      <c r="K208" s="182"/>
      <c r="L208" s="182"/>
      <c r="M208" s="182"/>
      <c r="N208" s="182"/>
      <c r="O208" s="182"/>
      <c r="P208" s="182"/>
      <c r="Q208" s="182"/>
      <c r="R208" s="182"/>
      <c r="S208" s="182" t="s">
        <v>162</v>
      </c>
      <c r="T208" s="187" t="s">
        <v>741</v>
      </c>
      <c r="U208" s="183">
        <v>539684</v>
      </c>
      <c r="V208" s="183">
        <v>539684</v>
      </c>
      <c r="W208" s="183">
        <v>539684</v>
      </c>
      <c r="X208" s="187" t="s">
        <v>741</v>
      </c>
    </row>
    <row r="209" spans="1:24" ht="204.75" customHeight="1" x14ac:dyDescent="0.3">
      <c r="A209" s="187" t="s">
        <v>742</v>
      </c>
      <c r="B209" s="182" t="s">
        <v>339</v>
      </c>
      <c r="C209" s="182" t="s">
        <v>300</v>
      </c>
      <c r="D209" s="182" t="s">
        <v>740</v>
      </c>
      <c r="E209" s="182"/>
      <c r="F209" s="182"/>
      <c r="G209" s="182"/>
      <c r="H209" s="182"/>
      <c r="I209" s="182"/>
      <c r="J209" s="182"/>
      <c r="K209" s="182"/>
      <c r="L209" s="182"/>
      <c r="M209" s="182"/>
      <c r="N209" s="182"/>
      <c r="O209" s="182"/>
      <c r="P209" s="182"/>
      <c r="Q209" s="182"/>
      <c r="R209" s="182"/>
      <c r="S209" s="182" t="s">
        <v>586</v>
      </c>
      <c r="T209" s="187" t="s">
        <v>742</v>
      </c>
      <c r="U209" s="183">
        <f>33716-2.9</f>
        <v>33713.1</v>
      </c>
      <c r="V209" s="183">
        <v>33716</v>
      </c>
      <c r="W209" s="183">
        <v>33716</v>
      </c>
      <c r="X209" s="187" t="s">
        <v>742</v>
      </c>
    </row>
    <row r="210" spans="1:24" ht="74.400000000000006" customHeight="1" x14ac:dyDescent="0.3">
      <c r="A210" s="181" t="s">
        <v>877</v>
      </c>
      <c r="B210" s="182" t="s">
        <v>339</v>
      </c>
      <c r="C210" s="182" t="s">
        <v>300</v>
      </c>
      <c r="D210" s="182" t="s">
        <v>878</v>
      </c>
      <c r="E210" s="182"/>
      <c r="F210" s="182"/>
      <c r="G210" s="182"/>
      <c r="H210" s="182"/>
      <c r="I210" s="182"/>
      <c r="J210" s="182"/>
      <c r="K210" s="182"/>
      <c r="L210" s="182"/>
      <c r="M210" s="182"/>
      <c r="N210" s="182"/>
      <c r="O210" s="182"/>
      <c r="P210" s="182"/>
      <c r="Q210" s="182"/>
      <c r="R210" s="182"/>
      <c r="S210" s="182"/>
      <c r="T210" s="181" t="s">
        <v>877</v>
      </c>
      <c r="U210" s="183">
        <v>5193322.63</v>
      </c>
      <c r="V210" s="183">
        <v>5193322.63</v>
      </c>
      <c r="W210" s="183">
        <v>5193322.63</v>
      </c>
      <c r="X210" s="181" t="s">
        <v>877</v>
      </c>
    </row>
    <row r="211" spans="1:24" ht="204.75" customHeight="1" x14ac:dyDescent="0.3">
      <c r="A211" s="187" t="s">
        <v>879</v>
      </c>
      <c r="B211" s="182" t="s">
        <v>339</v>
      </c>
      <c r="C211" s="182" t="s">
        <v>300</v>
      </c>
      <c r="D211" s="182" t="s">
        <v>878</v>
      </c>
      <c r="E211" s="182"/>
      <c r="F211" s="182"/>
      <c r="G211" s="182"/>
      <c r="H211" s="182"/>
      <c r="I211" s="182"/>
      <c r="J211" s="182"/>
      <c r="K211" s="182"/>
      <c r="L211" s="182"/>
      <c r="M211" s="182"/>
      <c r="N211" s="182"/>
      <c r="O211" s="182"/>
      <c r="P211" s="182"/>
      <c r="Q211" s="182"/>
      <c r="R211" s="182"/>
      <c r="S211" s="182" t="s">
        <v>162</v>
      </c>
      <c r="T211" s="187" t="s">
        <v>879</v>
      </c>
      <c r="U211" s="183">
        <v>5094122.63</v>
      </c>
      <c r="V211" s="183">
        <v>5094122.63</v>
      </c>
      <c r="W211" s="183">
        <v>5094122.63</v>
      </c>
      <c r="X211" s="187" t="s">
        <v>879</v>
      </c>
    </row>
    <row r="212" spans="1:24" ht="111.75" customHeight="1" x14ac:dyDescent="0.3">
      <c r="A212" s="181" t="s">
        <v>880</v>
      </c>
      <c r="B212" s="182" t="s">
        <v>339</v>
      </c>
      <c r="C212" s="182" t="s">
        <v>300</v>
      </c>
      <c r="D212" s="182" t="s">
        <v>878</v>
      </c>
      <c r="E212" s="182"/>
      <c r="F212" s="182"/>
      <c r="G212" s="182"/>
      <c r="H212" s="182"/>
      <c r="I212" s="182"/>
      <c r="J212" s="182"/>
      <c r="K212" s="182"/>
      <c r="L212" s="182"/>
      <c r="M212" s="182"/>
      <c r="N212" s="182"/>
      <c r="O212" s="182"/>
      <c r="P212" s="182"/>
      <c r="Q212" s="182"/>
      <c r="R212" s="182"/>
      <c r="S212" s="182" t="s">
        <v>586</v>
      </c>
      <c r="T212" s="181" t="s">
        <v>880</v>
      </c>
      <c r="U212" s="183">
        <v>93200</v>
      </c>
      <c r="V212" s="183">
        <v>93200</v>
      </c>
      <c r="W212" s="183">
        <v>93200</v>
      </c>
      <c r="X212" s="181" t="s">
        <v>880</v>
      </c>
    </row>
    <row r="213" spans="1:24" ht="93" customHeight="1" x14ac:dyDescent="0.3">
      <c r="A213" s="181" t="s">
        <v>881</v>
      </c>
      <c r="B213" s="182" t="s">
        <v>339</v>
      </c>
      <c r="C213" s="182" t="s">
        <v>300</v>
      </c>
      <c r="D213" s="182" t="s">
        <v>878</v>
      </c>
      <c r="E213" s="182"/>
      <c r="F213" s="182"/>
      <c r="G213" s="182"/>
      <c r="H213" s="182"/>
      <c r="I213" s="182"/>
      <c r="J213" s="182"/>
      <c r="K213" s="182"/>
      <c r="L213" s="182"/>
      <c r="M213" s="182"/>
      <c r="N213" s="182"/>
      <c r="O213" s="182"/>
      <c r="P213" s="182"/>
      <c r="Q213" s="182"/>
      <c r="R213" s="182"/>
      <c r="S213" s="182" t="s">
        <v>528</v>
      </c>
      <c r="T213" s="181" t="s">
        <v>881</v>
      </c>
      <c r="U213" s="183">
        <v>6000</v>
      </c>
      <c r="V213" s="183">
        <v>6000</v>
      </c>
      <c r="W213" s="183">
        <v>6000</v>
      </c>
      <c r="X213" s="181" t="s">
        <v>881</v>
      </c>
    </row>
    <row r="214" spans="1:24" ht="93" customHeight="1" x14ac:dyDescent="0.3">
      <c r="A214" s="181" t="s">
        <v>882</v>
      </c>
      <c r="B214" s="182" t="s">
        <v>339</v>
      </c>
      <c r="C214" s="182" t="s">
        <v>300</v>
      </c>
      <c r="D214" s="182" t="s">
        <v>883</v>
      </c>
      <c r="E214" s="182"/>
      <c r="F214" s="182"/>
      <c r="G214" s="182"/>
      <c r="H214" s="182"/>
      <c r="I214" s="182"/>
      <c r="J214" s="182"/>
      <c r="K214" s="182"/>
      <c r="L214" s="182"/>
      <c r="M214" s="182"/>
      <c r="N214" s="182"/>
      <c r="O214" s="182"/>
      <c r="P214" s="182"/>
      <c r="Q214" s="182"/>
      <c r="R214" s="182"/>
      <c r="S214" s="182"/>
      <c r="T214" s="181" t="s">
        <v>882</v>
      </c>
      <c r="U214" s="183">
        <v>14777720.050000001</v>
      </c>
      <c r="V214" s="183">
        <v>14777720.050000001</v>
      </c>
      <c r="W214" s="183">
        <v>14777720.050000001</v>
      </c>
      <c r="X214" s="181" t="s">
        <v>882</v>
      </c>
    </row>
    <row r="215" spans="1:24" ht="223.35" customHeight="1" x14ac:dyDescent="0.3">
      <c r="A215" s="187" t="s">
        <v>884</v>
      </c>
      <c r="B215" s="182" t="s">
        <v>339</v>
      </c>
      <c r="C215" s="182" t="s">
        <v>300</v>
      </c>
      <c r="D215" s="182" t="s">
        <v>883</v>
      </c>
      <c r="E215" s="182"/>
      <c r="F215" s="182"/>
      <c r="G215" s="182"/>
      <c r="H215" s="182"/>
      <c r="I215" s="182"/>
      <c r="J215" s="182"/>
      <c r="K215" s="182"/>
      <c r="L215" s="182"/>
      <c r="M215" s="182"/>
      <c r="N215" s="182"/>
      <c r="O215" s="182"/>
      <c r="P215" s="182"/>
      <c r="Q215" s="182"/>
      <c r="R215" s="182"/>
      <c r="S215" s="182" t="s">
        <v>162</v>
      </c>
      <c r="T215" s="187" t="s">
        <v>884</v>
      </c>
      <c r="U215" s="183">
        <v>12363442.65</v>
      </c>
      <c r="V215" s="183">
        <v>12363442.65</v>
      </c>
      <c r="W215" s="183">
        <v>12363442.65</v>
      </c>
      <c r="X215" s="187" t="s">
        <v>884</v>
      </c>
    </row>
    <row r="216" spans="1:24" ht="148.94999999999999" customHeight="1" x14ac:dyDescent="0.3">
      <c r="A216" s="181" t="s">
        <v>885</v>
      </c>
      <c r="B216" s="182" t="s">
        <v>339</v>
      </c>
      <c r="C216" s="182" t="s">
        <v>300</v>
      </c>
      <c r="D216" s="182" t="s">
        <v>883</v>
      </c>
      <c r="E216" s="182"/>
      <c r="F216" s="182"/>
      <c r="G216" s="182"/>
      <c r="H216" s="182"/>
      <c r="I216" s="182"/>
      <c r="J216" s="182"/>
      <c r="K216" s="182"/>
      <c r="L216" s="182"/>
      <c r="M216" s="182"/>
      <c r="N216" s="182"/>
      <c r="O216" s="182"/>
      <c r="P216" s="182"/>
      <c r="Q216" s="182"/>
      <c r="R216" s="182"/>
      <c r="S216" s="182" t="s">
        <v>586</v>
      </c>
      <c r="T216" s="181" t="s">
        <v>885</v>
      </c>
      <c r="U216" s="183">
        <v>2398205.4</v>
      </c>
      <c r="V216" s="183">
        <v>2398205.4</v>
      </c>
      <c r="W216" s="183">
        <v>2398205.4</v>
      </c>
      <c r="X216" s="181" t="s">
        <v>885</v>
      </c>
    </row>
    <row r="217" spans="1:24" ht="111.75" customHeight="1" x14ac:dyDescent="0.3">
      <c r="A217" s="181" t="s">
        <v>886</v>
      </c>
      <c r="B217" s="182" t="s">
        <v>339</v>
      </c>
      <c r="C217" s="182" t="s">
        <v>300</v>
      </c>
      <c r="D217" s="182" t="s">
        <v>883</v>
      </c>
      <c r="E217" s="182"/>
      <c r="F217" s="182"/>
      <c r="G217" s="182"/>
      <c r="H217" s="182"/>
      <c r="I217" s="182"/>
      <c r="J217" s="182"/>
      <c r="K217" s="182"/>
      <c r="L217" s="182"/>
      <c r="M217" s="182"/>
      <c r="N217" s="182"/>
      <c r="O217" s="182"/>
      <c r="P217" s="182"/>
      <c r="Q217" s="182"/>
      <c r="R217" s="182"/>
      <c r="S217" s="182" t="s">
        <v>528</v>
      </c>
      <c r="T217" s="181" t="s">
        <v>886</v>
      </c>
      <c r="U217" s="183">
        <v>16072</v>
      </c>
      <c r="V217" s="183">
        <v>16072</v>
      </c>
      <c r="W217" s="183">
        <v>16072</v>
      </c>
      <c r="X217" s="181" t="s">
        <v>886</v>
      </c>
    </row>
    <row r="218" spans="1:24" ht="93" customHeight="1" x14ac:dyDescent="0.3">
      <c r="A218" s="181" t="s">
        <v>887</v>
      </c>
      <c r="B218" s="182" t="s">
        <v>339</v>
      </c>
      <c r="C218" s="182" t="s">
        <v>300</v>
      </c>
      <c r="D218" s="182" t="s">
        <v>888</v>
      </c>
      <c r="E218" s="182"/>
      <c r="F218" s="182"/>
      <c r="G218" s="182"/>
      <c r="H218" s="182"/>
      <c r="I218" s="182"/>
      <c r="J218" s="182"/>
      <c r="K218" s="182"/>
      <c r="L218" s="182"/>
      <c r="M218" s="182"/>
      <c r="N218" s="182"/>
      <c r="O218" s="182"/>
      <c r="P218" s="182"/>
      <c r="Q218" s="182"/>
      <c r="R218" s="182"/>
      <c r="S218" s="182"/>
      <c r="T218" s="181" t="s">
        <v>887</v>
      </c>
      <c r="U218" s="183">
        <v>3316400</v>
      </c>
      <c r="V218" s="183">
        <v>3316400</v>
      </c>
      <c r="W218" s="183">
        <v>3316400</v>
      </c>
      <c r="X218" s="181" t="s">
        <v>887</v>
      </c>
    </row>
    <row r="219" spans="1:24" ht="167.7" customHeight="1" x14ac:dyDescent="0.3">
      <c r="A219" s="181" t="s">
        <v>889</v>
      </c>
      <c r="B219" s="182" t="s">
        <v>339</v>
      </c>
      <c r="C219" s="182" t="s">
        <v>300</v>
      </c>
      <c r="D219" s="182" t="s">
        <v>888</v>
      </c>
      <c r="E219" s="182"/>
      <c r="F219" s="182"/>
      <c r="G219" s="182"/>
      <c r="H219" s="182"/>
      <c r="I219" s="182"/>
      <c r="J219" s="182"/>
      <c r="K219" s="182"/>
      <c r="L219" s="182"/>
      <c r="M219" s="182"/>
      <c r="N219" s="182"/>
      <c r="O219" s="182"/>
      <c r="P219" s="182"/>
      <c r="Q219" s="182"/>
      <c r="R219" s="182"/>
      <c r="S219" s="182" t="s">
        <v>613</v>
      </c>
      <c r="T219" s="181" t="s">
        <v>889</v>
      </c>
      <c r="U219" s="183">
        <v>3316400</v>
      </c>
      <c r="V219" s="183">
        <v>3316400</v>
      </c>
      <c r="W219" s="183">
        <v>3316400</v>
      </c>
      <c r="X219" s="181" t="s">
        <v>889</v>
      </c>
    </row>
    <row r="220" spans="1:24" ht="18.600000000000001" customHeight="1" x14ac:dyDescent="0.3">
      <c r="A220" s="179" t="s">
        <v>743</v>
      </c>
      <c r="B220" s="191" t="s">
        <v>298</v>
      </c>
      <c r="C220" s="191" t="s">
        <v>317</v>
      </c>
      <c r="D220" s="191"/>
      <c r="E220" s="191"/>
      <c r="F220" s="191"/>
      <c r="G220" s="191"/>
      <c r="H220" s="191"/>
      <c r="I220" s="191"/>
      <c r="J220" s="191"/>
      <c r="K220" s="191"/>
      <c r="L220" s="191"/>
      <c r="M220" s="191"/>
      <c r="N220" s="191"/>
      <c r="O220" s="191"/>
      <c r="P220" s="191"/>
      <c r="Q220" s="191"/>
      <c r="R220" s="191"/>
      <c r="S220" s="191"/>
      <c r="T220" s="179" t="s">
        <v>743</v>
      </c>
      <c r="U220" s="180">
        <f>U222+U224+U226+U228+U230+U232+U234+U236</f>
        <v>15408872.449999999</v>
      </c>
      <c r="V220" s="180">
        <f>V222+V224+V226+V228+V230+V232+V234+V236</f>
        <v>16204928.460000001</v>
      </c>
      <c r="W220" s="180">
        <f>W222+W224+W226+W228+W230+W232+W234+W236</f>
        <v>16823781.390000001</v>
      </c>
      <c r="X220" s="179" t="s">
        <v>743</v>
      </c>
    </row>
    <row r="221" spans="1:24" ht="18.600000000000001" customHeight="1" x14ac:dyDescent="0.3">
      <c r="A221" s="181" t="s">
        <v>366</v>
      </c>
      <c r="B221" s="182" t="s">
        <v>298</v>
      </c>
      <c r="C221" s="182" t="s">
        <v>290</v>
      </c>
      <c r="D221" s="182"/>
      <c r="E221" s="182"/>
      <c r="F221" s="182"/>
      <c r="G221" s="182"/>
      <c r="H221" s="182"/>
      <c r="I221" s="182"/>
      <c r="J221" s="182"/>
      <c r="K221" s="182"/>
      <c r="L221" s="182"/>
      <c r="M221" s="182"/>
      <c r="N221" s="182"/>
      <c r="O221" s="182"/>
      <c r="P221" s="182"/>
      <c r="Q221" s="182"/>
      <c r="R221" s="182"/>
      <c r="S221" s="182"/>
      <c r="T221" s="181" t="s">
        <v>366</v>
      </c>
      <c r="U221" s="183">
        <f>U223+U225+U227+U229+U231+U233+U235+U237</f>
        <v>15408872.449999999</v>
      </c>
      <c r="V221" s="183">
        <v>16204928.460000001</v>
      </c>
      <c r="W221" s="183">
        <v>16823781.390000001</v>
      </c>
      <c r="X221" s="181" t="s">
        <v>366</v>
      </c>
    </row>
    <row r="222" spans="1:24" ht="55.95" customHeight="1" x14ac:dyDescent="0.3">
      <c r="A222" s="181" t="s">
        <v>918</v>
      </c>
      <c r="B222" s="182" t="s">
        <v>298</v>
      </c>
      <c r="C222" s="182" t="s">
        <v>290</v>
      </c>
      <c r="D222" s="182" t="s">
        <v>919</v>
      </c>
      <c r="E222" s="182"/>
      <c r="F222" s="182"/>
      <c r="G222" s="182"/>
      <c r="H222" s="182"/>
      <c r="I222" s="182"/>
      <c r="J222" s="182"/>
      <c r="K222" s="182"/>
      <c r="L222" s="182"/>
      <c r="M222" s="182"/>
      <c r="N222" s="182"/>
      <c r="O222" s="182"/>
      <c r="P222" s="182"/>
      <c r="Q222" s="182"/>
      <c r="R222" s="182"/>
      <c r="S222" s="182"/>
      <c r="T222" s="181" t="s">
        <v>918</v>
      </c>
      <c r="U222" s="183">
        <v>6071322.5599999996</v>
      </c>
      <c r="V222" s="183">
        <v>6372137.7199999997</v>
      </c>
      <c r="W222" s="183">
        <v>6660286.6399999997</v>
      </c>
      <c r="X222" s="181" t="s">
        <v>918</v>
      </c>
    </row>
    <row r="223" spans="1:24" ht="111.75" customHeight="1" x14ac:dyDescent="0.3">
      <c r="A223" s="181" t="s">
        <v>920</v>
      </c>
      <c r="B223" s="182" t="s">
        <v>298</v>
      </c>
      <c r="C223" s="182" t="s">
        <v>290</v>
      </c>
      <c r="D223" s="182" t="s">
        <v>919</v>
      </c>
      <c r="E223" s="182"/>
      <c r="F223" s="182"/>
      <c r="G223" s="182"/>
      <c r="H223" s="182"/>
      <c r="I223" s="182"/>
      <c r="J223" s="182"/>
      <c r="K223" s="182"/>
      <c r="L223" s="182"/>
      <c r="M223" s="182"/>
      <c r="N223" s="182"/>
      <c r="O223" s="182"/>
      <c r="P223" s="182"/>
      <c r="Q223" s="182"/>
      <c r="R223" s="182"/>
      <c r="S223" s="182" t="s">
        <v>613</v>
      </c>
      <c r="T223" s="181" t="s">
        <v>920</v>
      </c>
      <c r="U223" s="183">
        <v>6071322.5599999996</v>
      </c>
      <c r="V223" s="183">
        <v>6372137.7199999997</v>
      </c>
      <c r="W223" s="183">
        <v>6660286.6399999997</v>
      </c>
      <c r="X223" s="181" t="s">
        <v>920</v>
      </c>
    </row>
    <row r="224" spans="1:24" ht="37.200000000000003" customHeight="1" x14ac:dyDescent="0.3">
      <c r="A224" s="181" t="s">
        <v>921</v>
      </c>
      <c r="B224" s="182" t="s">
        <v>298</v>
      </c>
      <c r="C224" s="182" t="s">
        <v>290</v>
      </c>
      <c r="D224" s="182" t="s">
        <v>922</v>
      </c>
      <c r="E224" s="182"/>
      <c r="F224" s="182"/>
      <c r="G224" s="182"/>
      <c r="H224" s="182"/>
      <c r="I224" s="182"/>
      <c r="J224" s="182"/>
      <c r="K224" s="182"/>
      <c r="L224" s="182"/>
      <c r="M224" s="182"/>
      <c r="N224" s="182"/>
      <c r="O224" s="182"/>
      <c r="P224" s="182"/>
      <c r="Q224" s="182"/>
      <c r="R224" s="182"/>
      <c r="S224" s="182"/>
      <c r="T224" s="181" t="s">
        <v>921</v>
      </c>
      <c r="U224" s="183">
        <v>3323531.2</v>
      </c>
      <c r="V224" s="183">
        <v>3448200.17</v>
      </c>
      <c r="W224" s="183">
        <v>3567619.78</v>
      </c>
      <c r="X224" s="181" t="s">
        <v>921</v>
      </c>
    </row>
    <row r="225" spans="1:24" ht="111.75" customHeight="1" x14ac:dyDescent="0.3">
      <c r="A225" s="181" t="s">
        <v>923</v>
      </c>
      <c r="B225" s="182" t="s">
        <v>298</v>
      </c>
      <c r="C225" s="182" t="s">
        <v>290</v>
      </c>
      <c r="D225" s="182" t="s">
        <v>922</v>
      </c>
      <c r="E225" s="182"/>
      <c r="F225" s="182"/>
      <c r="G225" s="182"/>
      <c r="H225" s="182"/>
      <c r="I225" s="182"/>
      <c r="J225" s="182"/>
      <c r="K225" s="182"/>
      <c r="L225" s="182"/>
      <c r="M225" s="182"/>
      <c r="N225" s="182"/>
      <c r="O225" s="182"/>
      <c r="P225" s="182"/>
      <c r="Q225" s="182"/>
      <c r="R225" s="182"/>
      <c r="S225" s="182" t="s">
        <v>613</v>
      </c>
      <c r="T225" s="181" t="s">
        <v>923</v>
      </c>
      <c r="U225" s="183">
        <v>3323531.2</v>
      </c>
      <c r="V225" s="183">
        <v>3448200.17</v>
      </c>
      <c r="W225" s="183">
        <v>3567619.78</v>
      </c>
      <c r="X225" s="181" t="s">
        <v>923</v>
      </c>
    </row>
    <row r="226" spans="1:24" ht="55.95" customHeight="1" x14ac:dyDescent="0.3">
      <c r="A226" s="181" t="s">
        <v>744</v>
      </c>
      <c r="B226" s="182" t="s">
        <v>298</v>
      </c>
      <c r="C226" s="182" t="s">
        <v>290</v>
      </c>
      <c r="D226" s="182" t="s">
        <v>745</v>
      </c>
      <c r="E226" s="182"/>
      <c r="F226" s="182"/>
      <c r="G226" s="182"/>
      <c r="H226" s="182"/>
      <c r="I226" s="182"/>
      <c r="J226" s="182"/>
      <c r="K226" s="182"/>
      <c r="L226" s="182"/>
      <c r="M226" s="182"/>
      <c r="N226" s="182"/>
      <c r="O226" s="182"/>
      <c r="P226" s="182"/>
      <c r="Q226" s="182"/>
      <c r="R226" s="182"/>
      <c r="S226" s="182"/>
      <c r="T226" s="181" t="s">
        <v>744</v>
      </c>
      <c r="U226" s="183">
        <v>50000</v>
      </c>
      <c r="V226" s="183">
        <v>100000</v>
      </c>
      <c r="W226" s="183">
        <v>100000</v>
      </c>
      <c r="X226" s="181" t="s">
        <v>744</v>
      </c>
    </row>
    <row r="227" spans="1:24" ht="111.75" customHeight="1" x14ac:dyDescent="0.3">
      <c r="A227" s="181" t="s">
        <v>746</v>
      </c>
      <c r="B227" s="182" t="s">
        <v>298</v>
      </c>
      <c r="C227" s="182" t="s">
        <v>290</v>
      </c>
      <c r="D227" s="182" t="s">
        <v>745</v>
      </c>
      <c r="E227" s="182"/>
      <c r="F227" s="182"/>
      <c r="G227" s="182"/>
      <c r="H227" s="182"/>
      <c r="I227" s="182"/>
      <c r="J227" s="182"/>
      <c r="K227" s="182"/>
      <c r="L227" s="182"/>
      <c r="M227" s="182"/>
      <c r="N227" s="182"/>
      <c r="O227" s="182"/>
      <c r="P227" s="182"/>
      <c r="Q227" s="182"/>
      <c r="R227" s="182"/>
      <c r="S227" s="182" t="s">
        <v>586</v>
      </c>
      <c r="T227" s="181" t="s">
        <v>746</v>
      </c>
      <c r="U227" s="183">
        <v>50000</v>
      </c>
      <c r="V227" s="183">
        <v>100000</v>
      </c>
      <c r="W227" s="183">
        <v>100000</v>
      </c>
      <c r="X227" s="181" t="s">
        <v>746</v>
      </c>
    </row>
    <row r="228" spans="1:24" ht="55.95" customHeight="1" x14ac:dyDescent="0.3">
      <c r="A228" s="181" t="s">
        <v>924</v>
      </c>
      <c r="B228" s="182" t="s">
        <v>298</v>
      </c>
      <c r="C228" s="182" t="s">
        <v>290</v>
      </c>
      <c r="D228" s="182" t="s">
        <v>925</v>
      </c>
      <c r="E228" s="182"/>
      <c r="F228" s="182"/>
      <c r="G228" s="182"/>
      <c r="H228" s="182"/>
      <c r="I228" s="182"/>
      <c r="J228" s="182"/>
      <c r="K228" s="182"/>
      <c r="L228" s="182"/>
      <c r="M228" s="182"/>
      <c r="N228" s="182"/>
      <c r="O228" s="182"/>
      <c r="P228" s="182"/>
      <c r="Q228" s="182"/>
      <c r="R228" s="182"/>
      <c r="S228" s="182"/>
      <c r="T228" s="181" t="s">
        <v>924</v>
      </c>
      <c r="U228" s="183">
        <v>4838518.6900000004</v>
      </c>
      <c r="V228" s="183">
        <v>5034392.07</v>
      </c>
      <c r="W228" s="183">
        <v>5222017.93</v>
      </c>
      <c r="X228" s="181" t="s">
        <v>924</v>
      </c>
    </row>
    <row r="229" spans="1:24" ht="111.75" customHeight="1" x14ac:dyDescent="0.3">
      <c r="A229" s="181" t="s">
        <v>926</v>
      </c>
      <c r="B229" s="182" t="s">
        <v>298</v>
      </c>
      <c r="C229" s="182" t="s">
        <v>290</v>
      </c>
      <c r="D229" s="182" t="s">
        <v>925</v>
      </c>
      <c r="E229" s="182"/>
      <c r="F229" s="182"/>
      <c r="G229" s="182"/>
      <c r="H229" s="182"/>
      <c r="I229" s="182"/>
      <c r="J229" s="182"/>
      <c r="K229" s="182"/>
      <c r="L229" s="182"/>
      <c r="M229" s="182"/>
      <c r="N229" s="182"/>
      <c r="O229" s="182"/>
      <c r="P229" s="182"/>
      <c r="Q229" s="182"/>
      <c r="R229" s="182"/>
      <c r="S229" s="182" t="s">
        <v>613</v>
      </c>
      <c r="T229" s="181" t="s">
        <v>926</v>
      </c>
      <c r="U229" s="183">
        <v>4838518.6900000004</v>
      </c>
      <c r="V229" s="183">
        <v>5034392.07</v>
      </c>
      <c r="W229" s="183">
        <v>5222017.93</v>
      </c>
      <c r="X229" s="181" t="s">
        <v>926</v>
      </c>
    </row>
    <row r="230" spans="1:24" ht="55.95" customHeight="1" x14ac:dyDescent="0.3">
      <c r="A230" s="181" t="s">
        <v>744</v>
      </c>
      <c r="B230" s="182" t="s">
        <v>298</v>
      </c>
      <c r="C230" s="182" t="s">
        <v>290</v>
      </c>
      <c r="D230" s="182" t="s">
        <v>747</v>
      </c>
      <c r="E230" s="182"/>
      <c r="F230" s="182"/>
      <c r="G230" s="182"/>
      <c r="H230" s="182"/>
      <c r="I230" s="182"/>
      <c r="J230" s="182"/>
      <c r="K230" s="182"/>
      <c r="L230" s="182"/>
      <c r="M230" s="182"/>
      <c r="N230" s="182"/>
      <c r="O230" s="182"/>
      <c r="P230" s="182"/>
      <c r="Q230" s="182"/>
      <c r="R230" s="182"/>
      <c r="S230" s="182"/>
      <c r="T230" s="181" t="s">
        <v>744</v>
      </c>
      <c r="U230" s="183">
        <v>100000</v>
      </c>
      <c r="V230" s="183">
        <v>100000</v>
      </c>
      <c r="W230" s="183">
        <v>100000</v>
      </c>
      <c r="X230" s="181" t="s">
        <v>744</v>
      </c>
    </row>
    <row r="231" spans="1:24" ht="111.75" customHeight="1" x14ac:dyDescent="0.3">
      <c r="A231" s="181" t="s">
        <v>746</v>
      </c>
      <c r="B231" s="182" t="s">
        <v>298</v>
      </c>
      <c r="C231" s="182" t="s">
        <v>290</v>
      </c>
      <c r="D231" s="182" t="s">
        <v>747</v>
      </c>
      <c r="E231" s="182"/>
      <c r="F231" s="182"/>
      <c r="G231" s="182"/>
      <c r="H231" s="182"/>
      <c r="I231" s="182"/>
      <c r="J231" s="182"/>
      <c r="K231" s="182"/>
      <c r="L231" s="182"/>
      <c r="M231" s="182"/>
      <c r="N231" s="182"/>
      <c r="O231" s="182"/>
      <c r="P231" s="182"/>
      <c r="Q231" s="182"/>
      <c r="R231" s="182"/>
      <c r="S231" s="182" t="s">
        <v>586</v>
      </c>
      <c r="T231" s="181" t="s">
        <v>746</v>
      </c>
      <c r="U231" s="183">
        <v>100000</v>
      </c>
      <c r="V231" s="183">
        <v>100000</v>
      </c>
      <c r="W231" s="183">
        <v>100000</v>
      </c>
      <c r="X231" s="181" t="s">
        <v>746</v>
      </c>
    </row>
    <row r="232" spans="1:24" ht="74.400000000000006" customHeight="1" x14ac:dyDescent="0.3">
      <c r="A232" s="181" t="s">
        <v>748</v>
      </c>
      <c r="B232" s="182" t="s">
        <v>298</v>
      </c>
      <c r="C232" s="182" t="s">
        <v>290</v>
      </c>
      <c r="D232" s="182" t="s">
        <v>749</v>
      </c>
      <c r="E232" s="182"/>
      <c r="F232" s="182"/>
      <c r="G232" s="182"/>
      <c r="H232" s="182"/>
      <c r="I232" s="182"/>
      <c r="J232" s="182"/>
      <c r="K232" s="182"/>
      <c r="L232" s="182"/>
      <c r="M232" s="182"/>
      <c r="N232" s="182"/>
      <c r="O232" s="182"/>
      <c r="P232" s="182"/>
      <c r="Q232" s="182"/>
      <c r="R232" s="182"/>
      <c r="S232" s="182"/>
      <c r="T232" s="181" t="s">
        <v>748</v>
      </c>
      <c r="U232" s="183">
        <f>U233</f>
        <v>0</v>
      </c>
      <c r="V232" s="183">
        <v>100000</v>
      </c>
      <c r="W232" s="183">
        <v>100000</v>
      </c>
      <c r="X232" s="181" t="s">
        <v>748</v>
      </c>
    </row>
    <row r="233" spans="1:24" ht="111.75" customHeight="1" x14ac:dyDescent="0.3">
      <c r="A233" s="181" t="s">
        <v>750</v>
      </c>
      <c r="B233" s="182" t="s">
        <v>298</v>
      </c>
      <c r="C233" s="182" t="s">
        <v>290</v>
      </c>
      <c r="D233" s="182" t="s">
        <v>749</v>
      </c>
      <c r="E233" s="182"/>
      <c r="F233" s="182"/>
      <c r="G233" s="182"/>
      <c r="H233" s="182"/>
      <c r="I233" s="182"/>
      <c r="J233" s="182"/>
      <c r="K233" s="182"/>
      <c r="L233" s="182"/>
      <c r="M233" s="182"/>
      <c r="N233" s="182"/>
      <c r="O233" s="182"/>
      <c r="P233" s="182"/>
      <c r="Q233" s="182"/>
      <c r="R233" s="182"/>
      <c r="S233" s="182" t="s">
        <v>586</v>
      </c>
      <c r="T233" s="181" t="s">
        <v>750</v>
      </c>
      <c r="U233" s="183">
        <f>100000-100000</f>
        <v>0</v>
      </c>
      <c r="V233" s="183">
        <v>100000</v>
      </c>
      <c r="W233" s="183">
        <v>100000</v>
      </c>
      <c r="X233" s="181" t="s">
        <v>750</v>
      </c>
    </row>
    <row r="234" spans="1:24" ht="37.200000000000003" customHeight="1" x14ac:dyDescent="0.3">
      <c r="A234" s="181" t="s">
        <v>751</v>
      </c>
      <c r="B234" s="182" t="s">
        <v>298</v>
      </c>
      <c r="C234" s="182" t="s">
        <v>290</v>
      </c>
      <c r="D234" s="182" t="s">
        <v>752</v>
      </c>
      <c r="E234" s="182"/>
      <c r="F234" s="182"/>
      <c r="G234" s="182"/>
      <c r="H234" s="182"/>
      <c r="I234" s="182"/>
      <c r="J234" s="182"/>
      <c r="K234" s="182"/>
      <c r="L234" s="182"/>
      <c r="M234" s="182"/>
      <c r="N234" s="182"/>
      <c r="O234" s="182"/>
      <c r="P234" s="182"/>
      <c r="Q234" s="182"/>
      <c r="R234" s="182"/>
      <c r="S234" s="182"/>
      <c r="T234" s="181" t="s">
        <v>751</v>
      </c>
      <c r="U234" s="183">
        <v>500000</v>
      </c>
      <c r="V234" s="183">
        <v>500000</v>
      </c>
      <c r="W234" s="183">
        <v>500000</v>
      </c>
      <c r="X234" s="181" t="s">
        <v>751</v>
      </c>
    </row>
    <row r="235" spans="1:24" ht="93" customHeight="1" x14ac:dyDescent="0.3">
      <c r="A235" s="181" t="s">
        <v>753</v>
      </c>
      <c r="B235" s="182" t="s">
        <v>298</v>
      </c>
      <c r="C235" s="182" t="s">
        <v>290</v>
      </c>
      <c r="D235" s="182" t="s">
        <v>752</v>
      </c>
      <c r="E235" s="182"/>
      <c r="F235" s="182"/>
      <c r="G235" s="182"/>
      <c r="H235" s="182"/>
      <c r="I235" s="182"/>
      <c r="J235" s="182"/>
      <c r="K235" s="182"/>
      <c r="L235" s="182"/>
      <c r="M235" s="182"/>
      <c r="N235" s="182"/>
      <c r="O235" s="182"/>
      <c r="P235" s="182"/>
      <c r="Q235" s="182"/>
      <c r="R235" s="182"/>
      <c r="S235" s="182" t="s">
        <v>586</v>
      </c>
      <c r="T235" s="181" t="s">
        <v>753</v>
      </c>
      <c r="U235" s="183">
        <v>500000</v>
      </c>
      <c r="V235" s="183">
        <v>500000</v>
      </c>
      <c r="W235" s="183">
        <v>500000</v>
      </c>
      <c r="X235" s="181" t="s">
        <v>753</v>
      </c>
    </row>
    <row r="236" spans="1:24" ht="111.75" customHeight="1" x14ac:dyDescent="0.3">
      <c r="A236" s="181" t="s">
        <v>527</v>
      </c>
      <c r="B236" s="182" t="s">
        <v>298</v>
      </c>
      <c r="C236" s="182" t="s">
        <v>290</v>
      </c>
      <c r="D236" s="182" t="s">
        <v>754</v>
      </c>
      <c r="E236" s="182"/>
      <c r="F236" s="182"/>
      <c r="G236" s="182"/>
      <c r="H236" s="182"/>
      <c r="I236" s="182"/>
      <c r="J236" s="182"/>
      <c r="K236" s="182"/>
      <c r="L236" s="182"/>
      <c r="M236" s="182"/>
      <c r="N236" s="182"/>
      <c r="O236" s="182"/>
      <c r="P236" s="182"/>
      <c r="Q236" s="182"/>
      <c r="R236" s="182"/>
      <c r="S236" s="182"/>
      <c r="T236" s="181" t="s">
        <v>527</v>
      </c>
      <c r="U236" s="183">
        <v>525500</v>
      </c>
      <c r="V236" s="183">
        <v>550198.5</v>
      </c>
      <c r="W236" s="183">
        <v>573857.04</v>
      </c>
      <c r="X236" s="181" t="s">
        <v>527</v>
      </c>
    </row>
    <row r="237" spans="1:24" ht="148.94999999999999" customHeight="1" x14ac:dyDescent="0.3">
      <c r="A237" s="181" t="s">
        <v>755</v>
      </c>
      <c r="B237" s="182" t="s">
        <v>298</v>
      </c>
      <c r="C237" s="182" t="s">
        <v>290</v>
      </c>
      <c r="D237" s="182" t="s">
        <v>754</v>
      </c>
      <c r="E237" s="182"/>
      <c r="F237" s="182"/>
      <c r="G237" s="182"/>
      <c r="H237" s="182"/>
      <c r="I237" s="182"/>
      <c r="J237" s="182"/>
      <c r="K237" s="182"/>
      <c r="L237" s="182"/>
      <c r="M237" s="182"/>
      <c r="N237" s="182"/>
      <c r="O237" s="182"/>
      <c r="P237" s="182"/>
      <c r="Q237" s="182"/>
      <c r="R237" s="182"/>
      <c r="S237" s="182" t="s">
        <v>586</v>
      </c>
      <c r="T237" s="181" t="s">
        <v>755</v>
      </c>
      <c r="U237" s="183">
        <v>525500</v>
      </c>
      <c r="V237" s="183">
        <v>550198.5</v>
      </c>
      <c r="W237" s="183">
        <v>573857.04</v>
      </c>
      <c r="X237" s="181" t="s">
        <v>755</v>
      </c>
    </row>
    <row r="238" spans="1:24" ht="18.600000000000001" customHeight="1" x14ac:dyDescent="0.3">
      <c r="A238" s="179" t="s">
        <v>756</v>
      </c>
      <c r="B238" s="191" t="s">
        <v>300</v>
      </c>
      <c r="C238" s="191" t="s">
        <v>317</v>
      </c>
      <c r="D238" s="191"/>
      <c r="E238" s="191"/>
      <c r="F238" s="191"/>
      <c r="G238" s="191"/>
      <c r="H238" s="191"/>
      <c r="I238" s="191"/>
      <c r="J238" s="191"/>
      <c r="K238" s="191"/>
      <c r="L238" s="191"/>
      <c r="M238" s="191"/>
      <c r="N238" s="191"/>
      <c r="O238" s="191"/>
      <c r="P238" s="191"/>
      <c r="Q238" s="191"/>
      <c r="R238" s="191"/>
      <c r="S238" s="191"/>
      <c r="T238" s="179" t="s">
        <v>756</v>
      </c>
      <c r="U238" s="180">
        <v>573400</v>
      </c>
      <c r="V238" s="180">
        <v>573400</v>
      </c>
      <c r="W238" s="180">
        <v>573400</v>
      </c>
      <c r="X238" s="179" t="s">
        <v>756</v>
      </c>
    </row>
    <row r="239" spans="1:24" ht="37.200000000000003" customHeight="1" x14ac:dyDescent="0.3">
      <c r="A239" s="181" t="s">
        <v>371</v>
      </c>
      <c r="B239" s="182" t="s">
        <v>300</v>
      </c>
      <c r="C239" s="182" t="s">
        <v>300</v>
      </c>
      <c r="D239" s="182"/>
      <c r="E239" s="182"/>
      <c r="F239" s="182"/>
      <c r="G239" s="182"/>
      <c r="H239" s="182"/>
      <c r="I239" s="182"/>
      <c r="J239" s="182"/>
      <c r="K239" s="182"/>
      <c r="L239" s="182"/>
      <c r="M239" s="182"/>
      <c r="N239" s="182"/>
      <c r="O239" s="182"/>
      <c r="P239" s="182"/>
      <c r="Q239" s="182"/>
      <c r="R239" s="182"/>
      <c r="S239" s="182"/>
      <c r="T239" s="181" t="s">
        <v>371</v>
      </c>
      <c r="U239" s="183">
        <v>573400</v>
      </c>
      <c r="V239" s="183">
        <v>573400</v>
      </c>
      <c r="W239" s="183">
        <v>573400</v>
      </c>
      <c r="X239" s="181" t="s">
        <v>371</v>
      </c>
    </row>
    <row r="240" spans="1:24" ht="353.7" customHeight="1" x14ac:dyDescent="0.3">
      <c r="A240" s="187" t="s">
        <v>512</v>
      </c>
      <c r="B240" s="182" t="s">
        <v>300</v>
      </c>
      <c r="C240" s="182" t="s">
        <v>300</v>
      </c>
      <c r="D240" s="182" t="s">
        <v>757</v>
      </c>
      <c r="E240" s="182"/>
      <c r="F240" s="182"/>
      <c r="G240" s="182"/>
      <c r="H240" s="182"/>
      <c r="I240" s="182"/>
      <c r="J240" s="182"/>
      <c r="K240" s="182"/>
      <c r="L240" s="182"/>
      <c r="M240" s="182"/>
      <c r="N240" s="182"/>
      <c r="O240" s="182"/>
      <c r="P240" s="182"/>
      <c r="Q240" s="182"/>
      <c r="R240" s="182"/>
      <c r="S240" s="182"/>
      <c r="T240" s="187" t="s">
        <v>512</v>
      </c>
      <c r="U240" s="183">
        <v>573400</v>
      </c>
      <c r="V240" s="183">
        <v>573400</v>
      </c>
      <c r="W240" s="183">
        <v>573400</v>
      </c>
      <c r="X240" s="187" t="s">
        <v>512</v>
      </c>
    </row>
    <row r="241" spans="1:24" ht="409.6" customHeight="1" x14ac:dyDescent="0.3">
      <c r="A241" s="187" t="s">
        <v>758</v>
      </c>
      <c r="B241" s="182" t="s">
        <v>300</v>
      </c>
      <c r="C241" s="182" t="s">
        <v>300</v>
      </c>
      <c r="D241" s="182" t="s">
        <v>757</v>
      </c>
      <c r="E241" s="182"/>
      <c r="F241" s="182"/>
      <c r="G241" s="182"/>
      <c r="H241" s="182"/>
      <c r="I241" s="182"/>
      <c r="J241" s="182"/>
      <c r="K241" s="182"/>
      <c r="L241" s="182"/>
      <c r="M241" s="182"/>
      <c r="N241" s="182"/>
      <c r="O241" s="182"/>
      <c r="P241" s="182"/>
      <c r="Q241" s="182"/>
      <c r="R241" s="182"/>
      <c r="S241" s="182" t="s">
        <v>162</v>
      </c>
      <c r="T241" s="187" t="s">
        <v>758</v>
      </c>
      <c r="U241" s="183">
        <v>540519.57999999996</v>
      </c>
      <c r="V241" s="183">
        <v>540519.57999999996</v>
      </c>
      <c r="W241" s="183">
        <v>540519.57999999996</v>
      </c>
      <c r="X241" s="187" t="s">
        <v>758</v>
      </c>
    </row>
    <row r="242" spans="1:24" ht="390.9" customHeight="1" x14ac:dyDescent="0.3">
      <c r="A242" s="187" t="s">
        <v>759</v>
      </c>
      <c r="B242" s="182" t="s">
        <v>300</v>
      </c>
      <c r="C242" s="182" t="s">
        <v>300</v>
      </c>
      <c r="D242" s="182" t="s">
        <v>757</v>
      </c>
      <c r="E242" s="182"/>
      <c r="F242" s="182"/>
      <c r="G242" s="182"/>
      <c r="H242" s="182"/>
      <c r="I242" s="182"/>
      <c r="J242" s="182"/>
      <c r="K242" s="182"/>
      <c r="L242" s="182"/>
      <c r="M242" s="182"/>
      <c r="N242" s="182"/>
      <c r="O242" s="182"/>
      <c r="P242" s="182"/>
      <c r="Q242" s="182"/>
      <c r="R242" s="182"/>
      <c r="S242" s="182" t="s">
        <v>586</v>
      </c>
      <c r="T242" s="187" t="s">
        <v>759</v>
      </c>
      <c r="U242" s="183">
        <v>32880.42</v>
      </c>
      <c r="V242" s="183">
        <v>32880.42</v>
      </c>
      <c r="W242" s="183">
        <v>32880.42</v>
      </c>
      <c r="X242" s="187" t="s">
        <v>759</v>
      </c>
    </row>
    <row r="243" spans="1:24" ht="18.600000000000001" customHeight="1" x14ac:dyDescent="0.3">
      <c r="A243" s="179" t="s">
        <v>760</v>
      </c>
      <c r="B243" s="191" t="s">
        <v>347</v>
      </c>
      <c r="C243" s="191" t="s">
        <v>317</v>
      </c>
      <c r="D243" s="191"/>
      <c r="E243" s="191"/>
      <c r="F243" s="191"/>
      <c r="G243" s="191"/>
      <c r="H243" s="191"/>
      <c r="I243" s="191"/>
      <c r="J243" s="191"/>
      <c r="K243" s="191"/>
      <c r="L243" s="191"/>
      <c r="M243" s="191"/>
      <c r="N243" s="191"/>
      <c r="O243" s="191"/>
      <c r="P243" s="191"/>
      <c r="Q243" s="191"/>
      <c r="R243" s="191"/>
      <c r="S243" s="191"/>
      <c r="T243" s="179" t="s">
        <v>760</v>
      </c>
      <c r="U243" s="180">
        <f>U244+U249+U260</f>
        <v>43208649.370000005</v>
      </c>
      <c r="V243" s="180">
        <f>V244+V249+V260</f>
        <v>43222902.009999998</v>
      </c>
      <c r="W243" s="180">
        <f>W244+W249+W260</f>
        <v>43463775.189999998</v>
      </c>
      <c r="X243" s="179" t="s">
        <v>760</v>
      </c>
    </row>
    <row r="244" spans="1:24" ht="18.600000000000001" customHeight="1" x14ac:dyDescent="0.3">
      <c r="A244" s="181" t="s">
        <v>372</v>
      </c>
      <c r="B244" s="182" t="s">
        <v>347</v>
      </c>
      <c r="C244" s="182" t="s">
        <v>290</v>
      </c>
      <c r="D244" s="182"/>
      <c r="E244" s="182"/>
      <c r="F244" s="182"/>
      <c r="G244" s="182"/>
      <c r="H244" s="182"/>
      <c r="I244" s="182"/>
      <c r="J244" s="182"/>
      <c r="K244" s="182"/>
      <c r="L244" s="182"/>
      <c r="M244" s="182"/>
      <c r="N244" s="182"/>
      <c r="O244" s="182"/>
      <c r="P244" s="182"/>
      <c r="Q244" s="182"/>
      <c r="R244" s="182"/>
      <c r="S244" s="182"/>
      <c r="T244" s="181" t="s">
        <v>372</v>
      </c>
      <c r="U244" s="312">
        <v>1777523.32</v>
      </c>
      <c r="V244" s="183">
        <v>1843582.91</v>
      </c>
      <c r="W244" s="183">
        <v>1906860.97</v>
      </c>
      <c r="X244" s="181" t="s">
        <v>372</v>
      </c>
    </row>
    <row r="245" spans="1:24" ht="111.75" customHeight="1" x14ac:dyDescent="0.3">
      <c r="A245" s="181" t="s">
        <v>761</v>
      </c>
      <c r="B245" s="182" t="s">
        <v>347</v>
      </c>
      <c r="C245" s="182" t="s">
        <v>290</v>
      </c>
      <c r="D245" s="182" t="s">
        <v>762</v>
      </c>
      <c r="E245" s="182"/>
      <c r="F245" s="182"/>
      <c r="G245" s="182"/>
      <c r="H245" s="182"/>
      <c r="I245" s="182"/>
      <c r="J245" s="182"/>
      <c r="K245" s="182"/>
      <c r="L245" s="182"/>
      <c r="M245" s="182"/>
      <c r="N245" s="182"/>
      <c r="O245" s="182"/>
      <c r="P245" s="182"/>
      <c r="Q245" s="182"/>
      <c r="R245" s="182"/>
      <c r="S245" s="182"/>
      <c r="T245" s="181" t="s">
        <v>761</v>
      </c>
      <c r="U245" s="183">
        <v>1294537.72</v>
      </c>
      <c r="V245" s="183">
        <v>1355380.99</v>
      </c>
      <c r="W245" s="183">
        <v>1413662.37</v>
      </c>
      <c r="X245" s="181" t="s">
        <v>761</v>
      </c>
    </row>
    <row r="246" spans="1:24" ht="148.94999999999999" customHeight="1" x14ac:dyDescent="0.3">
      <c r="A246" s="181" t="s">
        <v>763</v>
      </c>
      <c r="B246" s="182" t="s">
        <v>347</v>
      </c>
      <c r="C246" s="182" t="s">
        <v>290</v>
      </c>
      <c r="D246" s="182" t="s">
        <v>762</v>
      </c>
      <c r="E246" s="182"/>
      <c r="F246" s="182"/>
      <c r="G246" s="182"/>
      <c r="H246" s="182"/>
      <c r="I246" s="182"/>
      <c r="J246" s="182"/>
      <c r="K246" s="182"/>
      <c r="L246" s="182"/>
      <c r="M246" s="182"/>
      <c r="N246" s="182"/>
      <c r="O246" s="182"/>
      <c r="P246" s="182"/>
      <c r="Q246" s="182"/>
      <c r="R246" s="182"/>
      <c r="S246" s="182" t="s">
        <v>764</v>
      </c>
      <c r="T246" s="181" t="s">
        <v>763</v>
      </c>
      <c r="U246" s="183">
        <v>1294537.72</v>
      </c>
      <c r="V246" s="183">
        <v>1355380.99</v>
      </c>
      <c r="W246" s="183">
        <v>1413662.37</v>
      </c>
      <c r="X246" s="181" t="s">
        <v>763</v>
      </c>
    </row>
    <row r="247" spans="1:24" ht="223.35" customHeight="1" x14ac:dyDescent="0.3">
      <c r="A247" s="187" t="s">
        <v>890</v>
      </c>
      <c r="B247" s="182" t="s">
        <v>347</v>
      </c>
      <c r="C247" s="182" t="s">
        <v>290</v>
      </c>
      <c r="D247" s="182" t="s">
        <v>891</v>
      </c>
      <c r="E247" s="182"/>
      <c r="F247" s="182"/>
      <c r="G247" s="182"/>
      <c r="H247" s="182"/>
      <c r="I247" s="182"/>
      <c r="J247" s="182"/>
      <c r="K247" s="182"/>
      <c r="L247" s="182"/>
      <c r="M247" s="182"/>
      <c r="N247" s="182"/>
      <c r="O247" s="182"/>
      <c r="P247" s="182"/>
      <c r="Q247" s="182"/>
      <c r="R247" s="182"/>
      <c r="S247" s="182"/>
      <c r="T247" s="187" t="s">
        <v>890</v>
      </c>
      <c r="U247" s="183">
        <v>482985.6</v>
      </c>
      <c r="V247" s="183">
        <v>488201.92</v>
      </c>
      <c r="W247" s="183">
        <v>493198.6</v>
      </c>
      <c r="X247" s="187" t="s">
        <v>890</v>
      </c>
    </row>
    <row r="248" spans="1:24" ht="260.7" customHeight="1" x14ac:dyDescent="0.3">
      <c r="A248" s="187" t="s">
        <v>892</v>
      </c>
      <c r="B248" s="182" t="s">
        <v>347</v>
      </c>
      <c r="C248" s="182" t="s">
        <v>290</v>
      </c>
      <c r="D248" s="182" t="s">
        <v>891</v>
      </c>
      <c r="E248" s="182"/>
      <c r="F248" s="182"/>
      <c r="G248" s="182"/>
      <c r="H248" s="182"/>
      <c r="I248" s="182"/>
      <c r="J248" s="182"/>
      <c r="K248" s="182"/>
      <c r="L248" s="182"/>
      <c r="M248" s="182"/>
      <c r="N248" s="182"/>
      <c r="O248" s="182"/>
      <c r="P248" s="182"/>
      <c r="Q248" s="182"/>
      <c r="R248" s="182"/>
      <c r="S248" s="182" t="s">
        <v>764</v>
      </c>
      <c r="T248" s="187" t="s">
        <v>892</v>
      </c>
      <c r="U248" s="183">
        <v>482985.6</v>
      </c>
      <c r="V248" s="183">
        <v>488201.92</v>
      </c>
      <c r="W248" s="183">
        <v>493198.6</v>
      </c>
      <c r="X248" s="187" t="s">
        <v>892</v>
      </c>
    </row>
    <row r="249" spans="1:24" ht="18.600000000000001" customHeight="1" x14ac:dyDescent="0.3">
      <c r="A249" s="181" t="s">
        <v>373</v>
      </c>
      <c r="B249" s="182" t="s">
        <v>347</v>
      </c>
      <c r="C249" s="182" t="s">
        <v>292</v>
      </c>
      <c r="D249" s="182"/>
      <c r="E249" s="182"/>
      <c r="F249" s="182"/>
      <c r="G249" s="182"/>
      <c r="H249" s="182"/>
      <c r="I249" s="182"/>
      <c r="J249" s="182"/>
      <c r="K249" s="182"/>
      <c r="L249" s="182"/>
      <c r="M249" s="182"/>
      <c r="N249" s="182"/>
      <c r="O249" s="182"/>
      <c r="P249" s="182"/>
      <c r="Q249" s="182"/>
      <c r="R249" s="182"/>
      <c r="S249" s="182"/>
      <c r="T249" s="181" t="s">
        <v>373</v>
      </c>
      <c r="U249" s="312">
        <f>U250+U252+U254+U256+U258</f>
        <v>1215300</v>
      </c>
      <c r="V249" s="183">
        <v>1130119.1000000001</v>
      </c>
      <c r="W249" s="183">
        <v>1294314.22</v>
      </c>
      <c r="X249" s="181" t="s">
        <v>373</v>
      </c>
    </row>
    <row r="250" spans="1:24" ht="74.400000000000006" customHeight="1" x14ac:dyDescent="0.3">
      <c r="A250" s="181" t="s">
        <v>765</v>
      </c>
      <c r="B250" s="182" t="s">
        <v>347</v>
      </c>
      <c r="C250" s="182" t="s">
        <v>292</v>
      </c>
      <c r="D250" s="182" t="s">
        <v>766</v>
      </c>
      <c r="E250" s="182"/>
      <c r="F250" s="182"/>
      <c r="G250" s="182"/>
      <c r="H250" s="182"/>
      <c r="I250" s="182"/>
      <c r="J250" s="182"/>
      <c r="K250" s="182"/>
      <c r="L250" s="182"/>
      <c r="M250" s="182"/>
      <c r="N250" s="182"/>
      <c r="O250" s="182"/>
      <c r="P250" s="182"/>
      <c r="Q250" s="182"/>
      <c r="R250" s="182"/>
      <c r="S250" s="182"/>
      <c r="T250" s="181" t="s">
        <v>765</v>
      </c>
      <c r="U250" s="183">
        <v>50000</v>
      </c>
      <c r="V250" s="183">
        <v>50000</v>
      </c>
      <c r="W250" s="183">
        <v>50000</v>
      </c>
      <c r="X250" s="181" t="s">
        <v>765</v>
      </c>
    </row>
    <row r="251" spans="1:24" ht="111.75" customHeight="1" x14ac:dyDescent="0.3">
      <c r="A251" s="181" t="s">
        <v>767</v>
      </c>
      <c r="B251" s="182" t="s">
        <v>347</v>
      </c>
      <c r="C251" s="182" t="s">
        <v>292</v>
      </c>
      <c r="D251" s="182" t="s">
        <v>766</v>
      </c>
      <c r="E251" s="182"/>
      <c r="F251" s="182"/>
      <c r="G251" s="182"/>
      <c r="H251" s="182"/>
      <c r="I251" s="182"/>
      <c r="J251" s="182"/>
      <c r="K251" s="182"/>
      <c r="L251" s="182"/>
      <c r="M251" s="182"/>
      <c r="N251" s="182"/>
      <c r="O251" s="182"/>
      <c r="P251" s="182"/>
      <c r="Q251" s="182"/>
      <c r="R251" s="182"/>
      <c r="S251" s="182" t="s">
        <v>586</v>
      </c>
      <c r="T251" s="181" t="s">
        <v>767</v>
      </c>
      <c r="U251" s="183">
        <v>50000</v>
      </c>
      <c r="V251" s="183">
        <v>50000</v>
      </c>
      <c r="W251" s="183">
        <v>50000</v>
      </c>
      <c r="X251" s="181" t="s">
        <v>767</v>
      </c>
    </row>
    <row r="252" spans="1:24" ht="55.95" customHeight="1" x14ac:dyDescent="0.3">
      <c r="A252" s="181" t="s">
        <v>768</v>
      </c>
      <c r="B252" s="182" t="s">
        <v>347</v>
      </c>
      <c r="C252" s="182" t="s">
        <v>292</v>
      </c>
      <c r="D252" s="182" t="s">
        <v>769</v>
      </c>
      <c r="E252" s="182"/>
      <c r="F252" s="182"/>
      <c r="G252" s="182"/>
      <c r="H252" s="182"/>
      <c r="I252" s="182"/>
      <c r="J252" s="182"/>
      <c r="K252" s="182"/>
      <c r="L252" s="182"/>
      <c r="M252" s="182"/>
      <c r="N252" s="182"/>
      <c r="O252" s="182"/>
      <c r="P252" s="182"/>
      <c r="Q252" s="182"/>
      <c r="R252" s="182"/>
      <c r="S252" s="182"/>
      <c r="T252" s="181" t="s">
        <v>768</v>
      </c>
      <c r="U252" s="183">
        <v>500000</v>
      </c>
      <c r="V252" s="183">
        <v>600000</v>
      </c>
      <c r="W252" s="183">
        <v>700000</v>
      </c>
      <c r="X252" s="181" t="s">
        <v>768</v>
      </c>
    </row>
    <row r="253" spans="1:24" ht="93" customHeight="1" x14ac:dyDescent="0.3">
      <c r="A253" s="181" t="s">
        <v>770</v>
      </c>
      <c r="B253" s="182" t="s">
        <v>347</v>
      </c>
      <c r="C253" s="182" t="s">
        <v>292</v>
      </c>
      <c r="D253" s="182" t="s">
        <v>769</v>
      </c>
      <c r="E253" s="182"/>
      <c r="F253" s="182"/>
      <c r="G253" s="182"/>
      <c r="H253" s="182"/>
      <c r="I253" s="182"/>
      <c r="J253" s="182"/>
      <c r="K253" s="182"/>
      <c r="L253" s="182"/>
      <c r="M253" s="182"/>
      <c r="N253" s="182"/>
      <c r="O253" s="182"/>
      <c r="P253" s="182"/>
      <c r="Q253" s="182"/>
      <c r="R253" s="182"/>
      <c r="S253" s="182" t="s">
        <v>764</v>
      </c>
      <c r="T253" s="181" t="s">
        <v>770</v>
      </c>
      <c r="U253" s="183">
        <v>500000</v>
      </c>
      <c r="V253" s="183">
        <v>600000</v>
      </c>
      <c r="W253" s="183">
        <v>700000</v>
      </c>
      <c r="X253" s="181" t="s">
        <v>770</v>
      </c>
    </row>
    <row r="254" spans="1:24" ht="93" customHeight="1" x14ac:dyDescent="0.3">
      <c r="A254" s="181"/>
      <c r="B254" s="182" t="s">
        <v>347</v>
      </c>
      <c r="C254" s="182" t="s">
        <v>292</v>
      </c>
      <c r="D254" s="182" t="s">
        <v>1034</v>
      </c>
      <c r="E254" s="182"/>
      <c r="F254" s="182"/>
      <c r="G254" s="182"/>
      <c r="H254" s="182"/>
      <c r="I254" s="182"/>
      <c r="J254" s="182"/>
      <c r="K254" s="182"/>
      <c r="L254" s="182"/>
      <c r="M254" s="182"/>
      <c r="N254" s="182"/>
      <c r="O254" s="182"/>
      <c r="P254" s="182"/>
      <c r="Q254" s="182"/>
      <c r="R254" s="182"/>
      <c r="S254" s="182"/>
      <c r="T254" s="305" t="s">
        <v>1032</v>
      </c>
      <c r="U254" s="183">
        <f>U255</f>
        <v>300000</v>
      </c>
      <c r="V254" s="183">
        <f>V255</f>
        <v>0</v>
      </c>
      <c r="W254" s="183">
        <f>W255</f>
        <v>0</v>
      </c>
      <c r="X254" s="181"/>
    </row>
    <row r="255" spans="1:24" ht="93" customHeight="1" x14ac:dyDescent="0.3">
      <c r="A255" s="181"/>
      <c r="B255" s="182" t="s">
        <v>347</v>
      </c>
      <c r="C255" s="182" t="s">
        <v>292</v>
      </c>
      <c r="D255" s="182" t="s">
        <v>1034</v>
      </c>
      <c r="E255" s="182"/>
      <c r="F255" s="182"/>
      <c r="G255" s="182"/>
      <c r="H255" s="182"/>
      <c r="I255" s="182"/>
      <c r="J255" s="182"/>
      <c r="K255" s="182"/>
      <c r="L255" s="182"/>
      <c r="M255" s="182"/>
      <c r="N255" s="182"/>
      <c r="O255" s="182"/>
      <c r="P255" s="182"/>
      <c r="Q255" s="182"/>
      <c r="R255" s="182"/>
      <c r="S255" s="182" t="s">
        <v>764</v>
      </c>
      <c r="T255" s="305" t="s">
        <v>1032</v>
      </c>
      <c r="U255" s="183">
        <v>300000</v>
      </c>
      <c r="V255" s="183">
        <v>0</v>
      </c>
      <c r="W255" s="183">
        <v>0</v>
      </c>
      <c r="X255" s="181"/>
    </row>
    <row r="256" spans="1:24" ht="93" customHeight="1" x14ac:dyDescent="0.3">
      <c r="A256" s="181" t="s">
        <v>771</v>
      </c>
      <c r="B256" s="182" t="s">
        <v>347</v>
      </c>
      <c r="C256" s="182" t="s">
        <v>292</v>
      </c>
      <c r="D256" s="182" t="s">
        <v>772</v>
      </c>
      <c r="E256" s="182"/>
      <c r="F256" s="182"/>
      <c r="G256" s="182"/>
      <c r="H256" s="182"/>
      <c r="I256" s="182"/>
      <c r="J256" s="182"/>
      <c r="K256" s="182"/>
      <c r="L256" s="182"/>
      <c r="M256" s="182"/>
      <c r="N256" s="182"/>
      <c r="O256" s="182"/>
      <c r="P256" s="182"/>
      <c r="Q256" s="182"/>
      <c r="R256" s="182"/>
      <c r="S256" s="182"/>
      <c r="T256" s="181" t="s">
        <v>771</v>
      </c>
      <c r="U256" s="183">
        <f>U257</f>
        <v>50000</v>
      </c>
      <c r="V256" s="183">
        <v>150000</v>
      </c>
      <c r="W256" s="183">
        <v>200000</v>
      </c>
      <c r="X256" s="181" t="s">
        <v>771</v>
      </c>
    </row>
    <row r="257" spans="1:24" ht="130.35" customHeight="1" x14ac:dyDescent="0.3">
      <c r="A257" s="181" t="s">
        <v>773</v>
      </c>
      <c r="B257" s="182" t="s">
        <v>347</v>
      </c>
      <c r="C257" s="182" t="s">
        <v>292</v>
      </c>
      <c r="D257" s="182" t="s">
        <v>772</v>
      </c>
      <c r="E257" s="182"/>
      <c r="F257" s="182"/>
      <c r="G257" s="182"/>
      <c r="H257" s="182"/>
      <c r="I257" s="182"/>
      <c r="J257" s="182"/>
      <c r="K257" s="182"/>
      <c r="L257" s="182"/>
      <c r="M257" s="182"/>
      <c r="N257" s="182"/>
      <c r="O257" s="182"/>
      <c r="P257" s="182"/>
      <c r="Q257" s="182"/>
      <c r="R257" s="182"/>
      <c r="S257" s="182" t="s">
        <v>586</v>
      </c>
      <c r="T257" s="181" t="s">
        <v>773</v>
      </c>
      <c r="U257" s="183">
        <f>100000-50000</f>
        <v>50000</v>
      </c>
      <c r="V257" s="183">
        <v>150000</v>
      </c>
      <c r="W257" s="183">
        <v>200000</v>
      </c>
      <c r="X257" s="181" t="s">
        <v>773</v>
      </c>
    </row>
    <row r="258" spans="1:24" ht="74.400000000000006" customHeight="1" x14ac:dyDescent="0.3">
      <c r="A258" s="181" t="s">
        <v>525</v>
      </c>
      <c r="B258" s="182" t="s">
        <v>347</v>
      </c>
      <c r="C258" s="182" t="s">
        <v>292</v>
      </c>
      <c r="D258" s="182" t="s">
        <v>774</v>
      </c>
      <c r="E258" s="182"/>
      <c r="F258" s="182"/>
      <c r="G258" s="182"/>
      <c r="H258" s="182"/>
      <c r="I258" s="182"/>
      <c r="J258" s="182"/>
      <c r="K258" s="182"/>
      <c r="L258" s="182"/>
      <c r="M258" s="182"/>
      <c r="N258" s="182"/>
      <c r="O258" s="182"/>
      <c r="P258" s="182"/>
      <c r="Q258" s="182"/>
      <c r="R258" s="182"/>
      <c r="S258" s="182"/>
      <c r="T258" s="181" t="s">
        <v>525</v>
      </c>
      <c r="U258" s="183">
        <v>315300</v>
      </c>
      <c r="V258" s="183">
        <v>330119.09999999998</v>
      </c>
      <c r="W258" s="183">
        <v>344314.22</v>
      </c>
      <c r="X258" s="181" t="s">
        <v>525</v>
      </c>
    </row>
    <row r="259" spans="1:24" ht="111.75" customHeight="1" x14ac:dyDescent="0.3">
      <c r="A259" s="181" t="s">
        <v>775</v>
      </c>
      <c r="B259" s="182" t="s">
        <v>347</v>
      </c>
      <c r="C259" s="182" t="s">
        <v>292</v>
      </c>
      <c r="D259" s="182" t="s">
        <v>774</v>
      </c>
      <c r="E259" s="182"/>
      <c r="F259" s="182"/>
      <c r="G259" s="182"/>
      <c r="H259" s="182"/>
      <c r="I259" s="182"/>
      <c r="J259" s="182"/>
      <c r="K259" s="182"/>
      <c r="L259" s="182"/>
      <c r="M259" s="182"/>
      <c r="N259" s="182"/>
      <c r="O259" s="182"/>
      <c r="P259" s="182"/>
      <c r="Q259" s="182"/>
      <c r="R259" s="182"/>
      <c r="S259" s="182" t="s">
        <v>764</v>
      </c>
      <c r="T259" s="181" t="s">
        <v>775</v>
      </c>
      <c r="U259" s="183">
        <v>315300</v>
      </c>
      <c r="V259" s="183">
        <v>330119.09999999998</v>
      </c>
      <c r="W259" s="183">
        <v>344314.22</v>
      </c>
      <c r="X259" s="181" t="s">
        <v>775</v>
      </c>
    </row>
    <row r="260" spans="1:24" ht="18.600000000000001" customHeight="1" x14ac:dyDescent="0.3">
      <c r="A260" s="181" t="s">
        <v>374</v>
      </c>
      <c r="B260" s="182" t="s">
        <v>347</v>
      </c>
      <c r="C260" s="182" t="s">
        <v>335</v>
      </c>
      <c r="D260" s="182"/>
      <c r="E260" s="182"/>
      <c r="F260" s="182"/>
      <c r="G260" s="182"/>
      <c r="H260" s="182"/>
      <c r="I260" s="182"/>
      <c r="J260" s="182"/>
      <c r="K260" s="182"/>
      <c r="L260" s="182"/>
      <c r="M260" s="182"/>
      <c r="N260" s="182"/>
      <c r="O260" s="182"/>
      <c r="P260" s="182"/>
      <c r="Q260" s="182"/>
      <c r="R260" s="182"/>
      <c r="S260" s="182"/>
      <c r="T260" s="181" t="s">
        <v>374</v>
      </c>
      <c r="U260" s="312">
        <f>U261+U263+U265+U268+U270+U272+U274</f>
        <v>40215826.050000004</v>
      </c>
      <c r="V260" s="312">
        <f>V261+V263+V265+V268+V270+V272+V274</f>
        <v>40249200</v>
      </c>
      <c r="W260" s="312">
        <f>W261+W263+W265+W268+W270+W272+W274</f>
        <v>40262600</v>
      </c>
      <c r="X260" s="181" t="s">
        <v>374</v>
      </c>
    </row>
    <row r="261" spans="1:24" ht="55.95" customHeight="1" x14ac:dyDescent="0.3">
      <c r="A261" s="181" t="s">
        <v>893</v>
      </c>
      <c r="B261" s="182" t="s">
        <v>347</v>
      </c>
      <c r="C261" s="182" t="s">
        <v>335</v>
      </c>
      <c r="D261" s="182" t="s">
        <v>894</v>
      </c>
      <c r="E261" s="182"/>
      <c r="F261" s="182"/>
      <c r="G261" s="182"/>
      <c r="H261" s="182"/>
      <c r="I261" s="182"/>
      <c r="J261" s="182"/>
      <c r="K261" s="182"/>
      <c r="L261" s="182"/>
      <c r="M261" s="182"/>
      <c r="N261" s="182"/>
      <c r="O261" s="182"/>
      <c r="P261" s="182"/>
      <c r="Q261" s="182"/>
      <c r="R261" s="182"/>
      <c r="S261" s="182"/>
      <c r="T261" s="181" t="s">
        <v>893</v>
      </c>
      <c r="U261" s="183">
        <f>U262</f>
        <v>6086232</v>
      </c>
      <c r="V261" s="183">
        <v>6086200</v>
      </c>
      <c r="W261" s="183">
        <v>6086200</v>
      </c>
      <c r="X261" s="181" t="s">
        <v>893</v>
      </c>
    </row>
    <row r="262" spans="1:24" ht="74.400000000000006" customHeight="1" x14ac:dyDescent="0.3">
      <c r="A262" s="181" t="s">
        <v>895</v>
      </c>
      <c r="B262" s="182" t="s">
        <v>347</v>
      </c>
      <c r="C262" s="182" t="s">
        <v>335</v>
      </c>
      <c r="D262" s="182" t="s">
        <v>894</v>
      </c>
      <c r="E262" s="182"/>
      <c r="F262" s="182"/>
      <c r="G262" s="182"/>
      <c r="H262" s="182"/>
      <c r="I262" s="182"/>
      <c r="J262" s="182"/>
      <c r="K262" s="182"/>
      <c r="L262" s="182"/>
      <c r="M262" s="182"/>
      <c r="N262" s="182"/>
      <c r="O262" s="182"/>
      <c r="P262" s="182"/>
      <c r="Q262" s="182"/>
      <c r="R262" s="182"/>
      <c r="S262" s="182" t="s">
        <v>764</v>
      </c>
      <c r="T262" s="181" t="s">
        <v>895</v>
      </c>
      <c r="U262" s="183">
        <f>6086200+32</f>
        <v>6086232</v>
      </c>
      <c r="V262" s="183">
        <v>6086200</v>
      </c>
      <c r="W262" s="183">
        <v>6086200</v>
      </c>
      <c r="X262" s="181" t="s">
        <v>895</v>
      </c>
    </row>
    <row r="263" spans="1:24" ht="111.75" customHeight="1" x14ac:dyDescent="0.3">
      <c r="A263" s="181" t="s">
        <v>896</v>
      </c>
      <c r="B263" s="182" t="s">
        <v>347</v>
      </c>
      <c r="C263" s="182" t="s">
        <v>335</v>
      </c>
      <c r="D263" s="182" t="s">
        <v>897</v>
      </c>
      <c r="E263" s="182"/>
      <c r="F263" s="182"/>
      <c r="G263" s="182"/>
      <c r="H263" s="182"/>
      <c r="I263" s="182"/>
      <c r="J263" s="182"/>
      <c r="K263" s="182"/>
      <c r="L263" s="182"/>
      <c r="M263" s="182"/>
      <c r="N263" s="182"/>
      <c r="O263" s="182"/>
      <c r="P263" s="182"/>
      <c r="Q263" s="182"/>
      <c r="R263" s="182"/>
      <c r="S263" s="182"/>
      <c r="T263" s="181" t="s">
        <v>896</v>
      </c>
      <c r="U263" s="183">
        <f>U264</f>
        <v>708409.96</v>
      </c>
      <c r="V263" s="183">
        <v>708400</v>
      </c>
      <c r="W263" s="183">
        <v>708400</v>
      </c>
      <c r="X263" s="181" t="s">
        <v>896</v>
      </c>
    </row>
    <row r="264" spans="1:24" ht="148.94999999999999" customHeight="1" x14ac:dyDescent="0.3">
      <c r="A264" s="181" t="s">
        <v>898</v>
      </c>
      <c r="B264" s="182" t="s">
        <v>347</v>
      </c>
      <c r="C264" s="182" t="s">
        <v>335</v>
      </c>
      <c r="D264" s="182" t="s">
        <v>897</v>
      </c>
      <c r="E264" s="182"/>
      <c r="F264" s="182"/>
      <c r="G264" s="182"/>
      <c r="H264" s="182"/>
      <c r="I264" s="182"/>
      <c r="J264" s="182"/>
      <c r="K264" s="182"/>
      <c r="L264" s="182"/>
      <c r="M264" s="182"/>
      <c r="N264" s="182"/>
      <c r="O264" s="182"/>
      <c r="P264" s="182"/>
      <c r="Q264" s="182"/>
      <c r="R264" s="182"/>
      <c r="S264" s="182" t="s">
        <v>764</v>
      </c>
      <c r="T264" s="181" t="s">
        <v>898</v>
      </c>
      <c r="U264" s="183">
        <f>708400+9.96</f>
        <v>708409.96</v>
      </c>
      <c r="V264" s="183">
        <v>708400</v>
      </c>
      <c r="W264" s="183">
        <v>708400</v>
      </c>
      <c r="X264" s="181" t="s">
        <v>898</v>
      </c>
    </row>
    <row r="265" spans="1:24" ht="148.94999999999999" customHeight="1" x14ac:dyDescent="0.3">
      <c r="A265" s="181"/>
      <c r="B265" s="182" t="s">
        <v>347</v>
      </c>
      <c r="C265" s="182" t="s">
        <v>335</v>
      </c>
      <c r="D265" s="182" t="s">
        <v>874</v>
      </c>
      <c r="E265" s="182"/>
      <c r="F265" s="182"/>
      <c r="G265" s="182"/>
      <c r="H265" s="182"/>
      <c r="I265" s="182"/>
      <c r="J265" s="182"/>
      <c r="K265" s="182"/>
      <c r="L265" s="182"/>
      <c r="M265" s="182"/>
      <c r="N265" s="182"/>
      <c r="O265" s="182"/>
      <c r="P265" s="182"/>
      <c r="Q265" s="182"/>
      <c r="R265" s="182"/>
      <c r="S265" s="182"/>
      <c r="T265" s="181" t="s">
        <v>873</v>
      </c>
      <c r="U265" s="183">
        <f>U266+U267</f>
        <v>1750191.15</v>
      </c>
      <c r="V265" s="183">
        <v>1750200</v>
      </c>
      <c r="W265" s="183">
        <v>1750200</v>
      </c>
      <c r="X265" s="181"/>
    </row>
    <row r="266" spans="1:24" ht="148.94999999999999" customHeight="1" x14ac:dyDescent="0.3">
      <c r="A266" s="181"/>
      <c r="B266" s="182" t="s">
        <v>347</v>
      </c>
      <c r="C266" s="182" t="s">
        <v>335</v>
      </c>
      <c r="D266" s="185" t="s">
        <v>874</v>
      </c>
      <c r="E266" s="182"/>
      <c r="F266" s="182"/>
      <c r="G266" s="182"/>
      <c r="H266" s="182"/>
      <c r="I266" s="182"/>
      <c r="J266" s="182"/>
      <c r="K266" s="182"/>
      <c r="L266" s="182"/>
      <c r="M266" s="182"/>
      <c r="N266" s="182"/>
      <c r="O266" s="182"/>
      <c r="P266" s="182"/>
      <c r="Q266" s="182"/>
      <c r="R266" s="182"/>
      <c r="S266" s="182" t="s">
        <v>162</v>
      </c>
      <c r="T266" s="184" t="s">
        <v>875</v>
      </c>
      <c r="U266" s="183">
        <v>1635414</v>
      </c>
      <c r="V266" s="183">
        <v>1635414</v>
      </c>
      <c r="W266" s="183">
        <v>1635414</v>
      </c>
      <c r="X266" s="181"/>
    </row>
    <row r="267" spans="1:24" ht="148.94999999999999" customHeight="1" x14ac:dyDescent="0.3">
      <c r="A267" s="181"/>
      <c r="B267" s="182" t="s">
        <v>347</v>
      </c>
      <c r="C267" s="182" t="s">
        <v>335</v>
      </c>
      <c r="D267" s="185" t="s">
        <v>874</v>
      </c>
      <c r="E267" s="182"/>
      <c r="F267" s="182"/>
      <c r="G267" s="182"/>
      <c r="H267" s="182"/>
      <c r="I267" s="182"/>
      <c r="J267" s="182"/>
      <c r="K267" s="182"/>
      <c r="L267" s="182"/>
      <c r="M267" s="182"/>
      <c r="N267" s="182"/>
      <c r="O267" s="182"/>
      <c r="P267" s="182"/>
      <c r="Q267" s="182"/>
      <c r="R267" s="182"/>
      <c r="S267" s="182" t="s">
        <v>586</v>
      </c>
      <c r="T267" s="186" t="s">
        <v>876</v>
      </c>
      <c r="U267" s="183">
        <v>114777.15</v>
      </c>
      <c r="V267" s="183">
        <v>114786</v>
      </c>
      <c r="W267" s="183">
        <v>114786</v>
      </c>
      <c r="X267" s="181"/>
    </row>
    <row r="268" spans="1:24" ht="111.75" customHeight="1" x14ac:dyDescent="0.3">
      <c r="A268" s="181" t="s">
        <v>899</v>
      </c>
      <c r="B268" s="182" t="s">
        <v>347</v>
      </c>
      <c r="C268" s="182" t="s">
        <v>335</v>
      </c>
      <c r="D268" s="182" t="s">
        <v>900</v>
      </c>
      <c r="E268" s="182"/>
      <c r="F268" s="182"/>
      <c r="G268" s="182"/>
      <c r="H268" s="182"/>
      <c r="I268" s="182"/>
      <c r="J268" s="182"/>
      <c r="K268" s="182"/>
      <c r="L268" s="182"/>
      <c r="M268" s="182"/>
      <c r="N268" s="182"/>
      <c r="O268" s="182"/>
      <c r="P268" s="182"/>
      <c r="Q268" s="182"/>
      <c r="R268" s="182"/>
      <c r="S268" s="182"/>
      <c r="T268" s="181" t="s">
        <v>899</v>
      </c>
      <c r="U268" s="183">
        <f>U269</f>
        <v>15108902.73</v>
      </c>
      <c r="V268" s="183">
        <v>15108900</v>
      </c>
      <c r="W268" s="183">
        <v>15108900</v>
      </c>
      <c r="X268" s="181" t="s">
        <v>899</v>
      </c>
    </row>
    <row r="269" spans="1:24" ht="148.94999999999999" customHeight="1" x14ac:dyDescent="0.3">
      <c r="A269" s="181" t="s">
        <v>901</v>
      </c>
      <c r="B269" s="182" t="s">
        <v>347</v>
      </c>
      <c r="C269" s="182" t="s">
        <v>335</v>
      </c>
      <c r="D269" s="182" t="s">
        <v>900</v>
      </c>
      <c r="E269" s="182"/>
      <c r="F269" s="182"/>
      <c r="G269" s="182"/>
      <c r="H269" s="182"/>
      <c r="I269" s="182"/>
      <c r="J269" s="182"/>
      <c r="K269" s="182"/>
      <c r="L269" s="182"/>
      <c r="M269" s="182"/>
      <c r="N269" s="182"/>
      <c r="O269" s="182"/>
      <c r="P269" s="182"/>
      <c r="Q269" s="182"/>
      <c r="R269" s="182"/>
      <c r="S269" s="182" t="s">
        <v>764</v>
      </c>
      <c r="T269" s="181" t="s">
        <v>901</v>
      </c>
      <c r="U269" s="183">
        <f>15108900+2.73</f>
        <v>15108902.73</v>
      </c>
      <c r="V269" s="183">
        <v>15108900</v>
      </c>
      <c r="W269" s="183">
        <v>15108900</v>
      </c>
      <c r="X269" s="181" t="s">
        <v>901</v>
      </c>
    </row>
    <row r="270" spans="1:24" ht="111.75" customHeight="1" x14ac:dyDescent="0.3">
      <c r="A270" s="181" t="s">
        <v>513</v>
      </c>
      <c r="B270" s="182" t="s">
        <v>347</v>
      </c>
      <c r="C270" s="182" t="s">
        <v>335</v>
      </c>
      <c r="D270" s="182" t="s">
        <v>776</v>
      </c>
      <c r="E270" s="182"/>
      <c r="F270" s="182"/>
      <c r="G270" s="182"/>
      <c r="H270" s="182"/>
      <c r="I270" s="182"/>
      <c r="J270" s="182"/>
      <c r="K270" s="182"/>
      <c r="L270" s="182"/>
      <c r="M270" s="182"/>
      <c r="N270" s="182"/>
      <c r="O270" s="182"/>
      <c r="P270" s="182"/>
      <c r="Q270" s="182"/>
      <c r="R270" s="182"/>
      <c r="S270" s="182"/>
      <c r="T270" s="181" t="s">
        <v>513</v>
      </c>
      <c r="U270" s="183">
        <v>6534000</v>
      </c>
      <c r="V270" s="183">
        <v>6534000</v>
      </c>
      <c r="W270" s="183">
        <v>6534000</v>
      </c>
      <c r="X270" s="181" t="s">
        <v>513</v>
      </c>
    </row>
    <row r="271" spans="1:24" ht="148.94999999999999" customHeight="1" x14ac:dyDescent="0.3">
      <c r="A271" s="181" t="s">
        <v>777</v>
      </c>
      <c r="B271" s="182" t="s">
        <v>347</v>
      </c>
      <c r="C271" s="182" t="s">
        <v>335</v>
      </c>
      <c r="D271" s="182" t="s">
        <v>776</v>
      </c>
      <c r="E271" s="182"/>
      <c r="F271" s="182"/>
      <c r="G271" s="182"/>
      <c r="H271" s="182"/>
      <c r="I271" s="182"/>
      <c r="J271" s="182"/>
      <c r="K271" s="182"/>
      <c r="L271" s="182"/>
      <c r="M271" s="182"/>
      <c r="N271" s="182"/>
      <c r="O271" s="182"/>
      <c r="P271" s="182"/>
      <c r="Q271" s="182"/>
      <c r="R271" s="182"/>
      <c r="S271" s="182" t="s">
        <v>700</v>
      </c>
      <c r="T271" s="181" t="s">
        <v>777</v>
      </c>
      <c r="U271" s="183">
        <v>6534000</v>
      </c>
      <c r="V271" s="183">
        <v>6534000</v>
      </c>
      <c r="W271" s="183">
        <v>6534000</v>
      </c>
      <c r="X271" s="181" t="s">
        <v>777</v>
      </c>
    </row>
    <row r="272" spans="1:24" ht="130.35" customHeight="1" x14ac:dyDescent="0.3">
      <c r="A272" s="181" t="s">
        <v>514</v>
      </c>
      <c r="B272" s="182" t="s">
        <v>347</v>
      </c>
      <c r="C272" s="182" t="s">
        <v>335</v>
      </c>
      <c r="D272" s="182" t="s">
        <v>778</v>
      </c>
      <c r="E272" s="182"/>
      <c r="F272" s="182"/>
      <c r="G272" s="182"/>
      <c r="H272" s="182"/>
      <c r="I272" s="182"/>
      <c r="J272" s="182"/>
      <c r="K272" s="182"/>
      <c r="L272" s="182"/>
      <c r="M272" s="182"/>
      <c r="N272" s="182"/>
      <c r="O272" s="182"/>
      <c r="P272" s="182"/>
      <c r="Q272" s="182"/>
      <c r="R272" s="182"/>
      <c r="S272" s="182"/>
      <c r="T272" s="181" t="s">
        <v>514</v>
      </c>
      <c r="U272" s="183">
        <v>4356000</v>
      </c>
      <c r="V272" s="183">
        <v>4356000</v>
      </c>
      <c r="W272" s="183">
        <v>4356000</v>
      </c>
      <c r="X272" s="181" t="s">
        <v>514</v>
      </c>
    </row>
    <row r="273" spans="1:24" ht="167.7" customHeight="1" x14ac:dyDescent="0.3">
      <c r="A273" s="187" t="s">
        <v>779</v>
      </c>
      <c r="B273" s="182" t="s">
        <v>347</v>
      </c>
      <c r="C273" s="182" t="s">
        <v>335</v>
      </c>
      <c r="D273" s="182" t="s">
        <v>778</v>
      </c>
      <c r="E273" s="182"/>
      <c r="F273" s="182"/>
      <c r="G273" s="182"/>
      <c r="H273" s="182"/>
      <c r="I273" s="182"/>
      <c r="J273" s="182"/>
      <c r="K273" s="182"/>
      <c r="L273" s="182"/>
      <c r="M273" s="182"/>
      <c r="N273" s="182"/>
      <c r="O273" s="182"/>
      <c r="P273" s="182"/>
      <c r="Q273" s="182"/>
      <c r="R273" s="182"/>
      <c r="S273" s="182" t="s">
        <v>700</v>
      </c>
      <c r="T273" s="187" t="s">
        <v>779</v>
      </c>
      <c r="U273" s="183">
        <v>4356000</v>
      </c>
      <c r="V273" s="183">
        <v>4356000</v>
      </c>
      <c r="W273" s="183">
        <v>4356000</v>
      </c>
      <c r="X273" s="187" t="s">
        <v>779</v>
      </c>
    </row>
    <row r="274" spans="1:24" ht="186.15" customHeight="1" x14ac:dyDescent="0.3">
      <c r="A274" s="187" t="s">
        <v>517</v>
      </c>
      <c r="B274" s="182" t="s">
        <v>347</v>
      </c>
      <c r="C274" s="182" t="s">
        <v>335</v>
      </c>
      <c r="D274" s="182" t="s">
        <v>902</v>
      </c>
      <c r="E274" s="182"/>
      <c r="F274" s="182"/>
      <c r="G274" s="182"/>
      <c r="H274" s="182"/>
      <c r="I274" s="182"/>
      <c r="J274" s="182"/>
      <c r="K274" s="182"/>
      <c r="L274" s="182"/>
      <c r="M274" s="182"/>
      <c r="N274" s="182"/>
      <c r="O274" s="182"/>
      <c r="P274" s="182"/>
      <c r="Q274" s="182"/>
      <c r="R274" s="182"/>
      <c r="S274" s="182"/>
      <c r="T274" s="187" t="s">
        <v>517</v>
      </c>
      <c r="U274" s="183">
        <f>U275</f>
        <v>5672090.21</v>
      </c>
      <c r="V274" s="183">
        <v>5705500</v>
      </c>
      <c r="W274" s="183">
        <v>5718900</v>
      </c>
      <c r="X274" s="187" t="s">
        <v>517</v>
      </c>
    </row>
    <row r="275" spans="1:24" ht="223.35" customHeight="1" x14ac:dyDescent="0.3">
      <c r="A275" s="187" t="s">
        <v>903</v>
      </c>
      <c r="B275" s="182" t="s">
        <v>347</v>
      </c>
      <c r="C275" s="182" t="s">
        <v>335</v>
      </c>
      <c r="D275" s="182" t="s">
        <v>902</v>
      </c>
      <c r="E275" s="182"/>
      <c r="F275" s="182"/>
      <c r="G275" s="182"/>
      <c r="H275" s="182"/>
      <c r="I275" s="182"/>
      <c r="J275" s="182"/>
      <c r="K275" s="182"/>
      <c r="L275" s="182"/>
      <c r="M275" s="182"/>
      <c r="N275" s="182"/>
      <c r="O275" s="182"/>
      <c r="P275" s="182"/>
      <c r="Q275" s="182"/>
      <c r="R275" s="182"/>
      <c r="S275" s="182" t="s">
        <v>764</v>
      </c>
      <c r="T275" s="187" t="s">
        <v>903</v>
      </c>
      <c r="U275" s="183">
        <f>5672100-9.79</f>
        <v>5672090.21</v>
      </c>
      <c r="V275" s="183">
        <v>5705500</v>
      </c>
      <c r="W275" s="183">
        <v>5718900</v>
      </c>
      <c r="X275" s="187" t="s">
        <v>903</v>
      </c>
    </row>
    <row r="276" spans="1:24" ht="18.600000000000001" customHeight="1" x14ac:dyDescent="0.3">
      <c r="A276" s="179" t="s">
        <v>780</v>
      </c>
      <c r="B276" s="191" t="s">
        <v>302</v>
      </c>
      <c r="C276" s="191" t="s">
        <v>317</v>
      </c>
      <c r="D276" s="191"/>
      <c r="E276" s="191"/>
      <c r="F276" s="191"/>
      <c r="G276" s="191"/>
      <c r="H276" s="191"/>
      <c r="I276" s="191"/>
      <c r="J276" s="191"/>
      <c r="K276" s="191"/>
      <c r="L276" s="191"/>
      <c r="M276" s="191"/>
      <c r="N276" s="191"/>
      <c r="O276" s="191"/>
      <c r="P276" s="191"/>
      <c r="Q276" s="191"/>
      <c r="R276" s="191"/>
      <c r="S276" s="191"/>
      <c r="T276" s="179" t="s">
        <v>780</v>
      </c>
      <c r="U276" s="180">
        <f>U277+U282</f>
        <v>1450000</v>
      </c>
      <c r="V276" s="180">
        <v>2050000</v>
      </c>
      <c r="W276" s="180">
        <v>2200000</v>
      </c>
      <c r="X276" s="179" t="s">
        <v>780</v>
      </c>
    </row>
    <row r="277" spans="1:24" ht="18.600000000000001" customHeight="1" x14ac:dyDescent="0.3">
      <c r="A277" s="181" t="s">
        <v>263</v>
      </c>
      <c r="B277" s="182" t="s">
        <v>302</v>
      </c>
      <c r="C277" s="182" t="s">
        <v>290</v>
      </c>
      <c r="D277" s="182"/>
      <c r="E277" s="182"/>
      <c r="F277" s="182"/>
      <c r="G277" s="182"/>
      <c r="H277" s="182"/>
      <c r="I277" s="182"/>
      <c r="J277" s="182"/>
      <c r="K277" s="182"/>
      <c r="L277" s="182"/>
      <c r="M277" s="182"/>
      <c r="N277" s="182"/>
      <c r="O277" s="182"/>
      <c r="P277" s="182"/>
      <c r="Q277" s="182"/>
      <c r="R277" s="182"/>
      <c r="S277" s="182"/>
      <c r="T277" s="181" t="s">
        <v>263</v>
      </c>
      <c r="U277" s="183">
        <f>U278+U280</f>
        <v>500000</v>
      </c>
      <c r="V277" s="183">
        <v>600000</v>
      </c>
      <c r="W277" s="183">
        <v>650000</v>
      </c>
      <c r="X277" s="181" t="s">
        <v>263</v>
      </c>
    </row>
    <row r="278" spans="1:24" ht="37.200000000000003" customHeight="1" x14ac:dyDescent="0.3">
      <c r="A278" s="181" t="s">
        <v>781</v>
      </c>
      <c r="B278" s="182" t="s">
        <v>302</v>
      </c>
      <c r="C278" s="182" t="s">
        <v>290</v>
      </c>
      <c r="D278" s="182" t="s">
        <v>782</v>
      </c>
      <c r="E278" s="182"/>
      <c r="F278" s="182"/>
      <c r="G278" s="182"/>
      <c r="H278" s="182"/>
      <c r="I278" s="182"/>
      <c r="J278" s="182"/>
      <c r="K278" s="182"/>
      <c r="L278" s="182"/>
      <c r="M278" s="182"/>
      <c r="N278" s="182"/>
      <c r="O278" s="182"/>
      <c r="P278" s="182"/>
      <c r="Q278" s="182"/>
      <c r="R278" s="182"/>
      <c r="S278" s="182"/>
      <c r="T278" s="181" t="s">
        <v>781</v>
      </c>
      <c r="U278" s="183">
        <v>450000</v>
      </c>
      <c r="V278" s="183">
        <v>450000</v>
      </c>
      <c r="W278" s="183">
        <v>450000</v>
      </c>
      <c r="X278" s="181" t="s">
        <v>781</v>
      </c>
    </row>
    <row r="279" spans="1:24" ht="93" customHeight="1" x14ac:dyDescent="0.3">
      <c r="A279" s="181" t="s">
        <v>783</v>
      </c>
      <c r="B279" s="182" t="s">
        <v>302</v>
      </c>
      <c r="C279" s="182" t="s">
        <v>290</v>
      </c>
      <c r="D279" s="182" t="s">
        <v>782</v>
      </c>
      <c r="E279" s="182"/>
      <c r="F279" s="182"/>
      <c r="G279" s="182"/>
      <c r="H279" s="182"/>
      <c r="I279" s="182"/>
      <c r="J279" s="182"/>
      <c r="K279" s="182"/>
      <c r="L279" s="182"/>
      <c r="M279" s="182"/>
      <c r="N279" s="182"/>
      <c r="O279" s="182"/>
      <c r="P279" s="182"/>
      <c r="Q279" s="182"/>
      <c r="R279" s="182"/>
      <c r="S279" s="182" t="s">
        <v>586</v>
      </c>
      <c r="T279" s="181" t="s">
        <v>783</v>
      </c>
      <c r="U279" s="183">
        <v>450000</v>
      </c>
      <c r="V279" s="183">
        <v>450000</v>
      </c>
      <c r="W279" s="183">
        <v>450000</v>
      </c>
      <c r="X279" s="181" t="s">
        <v>783</v>
      </c>
    </row>
    <row r="280" spans="1:24" ht="55.95" customHeight="1" x14ac:dyDescent="0.3">
      <c r="A280" s="181" t="s">
        <v>784</v>
      </c>
      <c r="B280" s="182" t="s">
        <v>302</v>
      </c>
      <c r="C280" s="182" t="s">
        <v>290</v>
      </c>
      <c r="D280" s="182" t="s">
        <v>785</v>
      </c>
      <c r="E280" s="182"/>
      <c r="F280" s="182"/>
      <c r="G280" s="182"/>
      <c r="H280" s="182"/>
      <c r="I280" s="182"/>
      <c r="J280" s="182"/>
      <c r="K280" s="182"/>
      <c r="L280" s="182"/>
      <c r="M280" s="182"/>
      <c r="N280" s="182"/>
      <c r="O280" s="182"/>
      <c r="P280" s="182"/>
      <c r="Q280" s="182"/>
      <c r="R280" s="182"/>
      <c r="S280" s="182"/>
      <c r="T280" s="181" t="s">
        <v>784</v>
      </c>
      <c r="U280" s="183">
        <f>U281</f>
        <v>50000</v>
      </c>
      <c r="V280" s="183">
        <v>150000</v>
      </c>
      <c r="W280" s="183">
        <v>200000</v>
      </c>
      <c r="X280" s="181" t="s">
        <v>784</v>
      </c>
    </row>
    <row r="281" spans="1:24" ht="111.75" customHeight="1" x14ac:dyDescent="0.3">
      <c r="A281" s="181" t="s">
        <v>786</v>
      </c>
      <c r="B281" s="182" t="s">
        <v>302</v>
      </c>
      <c r="C281" s="182" t="s">
        <v>290</v>
      </c>
      <c r="D281" s="182" t="s">
        <v>785</v>
      </c>
      <c r="E281" s="182"/>
      <c r="F281" s="182"/>
      <c r="G281" s="182"/>
      <c r="H281" s="182"/>
      <c r="I281" s="182"/>
      <c r="J281" s="182"/>
      <c r="K281" s="182"/>
      <c r="L281" s="182"/>
      <c r="M281" s="182"/>
      <c r="N281" s="182"/>
      <c r="O281" s="182"/>
      <c r="P281" s="182"/>
      <c r="Q281" s="182"/>
      <c r="R281" s="182"/>
      <c r="S281" s="182" t="s">
        <v>586</v>
      </c>
      <c r="T281" s="181" t="s">
        <v>786</v>
      </c>
      <c r="U281" s="183">
        <f>100000-50000</f>
        <v>50000</v>
      </c>
      <c r="V281" s="183">
        <v>150000</v>
      </c>
      <c r="W281" s="183">
        <v>200000</v>
      </c>
      <c r="X281" s="181" t="s">
        <v>786</v>
      </c>
    </row>
    <row r="282" spans="1:24" ht="18.600000000000001" customHeight="1" x14ac:dyDescent="0.3">
      <c r="A282" s="181" t="s">
        <v>377</v>
      </c>
      <c r="B282" s="182" t="s">
        <v>302</v>
      </c>
      <c r="C282" s="182" t="s">
        <v>316</v>
      </c>
      <c r="D282" s="182"/>
      <c r="E282" s="182"/>
      <c r="F282" s="182"/>
      <c r="G282" s="182"/>
      <c r="H282" s="182"/>
      <c r="I282" s="182"/>
      <c r="J282" s="182"/>
      <c r="K282" s="182"/>
      <c r="L282" s="182"/>
      <c r="M282" s="182"/>
      <c r="N282" s="182"/>
      <c r="O282" s="182"/>
      <c r="P282" s="182"/>
      <c r="Q282" s="182"/>
      <c r="R282" s="182"/>
      <c r="S282" s="182"/>
      <c r="T282" s="181" t="s">
        <v>377</v>
      </c>
      <c r="U282" s="183">
        <f>U283+U285+U287</f>
        <v>950000</v>
      </c>
      <c r="V282" s="183">
        <v>1450000</v>
      </c>
      <c r="W282" s="183">
        <v>1550000</v>
      </c>
      <c r="X282" s="181" t="s">
        <v>377</v>
      </c>
    </row>
    <row r="283" spans="1:24" ht="37.200000000000003" customHeight="1" x14ac:dyDescent="0.3">
      <c r="A283" s="181" t="s">
        <v>787</v>
      </c>
      <c r="B283" s="182" t="s">
        <v>302</v>
      </c>
      <c r="C283" s="182" t="s">
        <v>316</v>
      </c>
      <c r="D283" s="182" t="s">
        <v>788</v>
      </c>
      <c r="E283" s="182"/>
      <c r="F283" s="182"/>
      <c r="G283" s="182"/>
      <c r="H283" s="182"/>
      <c r="I283" s="182"/>
      <c r="J283" s="182"/>
      <c r="K283" s="182"/>
      <c r="L283" s="182"/>
      <c r="M283" s="182"/>
      <c r="N283" s="182"/>
      <c r="O283" s="182"/>
      <c r="P283" s="182"/>
      <c r="Q283" s="182"/>
      <c r="R283" s="182"/>
      <c r="S283" s="182"/>
      <c r="T283" s="181" t="s">
        <v>787</v>
      </c>
      <c r="U283" s="183">
        <v>650000</v>
      </c>
      <c r="V283" s="183">
        <v>650000</v>
      </c>
      <c r="W283" s="183">
        <v>650000</v>
      </c>
      <c r="X283" s="181" t="s">
        <v>787</v>
      </c>
    </row>
    <row r="284" spans="1:24" ht="74.400000000000006" customHeight="1" x14ac:dyDescent="0.3">
      <c r="A284" s="181" t="s">
        <v>789</v>
      </c>
      <c r="B284" s="182" t="s">
        <v>302</v>
      </c>
      <c r="C284" s="182" t="s">
        <v>316</v>
      </c>
      <c r="D284" s="182" t="s">
        <v>788</v>
      </c>
      <c r="E284" s="182"/>
      <c r="F284" s="182"/>
      <c r="G284" s="182"/>
      <c r="H284" s="182"/>
      <c r="I284" s="182"/>
      <c r="J284" s="182"/>
      <c r="K284" s="182"/>
      <c r="L284" s="182"/>
      <c r="M284" s="182"/>
      <c r="N284" s="182"/>
      <c r="O284" s="182"/>
      <c r="P284" s="182"/>
      <c r="Q284" s="182"/>
      <c r="R284" s="182"/>
      <c r="S284" s="182" t="s">
        <v>586</v>
      </c>
      <c r="T284" s="181" t="s">
        <v>789</v>
      </c>
      <c r="U284" s="183">
        <v>650000</v>
      </c>
      <c r="V284" s="183">
        <v>650000</v>
      </c>
      <c r="W284" s="183">
        <v>650000</v>
      </c>
      <c r="X284" s="181" t="s">
        <v>789</v>
      </c>
    </row>
    <row r="285" spans="1:24" ht="18.600000000000001" customHeight="1" x14ac:dyDescent="0.3">
      <c r="A285" s="181" t="s">
        <v>790</v>
      </c>
      <c r="B285" s="182" t="s">
        <v>302</v>
      </c>
      <c r="C285" s="182" t="s">
        <v>316</v>
      </c>
      <c r="D285" s="182" t="s">
        <v>791</v>
      </c>
      <c r="E285" s="182"/>
      <c r="F285" s="182"/>
      <c r="G285" s="182"/>
      <c r="H285" s="182"/>
      <c r="I285" s="182"/>
      <c r="J285" s="182"/>
      <c r="K285" s="182"/>
      <c r="L285" s="182"/>
      <c r="M285" s="182"/>
      <c r="N285" s="182"/>
      <c r="O285" s="182"/>
      <c r="P285" s="182"/>
      <c r="Q285" s="182"/>
      <c r="R285" s="182"/>
      <c r="S285" s="182"/>
      <c r="T285" s="181" t="s">
        <v>790</v>
      </c>
      <c r="U285" s="183">
        <v>300000</v>
      </c>
      <c r="V285" s="183">
        <v>400000</v>
      </c>
      <c r="W285" s="183">
        <v>500000</v>
      </c>
      <c r="X285" s="181" t="s">
        <v>790</v>
      </c>
    </row>
    <row r="286" spans="1:24" ht="74.400000000000006" customHeight="1" x14ac:dyDescent="0.3">
      <c r="A286" s="181" t="s">
        <v>792</v>
      </c>
      <c r="B286" s="182" t="s">
        <v>302</v>
      </c>
      <c r="C286" s="182" t="s">
        <v>316</v>
      </c>
      <c r="D286" s="182" t="s">
        <v>791</v>
      </c>
      <c r="E286" s="182"/>
      <c r="F286" s="182"/>
      <c r="G286" s="182"/>
      <c r="H286" s="182"/>
      <c r="I286" s="182"/>
      <c r="J286" s="182"/>
      <c r="K286" s="182"/>
      <c r="L286" s="182"/>
      <c r="M286" s="182"/>
      <c r="N286" s="182"/>
      <c r="O286" s="182"/>
      <c r="P286" s="182"/>
      <c r="Q286" s="182"/>
      <c r="R286" s="182"/>
      <c r="S286" s="182" t="s">
        <v>586</v>
      </c>
      <c r="T286" s="181" t="s">
        <v>792</v>
      </c>
      <c r="U286" s="183">
        <v>300000</v>
      </c>
      <c r="V286" s="183">
        <v>400000</v>
      </c>
      <c r="W286" s="183">
        <v>500000</v>
      </c>
      <c r="X286" s="181" t="s">
        <v>792</v>
      </c>
    </row>
    <row r="287" spans="1:24" ht="74.400000000000006" customHeight="1" x14ac:dyDescent="0.3">
      <c r="A287" s="181" t="s">
        <v>793</v>
      </c>
      <c r="B287" s="182" t="s">
        <v>302</v>
      </c>
      <c r="C287" s="182" t="s">
        <v>316</v>
      </c>
      <c r="D287" s="182" t="s">
        <v>794</v>
      </c>
      <c r="E287" s="182"/>
      <c r="F287" s="182"/>
      <c r="G287" s="182"/>
      <c r="H287" s="182"/>
      <c r="I287" s="182"/>
      <c r="J287" s="182"/>
      <c r="K287" s="182"/>
      <c r="L287" s="182"/>
      <c r="M287" s="182"/>
      <c r="N287" s="182"/>
      <c r="O287" s="182"/>
      <c r="P287" s="182"/>
      <c r="Q287" s="182"/>
      <c r="R287" s="182"/>
      <c r="S287" s="182"/>
      <c r="T287" s="181" t="s">
        <v>793</v>
      </c>
      <c r="U287" s="183">
        <f>U288</f>
        <v>0</v>
      </c>
      <c r="V287" s="183">
        <v>400000</v>
      </c>
      <c r="W287" s="183">
        <v>400000</v>
      </c>
      <c r="X287" s="181" t="s">
        <v>793</v>
      </c>
    </row>
    <row r="288" spans="1:24" ht="111.75" customHeight="1" x14ac:dyDescent="0.3">
      <c r="A288" s="181" t="s">
        <v>795</v>
      </c>
      <c r="B288" s="182" t="s">
        <v>302</v>
      </c>
      <c r="C288" s="182" t="s">
        <v>316</v>
      </c>
      <c r="D288" s="182" t="s">
        <v>794</v>
      </c>
      <c r="E288" s="182"/>
      <c r="F288" s="182"/>
      <c r="G288" s="182"/>
      <c r="H288" s="182"/>
      <c r="I288" s="182"/>
      <c r="J288" s="182"/>
      <c r="K288" s="182"/>
      <c r="L288" s="182"/>
      <c r="M288" s="182"/>
      <c r="N288" s="182"/>
      <c r="O288" s="182"/>
      <c r="P288" s="182"/>
      <c r="Q288" s="182"/>
      <c r="R288" s="182"/>
      <c r="S288" s="182" t="s">
        <v>586</v>
      </c>
      <c r="T288" s="181" t="s">
        <v>795</v>
      </c>
      <c r="U288" s="183">
        <f>400000-400000</f>
        <v>0</v>
      </c>
      <c r="V288" s="183">
        <v>400000</v>
      </c>
      <c r="W288" s="183">
        <v>400000</v>
      </c>
      <c r="X288" s="181" t="s">
        <v>795</v>
      </c>
    </row>
    <row r="289" spans="1:24" ht="55.95" customHeight="1" x14ac:dyDescent="0.3">
      <c r="A289" s="179" t="s">
        <v>804</v>
      </c>
      <c r="B289" s="191" t="s">
        <v>306</v>
      </c>
      <c r="C289" s="191" t="s">
        <v>317</v>
      </c>
      <c r="D289" s="191"/>
      <c r="E289" s="191"/>
      <c r="F289" s="191"/>
      <c r="G289" s="191"/>
      <c r="H289" s="191"/>
      <c r="I289" s="191"/>
      <c r="J289" s="191"/>
      <c r="K289" s="191"/>
      <c r="L289" s="191"/>
      <c r="M289" s="191"/>
      <c r="N289" s="191"/>
      <c r="O289" s="191"/>
      <c r="P289" s="191"/>
      <c r="Q289" s="191"/>
      <c r="R289" s="191"/>
      <c r="S289" s="191"/>
      <c r="T289" s="179" t="s">
        <v>804</v>
      </c>
      <c r="U289" s="180">
        <v>80283.77</v>
      </c>
      <c r="V289" s="180">
        <v>80273.77</v>
      </c>
      <c r="W289" s="180">
        <v>53587.68</v>
      </c>
      <c r="X289" s="179" t="s">
        <v>804</v>
      </c>
    </row>
    <row r="290" spans="1:24" ht="55.95" customHeight="1" x14ac:dyDescent="0.3">
      <c r="A290" s="181" t="s">
        <v>541</v>
      </c>
      <c r="B290" s="182" t="s">
        <v>306</v>
      </c>
      <c r="C290" s="182" t="s">
        <v>290</v>
      </c>
      <c r="D290" s="182"/>
      <c r="E290" s="182"/>
      <c r="F290" s="182"/>
      <c r="G290" s="182"/>
      <c r="H290" s="182"/>
      <c r="I290" s="182"/>
      <c r="J290" s="182"/>
      <c r="K290" s="182"/>
      <c r="L290" s="182"/>
      <c r="M290" s="182"/>
      <c r="N290" s="182"/>
      <c r="O290" s="182"/>
      <c r="P290" s="182"/>
      <c r="Q290" s="182"/>
      <c r="R290" s="182"/>
      <c r="S290" s="182"/>
      <c r="T290" s="181" t="s">
        <v>541</v>
      </c>
      <c r="U290" s="183">
        <v>80283.77</v>
      </c>
      <c r="V290" s="183">
        <v>80273.77</v>
      </c>
      <c r="W290" s="183">
        <v>53587.68</v>
      </c>
      <c r="X290" s="181" t="s">
        <v>541</v>
      </c>
    </row>
    <row r="291" spans="1:24" ht="74.400000000000006" customHeight="1" x14ac:dyDescent="0.3">
      <c r="A291" s="181" t="s">
        <v>805</v>
      </c>
      <c r="B291" s="182" t="s">
        <v>306</v>
      </c>
      <c r="C291" s="182" t="s">
        <v>290</v>
      </c>
      <c r="D291" s="182" t="s">
        <v>806</v>
      </c>
      <c r="E291" s="182"/>
      <c r="F291" s="182"/>
      <c r="G291" s="182"/>
      <c r="H291" s="182"/>
      <c r="I291" s="182"/>
      <c r="J291" s="182"/>
      <c r="K291" s="182"/>
      <c r="L291" s="182"/>
      <c r="M291" s="182"/>
      <c r="N291" s="182"/>
      <c r="O291" s="182"/>
      <c r="P291" s="182"/>
      <c r="Q291" s="182"/>
      <c r="R291" s="182"/>
      <c r="S291" s="182"/>
      <c r="T291" s="181" t="s">
        <v>805</v>
      </c>
      <c r="U291" s="183">
        <v>80283.77</v>
      </c>
      <c r="V291" s="183">
        <v>80273.77</v>
      </c>
      <c r="W291" s="183">
        <v>53587.68</v>
      </c>
      <c r="X291" s="181" t="s">
        <v>805</v>
      </c>
    </row>
    <row r="292" spans="1:24" ht="111.75" customHeight="1" x14ac:dyDescent="0.3">
      <c r="A292" s="181" t="s">
        <v>807</v>
      </c>
      <c r="B292" s="182" t="s">
        <v>306</v>
      </c>
      <c r="C292" s="182" t="s">
        <v>290</v>
      </c>
      <c r="D292" s="182" t="s">
        <v>806</v>
      </c>
      <c r="E292" s="182"/>
      <c r="F292" s="182"/>
      <c r="G292" s="182"/>
      <c r="H292" s="182"/>
      <c r="I292" s="182"/>
      <c r="J292" s="182"/>
      <c r="K292" s="182"/>
      <c r="L292" s="182"/>
      <c r="M292" s="182"/>
      <c r="N292" s="182"/>
      <c r="O292" s="182"/>
      <c r="P292" s="182"/>
      <c r="Q292" s="182"/>
      <c r="R292" s="182"/>
      <c r="S292" s="182" t="s">
        <v>808</v>
      </c>
      <c r="T292" s="181" t="s">
        <v>807</v>
      </c>
      <c r="U292" s="183">
        <v>80283.77</v>
      </c>
      <c r="V292" s="183">
        <v>80273.77</v>
      </c>
      <c r="W292" s="183">
        <v>53587.68</v>
      </c>
      <c r="X292" s="181" t="s">
        <v>807</v>
      </c>
    </row>
    <row r="293" spans="1:24" ht="93" customHeight="1" x14ac:dyDescent="0.3">
      <c r="A293" s="179" t="s">
        <v>809</v>
      </c>
      <c r="B293" s="191" t="s">
        <v>308</v>
      </c>
      <c r="C293" s="191" t="s">
        <v>317</v>
      </c>
      <c r="D293" s="191"/>
      <c r="E293" s="191"/>
      <c r="F293" s="191"/>
      <c r="G293" s="191"/>
      <c r="H293" s="191"/>
      <c r="I293" s="191"/>
      <c r="J293" s="191"/>
      <c r="K293" s="191"/>
      <c r="L293" s="191"/>
      <c r="M293" s="191"/>
      <c r="N293" s="191"/>
      <c r="O293" s="191"/>
      <c r="P293" s="191"/>
      <c r="Q293" s="191"/>
      <c r="R293" s="191"/>
      <c r="S293" s="191"/>
      <c r="T293" s="179" t="s">
        <v>809</v>
      </c>
      <c r="U293" s="180">
        <v>18000000</v>
      </c>
      <c r="V293" s="180">
        <v>14450000</v>
      </c>
      <c r="W293" s="180">
        <v>12282500</v>
      </c>
      <c r="X293" s="179" t="s">
        <v>809</v>
      </c>
    </row>
    <row r="294" spans="1:24" ht="74.400000000000006" customHeight="1" x14ac:dyDescent="0.3">
      <c r="A294" s="181" t="s">
        <v>382</v>
      </c>
      <c r="B294" s="182" t="s">
        <v>308</v>
      </c>
      <c r="C294" s="182" t="s">
        <v>290</v>
      </c>
      <c r="D294" s="182"/>
      <c r="E294" s="182"/>
      <c r="F294" s="182"/>
      <c r="G294" s="182"/>
      <c r="H294" s="182"/>
      <c r="I294" s="182"/>
      <c r="J294" s="182"/>
      <c r="K294" s="182"/>
      <c r="L294" s="182"/>
      <c r="M294" s="182"/>
      <c r="N294" s="182"/>
      <c r="O294" s="182"/>
      <c r="P294" s="182"/>
      <c r="Q294" s="182"/>
      <c r="R294" s="182"/>
      <c r="S294" s="182"/>
      <c r="T294" s="181" t="s">
        <v>382</v>
      </c>
      <c r="U294" s="183">
        <v>18000000</v>
      </c>
      <c r="V294" s="183">
        <v>14450000</v>
      </c>
      <c r="W294" s="183">
        <v>12282500</v>
      </c>
      <c r="X294" s="181" t="s">
        <v>382</v>
      </c>
    </row>
    <row r="295" spans="1:24" ht="223.35" customHeight="1" x14ac:dyDescent="0.3">
      <c r="A295" s="187" t="s">
        <v>810</v>
      </c>
      <c r="B295" s="182" t="s">
        <v>308</v>
      </c>
      <c r="C295" s="182" t="s">
        <v>290</v>
      </c>
      <c r="D295" s="182" t="s">
        <v>811</v>
      </c>
      <c r="E295" s="182"/>
      <c r="F295" s="182"/>
      <c r="G295" s="182"/>
      <c r="H295" s="182"/>
      <c r="I295" s="182"/>
      <c r="J295" s="182"/>
      <c r="K295" s="182"/>
      <c r="L295" s="182"/>
      <c r="M295" s="182"/>
      <c r="N295" s="182"/>
      <c r="O295" s="182"/>
      <c r="P295" s="182"/>
      <c r="Q295" s="182"/>
      <c r="R295" s="182"/>
      <c r="S295" s="182"/>
      <c r="T295" s="187" t="s">
        <v>810</v>
      </c>
      <c r="U295" s="183">
        <v>18000000</v>
      </c>
      <c r="V295" s="183">
        <v>14450000</v>
      </c>
      <c r="W295" s="183">
        <v>12282500</v>
      </c>
      <c r="X295" s="187" t="s">
        <v>810</v>
      </c>
    </row>
    <row r="296" spans="1:24" ht="242.1" customHeight="1" x14ac:dyDescent="0.3">
      <c r="A296" s="187" t="s">
        <v>812</v>
      </c>
      <c r="B296" s="182" t="s">
        <v>308</v>
      </c>
      <c r="C296" s="182" t="s">
        <v>290</v>
      </c>
      <c r="D296" s="182" t="s">
        <v>811</v>
      </c>
      <c r="E296" s="182"/>
      <c r="F296" s="182"/>
      <c r="G296" s="182"/>
      <c r="H296" s="182"/>
      <c r="I296" s="182"/>
      <c r="J296" s="182"/>
      <c r="K296" s="182"/>
      <c r="L296" s="182"/>
      <c r="M296" s="182"/>
      <c r="N296" s="182"/>
      <c r="O296" s="182"/>
      <c r="P296" s="182"/>
      <c r="Q296" s="182"/>
      <c r="R296" s="182"/>
      <c r="S296" s="182" t="s">
        <v>813</v>
      </c>
      <c r="T296" s="187" t="s">
        <v>812</v>
      </c>
      <c r="U296" s="183">
        <v>18000000</v>
      </c>
      <c r="V296" s="183">
        <v>14450000</v>
      </c>
      <c r="W296" s="183">
        <v>12282500</v>
      </c>
      <c r="X296" s="187" t="s">
        <v>812</v>
      </c>
    </row>
    <row r="297" spans="1:24" ht="51" customHeight="1" x14ac:dyDescent="0.3">
      <c r="A297" s="187"/>
      <c r="B297" s="194" t="s">
        <v>290</v>
      </c>
      <c r="C297" s="194" t="s">
        <v>296</v>
      </c>
      <c r="D297" s="194" t="s">
        <v>934</v>
      </c>
      <c r="E297" s="194"/>
      <c r="F297" s="194"/>
      <c r="G297" s="194"/>
      <c r="H297" s="194"/>
      <c r="I297" s="194"/>
      <c r="J297" s="194"/>
      <c r="K297" s="194"/>
      <c r="L297" s="194"/>
      <c r="M297" s="194"/>
      <c r="N297" s="194"/>
      <c r="O297" s="194"/>
      <c r="P297" s="194"/>
      <c r="Q297" s="194"/>
      <c r="R297" s="194"/>
      <c r="S297" s="194" t="s">
        <v>935</v>
      </c>
      <c r="T297" s="179" t="s">
        <v>933</v>
      </c>
      <c r="U297" s="183">
        <v>0</v>
      </c>
      <c r="V297" s="180">
        <v>16090938.800000001</v>
      </c>
      <c r="W297" s="180">
        <v>30781203.100000001</v>
      </c>
      <c r="X297" s="187"/>
    </row>
    <row r="298" spans="1:24" ht="18.600000000000001" customHeight="1" x14ac:dyDescent="0.3">
      <c r="A298" s="179" t="s">
        <v>927</v>
      </c>
      <c r="B298" s="191"/>
      <c r="C298" s="191"/>
      <c r="D298" s="191"/>
      <c r="E298" s="191"/>
      <c r="F298" s="191"/>
      <c r="G298" s="191"/>
      <c r="H298" s="191"/>
      <c r="I298" s="191"/>
      <c r="J298" s="191"/>
      <c r="K298" s="191"/>
      <c r="L298" s="191"/>
      <c r="M298" s="191"/>
      <c r="N298" s="191"/>
      <c r="O298" s="191"/>
      <c r="P298" s="191"/>
      <c r="Q298" s="191"/>
      <c r="R298" s="191"/>
      <c r="S298" s="191"/>
      <c r="T298" s="179" t="s">
        <v>927</v>
      </c>
      <c r="U298" s="180">
        <f>U11+U61+U71+U122+U146+U220+U238+U243+U276+U289+U293</f>
        <v>690811081.85000002</v>
      </c>
      <c r="V298" s="180">
        <f>V11+V61+V71+V122+V146+V220+V238+V243+V276+V289+V293+V297</f>
        <v>660728490.86000001</v>
      </c>
      <c r="W298" s="180">
        <f>W11+W61+W71+W122+W146+W220+W238+W243+W276+W289+W293+W297</f>
        <v>647405265.21000004</v>
      </c>
      <c r="X298" s="179" t="s">
        <v>927</v>
      </c>
    </row>
    <row r="299" spans="1:24" ht="10.199999999999999" customHeight="1" x14ac:dyDescent="0.3"/>
    <row r="300" spans="1:24" ht="27.75" customHeight="1" x14ac:dyDescent="0.3">
      <c r="U300" s="192"/>
    </row>
    <row r="301" spans="1:24" ht="10.199999999999999" customHeight="1" x14ac:dyDescent="0.3"/>
    <row r="302" spans="1:24" ht="10.199999999999999" customHeight="1" x14ac:dyDescent="0.3"/>
    <row r="303" spans="1:24" ht="10.199999999999999" customHeight="1" x14ac:dyDescent="0.3"/>
    <row r="304" spans="1:24" ht="10.199999999999999" customHeight="1" x14ac:dyDescent="0.3"/>
    <row r="305" ht="10.199999999999999" customHeight="1" x14ac:dyDescent="0.3"/>
    <row r="306" ht="10.199999999999999" customHeight="1" x14ac:dyDescent="0.3"/>
    <row r="307" ht="10.199999999999999" customHeight="1" x14ac:dyDescent="0.3"/>
    <row r="308" ht="10.199999999999999" customHeight="1" x14ac:dyDescent="0.3"/>
    <row r="309" ht="10.199999999999999" customHeight="1" x14ac:dyDescent="0.3"/>
    <row r="310" ht="10.199999999999999" customHeight="1" x14ac:dyDescent="0.3"/>
    <row r="311" ht="10.199999999999999" customHeight="1" x14ac:dyDescent="0.3"/>
    <row r="312" ht="10.199999999999999" customHeight="1" x14ac:dyDescent="0.3"/>
    <row r="313" ht="10.199999999999999" customHeight="1" x14ac:dyDescent="0.3"/>
    <row r="314" ht="10.199999999999999" customHeight="1" x14ac:dyDescent="0.3"/>
    <row r="315" ht="10.199999999999999" customHeight="1" x14ac:dyDescent="0.3"/>
    <row r="316" ht="10.199999999999999" customHeight="1" x14ac:dyDescent="0.3"/>
    <row r="317" ht="10.199999999999999" customHeight="1" x14ac:dyDescent="0.3"/>
    <row r="318" ht="10.199999999999999" customHeight="1" x14ac:dyDescent="0.3"/>
    <row r="319" ht="10.199999999999999" customHeight="1" x14ac:dyDescent="0.3"/>
    <row r="320" ht="10.199999999999999" customHeight="1" x14ac:dyDescent="0.3"/>
    <row r="321" ht="10.199999999999999" customHeight="1" x14ac:dyDescent="0.3"/>
    <row r="322" ht="10.199999999999999" customHeight="1" x14ac:dyDescent="0.3"/>
    <row r="323" ht="10.199999999999999" customHeight="1" x14ac:dyDescent="0.3"/>
    <row r="324" ht="10.199999999999999" customHeight="1" x14ac:dyDescent="0.3"/>
    <row r="325" ht="10.199999999999999" customHeight="1" x14ac:dyDescent="0.3"/>
    <row r="326" ht="10.199999999999999" customHeight="1" x14ac:dyDescent="0.3"/>
    <row r="327" ht="10.199999999999999" customHeight="1" x14ac:dyDescent="0.3"/>
    <row r="328" ht="10.199999999999999" customHeight="1" x14ac:dyDescent="0.3"/>
    <row r="329" ht="10.199999999999999" customHeight="1" x14ac:dyDescent="0.3"/>
    <row r="330" ht="10.199999999999999" customHeight="1" x14ac:dyDescent="0.3"/>
    <row r="331" ht="10.199999999999999" customHeight="1" x14ac:dyDescent="0.3"/>
    <row r="332" ht="10.199999999999999" customHeight="1" x14ac:dyDescent="0.3"/>
    <row r="333" ht="10.199999999999999" customHeight="1" x14ac:dyDescent="0.3"/>
    <row r="334" ht="10.199999999999999" customHeight="1" x14ac:dyDescent="0.3"/>
    <row r="335" ht="10.199999999999999" customHeight="1" x14ac:dyDescent="0.3"/>
    <row r="336" ht="10.199999999999999" customHeight="1" x14ac:dyDescent="0.3"/>
    <row r="337" ht="10.199999999999999" customHeight="1" x14ac:dyDescent="0.3"/>
    <row r="338" ht="10.199999999999999" customHeight="1" x14ac:dyDescent="0.3"/>
    <row r="339" ht="10.199999999999999" customHeight="1" x14ac:dyDescent="0.3"/>
    <row r="340" ht="10.199999999999999" customHeight="1" x14ac:dyDescent="0.3"/>
    <row r="341" ht="10.199999999999999" customHeight="1" x14ac:dyDescent="0.3"/>
    <row r="342" ht="10.199999999999999" customHeight="1" x14ac:dyDescent="0.3"/>
    <row r="343" ht="10.199999999999999" customHeight="1" x14ac:dyDescent="0.3"/>
    <row r="344" ht="10.199999999999999" customHeight="1" x14ac:dyDescent="0.3"/>
    <row r="345" ht="10.199999999999999" customHeight="1" x14ac:dyDescent="0.3"/>
  </sheetData>
  <mergeCells count="11">
    <mergeCell ref="B5:X5"/>
    <mergeCell ref="A8:A9"/>
    <mergeCell ref="B8:B9"/>
    <mergeCell ref="C8:C9"/>
    <mergeCell ref="D8:R9"/>
    <mergeCell ref="S8:S9"/>
    <mergeCell ref="T8:T9"/>
    <mergeCell ref="U8:U9"/>
    <mergeCell ref="V8:V9"/>
    <mergeCell ref="W8:W9"/>
    <mergeCell ref="X8:X9"/>
  </mergeCells>
  <pageMargins left="0.51181102362204722" right="0.11811023622047245" top="0.35433070866141736" bottom="0.35433070866141736" header="0.31496062992125984" footer="0.31496062992125984"/>
  <pageSetup paperSize="9" scale="5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workbookViewId="0">
      <selection sqref="A1:G7"/>
    </sheetView>
  </sheetViews>
  <sheetFormatPr defaultColWidth="9.109375" defaultRowHeight="15.6" x14ac:dyDescent="0.3"/>
  <cols>
    <col min="1" max="1" width="10.33203125" style="10" customWidth="1"/>
    <col min="2" max="2" width="15.5546875" style="10" customWidth="1"/>
    <col min="3" max="3" width="9.109375" style="10"/>
    <col min="4" max="4" width="39.88671875" style="10" customWidth="1"/>
    <col min="5" max="5" width="14" style="10" customWidth="1"/>
    <col min="6" max="6" width="14.5546875" style="10" customWidth="1"/>
    <col min="7" max="7" width="14.6640625" style="10" customWidth="1"/>
    <col min="8" max="16384" width="9.109375" style="10"/>
  </cols>
  <sheetData>
    <row r="1" spans="1:7" x14ac:dyDescent="0.3">
      <c r="A1" s="1162" t="s">
        <v>228</v>
      </c>
      <c r="B1" s="1162"/>
      <c r="C1" s="1162"/>
      <c r="D1" s="1162"/>
      <c r="E1" s="1162"/>
      <c r="F1" s="1162"/>
      <c r="G1" s="1162"/>
    </row>
    <row r="2" spans="1:7" x14ac:dyDescent="0.3">
      <c r="A2" s="1162" t="s">
        <v>155</v>
      </c>
      <c r="B2" s="1162"/>
      <c r="C2" s="1162"/>
      <c r="D2" s="1162"/>
      <c r="E2" s="1162"/>
      <c r="F2" s="1162"/>
      <c r="G2" s="1162"/>
    </row>
    <row r="3" spans="1:7" x14ac:dyDescent="0.3">
      <c r="A3" s="1162" t="s">
        <v>156</v>
      </c>
      <c r="B3" s="1162"/>
      <c r="C3" s="1162"/>
      <c r="D3" s="1162"/>
      <c r="E3" s="1162"/>
      <c r="F3" s="1162"/>
      <c r="G3" s="1162"/>
    </row>
    <row r="4" spans="1:7" x14ac:dyDescent="0.3">
      <c r="A4" s="1162" t="s">
        <v>153</v>
      </c>
      <c r="B4" s="1162"/>
      <c r="C4" s="1162"/>
      <c r="D4" s="1162"/>
      <c r="E4" s="1162"/>
      <c r="F4" s="1162"/>
      <c r="G4" s="1162"/>
    </row>
    <row r="5" spans="1:7" x14ac:dyDescent="0.3">
      <c r="A5" s="7" t="s">
        <v>157</v>
      </c>
      <c r="B5" s="1"/>
      <c r="C5" s="8"/>
    </row>
    <row r="6" spans="1:7" x14ac:dyDescent="0.3">
      <c r="A6" s="1163" t="s">
        <v>174</v>
      </c>
      <c r="B6" s="1163"/>
      <c r="C6" s="1163"/>
      <c r="D6" s="1163"/>
      <c r="E6" s="1163"/>
      <c r="F6" s="1163"/>
      <c r="G6" s="1163"/>
    </row>
    <row r="7" spans="1:7" x14ac:dyDescent="0.3">
      <c r="G7" s="19" t="s">
        <v>232</v>
      </c>
    </row>
    <row r="8" spans="1:7" ht="46.8" x14ac:dyDescent="0.3">
      <c r="A8" s="9" t="s">
        <v>177</v>
      </c>
      <c r="B8" s="9" t="s">
        <v>175</v>
      </c>
      <c r="C8" s="9" t="s">
        <v>176</v>
      </c>
      <c r="D8" s="9" t="s">
        <v>178</v>
      </c>
      <c r="E8" s="9" t="s">
        <v>229</v>
      </c>
      <c r="F8" s="9" t="s">
        <v>230</v>
      </c>
      <c r="G8" s="9" t="s">
        <v>231</v>
      </c>
    </row>
    <row r="9" spans="1:7" ht="109.2" x14ac:dyDescent="0.3">
      <c r="A9" s="11" t="s">
        <v>158</v>
      </c>
      <c r="B9" s="12" t="s">
        <v>179</v>
      </c>
      <c r="C9" s="11" t="s">
        <v>159</v>
      </c>
      <c r="D9" s="13" t="s">
        <v>160</v>
      </c>
      <c r="E9" s="14">
        <v>102850917.41</v>
      </c>
      <c r="F9" s="14">
        <v>112099947.89</v>
      </c>
      <c r="G9" s="15">
        <v>117929145.18000001</v>
      </c>
    </row>
    <row r="10" spans="1:7" ht="171.6" x14ac:dyDescent="0.3">
      <c r="A10" s="11" t="s">
        <v>158</v>
      </c>
      <c r="B10" s="12" t="s">
        <v>180</v>
      </c>
      <c r="C10" s="11" t="s">
        <v>159</v>
      </c>
      <c r="D10" s="13" t="s">
        <v>161</v>
      </c>
      <c r="E10" s="14">
        <v>312296.90000000002</v>
      </c>
      <c r="F10" s="14">
        <v>340380.69</v>
      </c>
      <c r="G10" s="15">
        <v>358080.48</v>
      </c>
    </row>
    <row r="11" spans="1:7" ht="62.4" x14ac:dyDescent="0.3">
      <c r="A11" s="11" t="s">
        <v>158</v>
      </c>
      <c r="B11" s="12" t="s">
        <v>181</v>
      </c>
      <c r="C11" s="11" t="s">
        <v>159</v>
      </c>
      <c r="D11" s="16" t="s">
        <v>182</v>
      </c>
      <c r="E11" s="14">
        <v>32357.9</v>
      </c>
      <c r="F11" s="14">
        <v>35267.730000000003</v>
      </c>
      <c r="G11" s="15">
        <v>37101.660000000003</v>
      </c>
    </row>
    <row r="12" spans="1:7" ht="109.2" x14ac:dyDescent="0.3">
      <c r="A12" s="11" t="s">
        <v>162</v>
      </c>
      <c r="B12" s="12" t="s">
        <v>183</v>
      </c>
      <c r="C12" s="11" t="s">
        <v>159</v>
      </c>
      <c r="D12" s="16" t="s">
        <v>184</v>
      </c>
      <c r="E12" s="14">
        <v>1013145.46</v>
      </c>
      <c r="F12" s="14">
        <v>1013145.46</v>
      </c>
      <c r="G12" s="15">
        <v>1013145.46</v>
      </c>
    </row>
    <row r="13" spans="1:7" ht="140.4" x14ac:dyDescent="0.3">
      <c r="A13" s="11" t="s">
        <v>162</v>
      </c>
      <c r="B13" s="12" t="s">
        <v>185</v>
      </c>
      <c r="C13" s="11" t="s">
        <v>159</v>
      </c>
      <c r="D13" s="13" t="s">
        <v>186</v>
      </c>
      <c r="E13" s="14">
        <v>16608.939999999999</v>
      </c>
      <c r="F13" s="14">
        <v>16608.939999999999</v>
      </c>
      <c r="G13" s="15">
        <v>16608.939999999999</v>
      </c>
    </row>
    <row r="14" spans="1:7" ht="124.8" x14ac:dyDescent="0.3">
      <c r="A14" s="11" t="s">
        <v>162</v>
      </c>
      <c r="B14" s="12" t="s">
        <v>187</v>
      </c>
      <c r="C14" s="11" t="s">
        <v>159</v>
      </c>
      <c r="D14" s="16" t="s">
        <v>188</v>
      </c>
      <c r="E14" s="14">
        <v>1283633.95</v>
      </c>
      <c r="F14" s="14">
        <v>1283633.95</v>
      </c>
      <c r="G14" s="15">
        <v>1283633.95</v>
      </c>
    </row>
    <row r="15" spans="1:7" ht="109.2" x14ac:dyDescent="0.3">
      <c r="A15" s="11" t="s">
        <v>162</v>
      </c>
      <c r="B15" s="12" t="s">
        <v>189</v>
      </c>
      <c r="C15" s="11" t="s">
        <v>159</v>
      </c>
      <c r="D15" s="16" t="s">
        <v>190</v>
      </c>
      <c r="E15" s="14">
        <v>59317.65</v>
      </c>
      <c r="F15" s="14">
        <v>59317.65</v>
      </c>
      <c r="G15" s="15">
        <v>59317.65</v>
      </c>
    </row>
    <row r="16" spans="1:7" ht="62.4" x14ac:dyDescent="0.3">
      <c r="A16" s="11" t="s">
        <v>158</v>
      </c>
      <c r="B16" s="12" t="s">
        <v>191</v>
      </c>
      <c r="C16" s="11" t="s">
        <v>159</v>
      </c>
      <c r="D16" s="16" t="s">
        <v>163</v>
      </c>
      <c r="E16" s="14">
        <v>5900.03</v>
      </c>
      <c r="F16" s="14">
        <v>6177.34</v>
      </c>
      <c r="G16" s="15">
        <v>6442.96</v>
      </c>
    </row>
    <row r="17" spans="1:7" x14ac:dyDescent="0.3">
      <c r="A17" s="11" t="s">
        <v>158</v>
      </c>
      <c r="B17" s="12" t="s">
        <v>192</v>
      </c>
      <c r="C17" s="11" t="s">
        <v>159</v>
      </c>
      <c r="D17" s="16" t="s">
        <v>16</v>
      </c>
      <c r="E17" s="14">
        <v>756.72</v>
      </c>
      <c r="F17" s="14">
        <v>792.29</v>
      </c>
      <c r="G17" s="15">
        <v>826.35</v>
      </c>
    </row>
    <row r="18" spans="1:7" ht="156" x14ac:dyDescent="0.3">
      <c r="A18" s="11" t="s">
        <v>158</v>
      </c>
      <c r="B18" s="12" t="s">
        <v>193</v>
      </c>
      <c r="C18" s="11" t="s">
        <v>159</v>
      </c>
      <c r="D18" s="13" t="s">
        <v>194</v>
      </c>
      <c r="E18" s="14">
        <v>14134.41</v>
      </c>
      <c r="F18" s="14">
        <v>14798.73</v>
      </c>
      <c r="G18" s="15">
        <v>15435.07</v>
      </c>
    </row>
    <row r="19" spans="1:7" ht="124.8" x14ac:dyDescent="0.3">
      <c r="A19" s="11" t="s">
        <v>158</v>
      </c>
      <c r="B19" s="12" t="s">
        <v>195</v>
      </c>
      <c r="C19" s="11" t="s">
        <v>159</v>
      </c>
      <c r="D19" s="13" t="s">
        <v>196</v>
      </c>
      <c r="E19" s="14">
        <v>1582.79</v>
      </c>
      <c r="F19" s="14">
        <v>1657.18</v>
      </c>
      <c r="G19" s="15">
        <v>1728.44</v>
      </c>
    </row>
    <row r="20" spans="1:7" ht="156" x14ac:dyDescent="0.3">
      <c r="A20" s="11" t="s">
        <v>158</v>
      </c>
      <c r="B20" s="12" t="s">
        <v>197</v>
      </c>
      <c r="C20" s="11" t="s">
        <v>159</v>
      </c>
      <c r="D20" s="13" t="s">
        <v>198</v>
      </c>
      <c r="E20" s="14">
        <v>419</v>
      </c>
      <c r="F20" s="14">
        <v>438.69</v>
      </c>
      <c r="G20" s="15">
        <v>457.56</v>
      </c>
    </row>
    <row r="21" spans="1:7" ht="78" x14ac:dyDescent="0.3">
      <c r="A21" s="11" t="s">
        <v>158</v>
      </c>
      <c r="B21" s="12" t="s">
        <v>199</v>
      </c>
      <c r="C21" s="11" t="s">
        <v>159</v>
      </c>
      <c r="D21" s="16" t="s">
        <v>200</v>
      </c>
      <c r="E21" s="14">
        <v>3668668.37</v>
      </c>
      <c r="F21" s="14">
        <v>3841095.78</v>
      </c>
      <c r="G21" s="15">
        <v>4006262.9</v>
      </c>
    </row>
    <row r="22" spans="1:7" ht="109.2" x14ac:dyDescent="0.3">
      <c r="A22" s="11" t="s">
        <v>93</v>
      </c>
      <c r="B22" s="12" t="s">
        <v>201</v>
      </c>
      <c r="C22" s="11" t="s">
        <v>159</v>
      </c>
      <c r="D22" s="16" t="s">
        <v>202</v>
      </c>
      <c r="E22" s="14">
        <v>1289.23</v>
      </c>
      <c r="F22" s="14">
        <v>1349.82</v>
      </c>
      <c r="G22" s="15">
        <v>1407.86</v>
      </c>
    </row>
    <row r="23" spans="1:7" ht="46.8" x14ac:dyDescent="0.3">
      <c r="A23" s="11" t="s">
        <v>93</v>
      </c>
      <c r="B23" s="12" t="s">
        <v>203</v>
      </c>
      <c r="C23" s="11" t="s">
        <v>164</v>
      </c>
      <c r="D23" s="16" t="s">
        <v>204</v>
      </c>
      <c r="E23" s="14">
        <v>32285.58</v>
      </c>
      <c r="F23" s="14">
        <v>32628.83</v>
      </c>
      <c r="G23" s="15">
        <v>32628.83</v>
      </c>
    </row>
    <row r="24" spans="1:7" ht="109.2" x14ac:dyDescent="0.3">
      <c r="A24" s="11" t="s">
        <v>124</v>
      </c>
      <c r="B24" s="12" t="s">
        <v>205</v>
      </c>
      <c r="C24" s="11" t="s">
        <v>164</v>
      </c>
      <c r="D24" s="13" t="s">
        <v>206</v>
      </c>
      <c r="E24" s="14">
        <v>7000000</v>
      </c>
      <c r="F24" s="14">
        <v>6900000</v>
      </c>
      <c r="G24" s="15">
        <v>6800000</v>
      </c>
    </row>
    <row r="25" spans="1:7" ht="78" x14ac:dyDescent="0.3">
      <c r="A25" s="11" t="s">
        <v>124</v>
      </c>
      <c r="B25" s="12" t="s">
        <v>207</v>
      </c>
      <c r="C25" s="11" t="s">
        <v>164</v>
      </c>
      <c r="D25" s="16" t="s">
        <v>134</v>
      </c>
      <c r="E25" s="14">
        <v>30000</v>
      </c>
      <c r="F25" s="14">
        <v>30000</v>
      </c>
      <c r="G25" s="15">
        <v>30000</v>
      </c>
    </row>
    <row r="26" spans="1:7" ht="109.2" x14ac:dyDescent="0.3">
      <c r="A26" s="11" t="s">
        <v>124</v>
      </c>
      <c r="B26" s="12" t="s">
        <v>208</v>
      </c>
      <c r="C26" s="11" t="s">
        <v>164</v>
      </c>
      <c r="D26" s="16" t="s">
        <v>138</v>
      </c>
      <c r="E26" s="14">
        <v>1000000</v>
      </c>
      <c r="F26" s="14">
        <v>1000000</v>
      </c>
      <c r="G26" s="15">
        <v>1000000</v>
      </c>
    </row>
    <row r="27" spans="1:7" ht="93.6" x14ac:dyDescent="0.3">
      <c r="A27" s="11" t="s">
        <v>37</v>
      </c>
      <c r="B27" s="12" t="s">
        <v>209</v>
      </c>
      <c r="C27" s="11" t="s">
        <v>164</v>
      </c>
      <c r="D27" s="16" t="s">
        <v>210</v>
      </c>
      <c r="E27" s="14">
        <v>614735.76</v>
      </c>
      <c r="F27" s="14">
        <v>643628.34</v>
      </c>
      <c r="G27" s="15">
        <v>671304.36</v>
      </c>
    </row>
    <row r="28" spans="1:7" ht="93.6" x14ac:dyDescent="0.3">
      <c r="A28" s="11" t="s">
        <v>37</v>
      </c>
      <c r="B28" s="12" t="s">
        <v>211</v>
      </c>
      <c r="C28" s="11" t="s">
        <v>164</v>
      </c>
      <c r="D28" s="16" t="s">
        <v>212</v>
      </c>
      <c r="E28" s="14">
        <v>24564.639999999999</v>
      </c>
      <c r="F28" s="14">
        <v>25719.18</v>
      </c>
      <c r="G28" s="15">
        <v>26825.11</v>
      </c>
    </row>
    <row r="29" spans="1:7" ht="93.6" x14ac:dyDescent="0.3">
      <c r="A29" s="11" t="s">
        <v>37</v>
      </c>
      <c r="B29" s="12" t="s">
        <v>213</v>
      </c>
      <c r="C29" s="11" t="s">
        <v>164</v>
      </c>
      <c r="D29" s="16" t="s">
        <v>214</v>
      </c>
      <c r="E29" s="14">
        <v>1359022.89</v>
      </c>
      <c r="F29" s="14">
        <v>1422896.97</v>
      </c>
      <c r="G29" s="15">
        <v>1484081.54</v>
      </c>
    </row>
    <row r="30" spans="1:7" ht="109.2" x14ac:dyDescent="0.3">
      <c r="A30" s="11" t="s">
        <v>124</v>
      </c>
      <c r="B30" s="12" t="s">
        <v>215</v>
      </c>
      <c r="C30" s="11" t="s">
        <v>165</v>
      </c>
      <c r="D30" s="16" t="s">
        <v>216</v>
      </c>
      <c r="E30" s="14">
        <v>685000</v>
      </c>
      <c r="F30" s="14">
        <v>400000</v>
      </c>
      <c r="G30" s="15">
        <v>400000</v>
      </c>
    </row>
    <row r="31" spans="1:7" ht="62.4" x14ac:dyDescent="0.3">
      <c r="A31" s="11" t="s">
        <v>124</v>
      </c>
      <c r="B31" s="12" t="s">
        <v>217</v>
      </c>
      <c r="C31" s="11" t="s">
        <v>166</v>
      </c>
      <c r="D31" s="16" t="s">
        <v>218</v>
      </c>
      <c r="E31" s="14">
        <v>300000</v>
      </c>
      <c r="F31" s="14">
        <v>300000</v>
      </c>
      <c r="G31" s="15">
        <v>300000</v>
      </c>
    </row>
    <row r="32" spans="1:7" ht="62.4" x14ac:dyDescent="0.3">
      <c r="A32" s="11" t="s">
        <v>124</v>
      </c>
      <c r="B32" s="12" t="s">
        <v>219</v>
      </c>
      <c r="C32" s="11" t="s">
        <v>167</v>
      </c>
      <c r="D32" s="16" t="s">
        <v>168</v>
      </c>
      <c r="E32" s="14">
        <v>2382.27</v>
      </c>
      <c r="F32" s="14">
        <v>2494.23</v>
      </c>
      <c r="G32" s="15">
        <v>2601.4899999999998</v>
      </c>
    </row>
    <row r="33" spans="1:7" ht="109.2" x14ac:dyDescent="0.3">
      <c r="A33" s="11" t="s">
        <v>158</v>
      </c>
      <c r="B33" s="12" t="s">
        <v>220</v>
      </c>
      <c r="C33" s="11" t="s">
        <v>167</v>
      </c>
      <c r="D33" s="13" t="s">
        <v>30</v>
      </c>
      <c r="E33" s="14">
        <v>34732.69</v>
      </c>
      <c r="F33" s="14">
        <v>36365.129999999997</v>
      </c>
      <c r="G33" s="15">
        <v>37928.83</v>
      </c>
    </row>
    <row r="34" spans="1:7" ht="62.4" x14ac:dyDescent="0.3">
      <c r="A34" s="11" t="s">
        <v>170</v>
      </c>
      <c r="B34" s="12" t="s">
        <v>221</v>
      </c>
      <c r="C34" s="11" t="s">
        <v>167</v>
      </c>
      <c r="D34" s="16" t="s">
        <v>169</v>
      </c>
      <c r="E34" s="14">
        <v>133767.94</v>
      </c>
      <c r="F34" s="14">
        <v>140055.04000000001</v>
      </c>
      <c r="G34" s="15">
        <v>146077.4</v>
      </c>
    </row>
    <row r="35" spans="1:7" ht="171.6" x14ac:dyDescent="0.3">
      <c r="A35" s="11" t="s">
        <v>43</v>
      </c>
      <c r="B35" s="12" t="s">
        <v>222</v>
      </c>
      <c r="C35" s="11" t="s">
        <v>167</v>
      </c>
      <c r="D35" s="13" t="s">
        <v>223</v>
      </c>
      <c r="E35" s="14">
        <v>1654554.27</v>
      </c>
      <c r="F35" s="14">
        <v>1732318.32</v>
      </c>
      <c r="G35" s="15">
        <v>1806808</v>
      </c>
    </row>
    <row r="36" spans="1:7" ht="171.6" x14ac:dyDescent="0.3">
      <c r="A36" s="11" t="s">
        <v>172</v>
      </c>
      <c r="B36" s="12" t="s">
        <v>222</v>
      </c>
      <c r="C36" s="11" t="s">
        <v>167</v>
      </c>
      <c r="D36" s="13" t="s">
        <v>223</v>
      </c>
      <c r="E36" s="14">
        <v>172681.64</v>
      </c>
      <c r="F36" s="14">
        <v>180797.68</v>
      </c>
      <c r="G36" s="15">
        <v>188571.98</v>
      </c>
    </row>
    <row r="37" spans="1:7" ht="124.8" x14ac:dyDescent="0.3">
      <c r="A37" s="11" t="s">
        <v>171</v>
      </c>
      <c r="B37" s="12" t="s">
        <v>224</v>
      </c>
      <c r="C37" s="11" t="s">
        <v>167</v>
      </c>
      <c r="D37" s="13" t="s">
        <v>225</v>
      </c>
      <c r="E37" s="14">
        <v>840187.22</v>
      </c>
      <c r="F37" s="14">
        <v>879676.02</v>
      </c>
      <c r="G37" s="15">
        <v>917502.09</v>
      </c>
    </row>
    <row r="38" spans="1:7" ht="124.8" x14ac:dyDescent="0.3">
      <c r="A38" s="11" t="s">
        <v>172</v>
      </c>
      <c r="B38" s="12" t="s">
        <v>224</v>
      </c>
      <c r="C38" s="11" t="s">
        <v>167</v>
      </c>
      <c r="D38" s="13" t="s">
        <v>225</v>
      </c>
      <c r="E38" s="14">
        <v>292903.11</v>
      </c>
      <c r="F38" s="14">
        <v>306669.55</v>
      </c>
      <c r="G38" s="15">
        <v>319856.34000000003</v>
      </c>
    </row>
    <row r="39" spans="1:7" ht="31.2" x14ac:dyDescent="0.3">
      <c r="A39" s="11" t="s">
        <v>124</v>
      </c>
      <c r="B39" s="12" t="s">
        <v>226</v>
      </c>
      <c r="C39" s="11" t="s">
        <v>173</v>
      </c>
      <c r="D39" s="16" t="s">
        <v>114</v>
      </c>
      <c r="E39" s="14">
        <v>500000</v>
      </c>
      <c r="F39" s="14">
        <v>500000</v>
      </c>
      <c r="G39" s="15">
        <v>500000</v>
      </c>
    </row>
    <row r="40" spans="1:7" x14ac:dyDescent="0.3">
      <c r="A40" s="1167" t="s">
        <v>227</v>
      </c>
      <c r="B40" s="1168"/>
      <c r="C40" s="1168"/>
      <c r="D40" s="1169"/>
      <c r="E40" s="17">
        <v>123937846.77</v>
      </c>
      <c r="F40" s="17">
        <v>133247861.43000001</v>
      </c>
      <c r="G40" s="18">
        <v>139393780.43000001</v>
      </c>
    </row>
  </sheetData>
  <mergeCells count="6">
    <mergeCell ref="A6:G6"/>
    <mergeCell ref="A40:D40"/>
    <mergeCell ref="A1:G1"/>
    <mergeCell ref="A2:G2"/>
    <mergeCell ref="A3:G3"/>
    <mergeCell ref="A4:G4"/>
  </mergeCells>
  <pageMargins left="0.70866141732283472" right="0.31496062992125984" top="0.35433070866141736" bottom="0.35433070866141736" header="0.31496062992125984" footer="0.31496062992125984"/>
  <pageSetup paperSize="9" scale="7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1"/>
  <sheetViews>
    <sheetView workbookViewId="0">
      <selection activeCell="M20" sqref="M20"/>
    </sheetView>
  </sheetViews>
  <sheetFormatPr defaultColWidth="9.109375" defaultRowHeight="15.6" x14ac:dyDescent="0.3"/>
  <cols>
    <col min="1" max="1" width="9.109375" style="105"/>
    <col min="2" max="4" width="9.109375" style="106"/>
    <col min="5" max="5" width="9.109375" style="107"/>
    <col min="6" max="10" width="9.109375" style="105"/>
    <col min="11" max="12" width="9.109375" style="109"/>
    <col min="13" max="13" width="9.109375" style="110"/>
    <col min="14" max="16384" width="9.109375" style="108"/>
  </cols>
  <sheetData/>
  <pageMargins left="0.70866141732283472" right="0.70866141732283472" top="0.74803149606299213" bottom="0.74803149606299213" header="0.31496062992125984" footer="0.31496062992125984"/>
  <pageSetup paperSize="9" scale="6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F63"/>
  <sheetViews>
    <sheetView topLeftCell="A34" workbookViewId="0">
      <selection activeCell="D63" sqref="D63"/>
    </sheetView>
  </sheetViews>
  <sheetFormatPr defaultRowHeight="14.4" x14ac:dyDescent="0.3"/>
  <cols>
    <col min="1" max="2" width="5.6640625" style="152" customWidth="1"/>
    <col min="3" max="3" width="55.88671875" style="153" customWidth="1"/>
    <col min="4" max="4" width="13.44140625" style="139" customWidth="1"/>
    <col min="5" max="5" width="14.44140625" customWidth="1"/>
    <col min="6" max="6" width="14.88671875" customWidth="1"/>
    <col min="257" max="258" width="5.6640625" customWidth="1"/>
    <col min="259" max="259" width="55.88671875" customWidth="1"/>
    <col min="260" max="260" width="13.44140625" customWidth="1"/>
    <col min="261" max="261" width="14.44140625" customWidth="1"/>
    <col min="262" max="262" width="14.88671875" customWidth="1"/>
    <col min="513" max="514" width="5.6640625" customWidth="1"/>
    <col min="515" max="515" width="55.88671875" customWidth="1"/>
    <col min="516" max="516" width="13.44140625" customWidth="1"/>
    <col min="517" max="517" width="14.44140625" customWidth="1"/>
    <col min="518" max="518" width="14.88671875" customWidth="1"/>
    <col min="769" max="770" width="5.6640625" customWidth="1"/>
    <col min="771" max="771" width="55.88671875" customWidth="1"/>
    <col min="772" max="772" width="13.44140625" customWidth="1"/>
    <col min="773" max="773" width="14.44140625" customWidth="1"/>
    <col min="774" max="774" width="14.88671875" customWidth="1"/>
    <col min="1025" max="1026" width="5.6640625" customWidth="1"/>
    <col min="1027" max="1027" width="55.88671875" customWidth="1"/>
    <col min="1028" max="1028" width="13.44140625" customWidth="1"/>
    <col min="1029" max="1029" width="14.44140625" customWidth="1"/>
    <col min="1030" max="1030" width="14.88671875" customWidth="1"/>
    <col min="1281" max="1282" width="5.6640625" customWidth="1"/>
    <col min="1283" max="1283" width="55.88671875" customWidth="1"/>
    <col min="1284" max="1284" width="13.44140625" customWidth="1"/>
    <col min="1285" max="1285" width="14.44140625" customWidth="1"/>
    <col min="1286" max="1286" width="14.88671875" customWidth="1"/>
    <col min="1537" max="1538" width="5.6640625" customWidth="1"/>
    <col min="1539" max="1539" width="55.88671875" customWidth="1"/>
    <col min="1540" max="1540" width="13.44140625" customWidth="1"/>
    <col min="1541" max="1541" width="14.44140625" customWidth="1"/>
    <col min="1542" max="1542" width="14.88671875" customWidth="1"/>
    <col min="1793" max="1794" width="5.6640625" customWidth="1"/>
    <col min="1795" max="1795" width="55.88671875" customWidth="1"/>
    <col min="1796" max="1796" width="13.44140625" customWidth="1"/>
    <col min="1797" max="1797" width="14.44140625" customWidth="1"/>
    <col min="1798" max="1798" width="14.88671875" customWidth="1"/>
    <col min="2049" max="2050" width="5.6640625" customWidth="1"/>
    <col min="2051" max="2051" width="55.88671875" customWidth="1"/>
    <col min="2052" max="2052" width="13.44140625" customWidth="1"/>
    <col min="2053" max="2053" width="14.44140625" customWidth="1"/>
    <col min="2054" max="2054" width="14.88671875" customWidth="1"/>
    <col min="2305" max="2306" width="5.6640625" customWidth="1"/>
    <col min="2307" max="2307" width="55.88671875" customWidth="1"/>
    <col min="2308" max="2308" width="13.44140625" customWidth="1"/>
    <col min="2309" max="2309" width="14.44140625" customWidth="1"/>
    <col min="2310" max="2310" width="14.88671875" customWidth="1"/>
    <col min="2561" max="2562" width="5.6640625" customWidth="1"/>
    <col min="2563" max="2563" width="55.88671875" customWidth="1"/>
    <col min="2564" max="2564" width="13.44140625" customWidth="1"/>
    <col min="2565" max="2565" width="14.44140625" customWidth="1"/>
    <col min="2566" max="2566" width="14.88671875" customWidth="1"/>
    <col min="2817" max="2818" width="5.6640625" customWidth="1"/>
    <col min="2819" max="2819" width="55.88671875" customWidth="1"/>
    <col min="2820" max="2820" width="13.44140625" customWidth="1"/>
    <col min="2821" max="2821" width="14.44140625" customWidth="1"/>
    <col min="2822" max="2822" width="14.88671875" customWidth="1"/>
    <col min="3073" max="3074" width="5.6640625" customWidth="1"/>
    <col min="3075" max="3075" width="55.88671875" customWidth="1"/>
    <col min="3076" max="3076" width="13.44140625" customWidth="1"/>
    <col min="3077" max="3077" width="14.44140625" customWidth="1"/>
    <col min="3078" max="3078" width="14.88671875" customWidth="1"/>
    <col min="3329" max="3330" width="5.6640625" customWidth="1"/>
    <col min="3331" max="3331" width="55.88671875" customWidth="1"/>
    <col min="3332" max="3332" width="13.44140625" customWidth="1"/>
    <col min="3333" max="3333" width="14.44140625" customWidth="1"/>
    <col min="3334" max="3334" width="14.88671875" customWidth="1"/>
    <col min="3585" max="3586" width="5.6640625" customWidth="1"/>
    <col min="3587" max="3587" width="55.88671875" customWidth="1"/>
    <col min="3588" max="3588" width="13.44140625" customWidth="1"/>
    <col min="3589" max="3589" width="14.44140625" customWidth="1"/>
    <col min="3590" max="3590" width="14.88671875" customWidth="1"/>
    <col min="3841" max="3842" width="5.6640625" customWidth="1"/>
    <col min="3843" max="3843" width="55.88671875" customWidth="1"/>
    <col min="3844" max="3844" width="13.44140625" customWidth="1"/>
    <col min="3845" max="3845" width="14.44140625" customWidth="1"/>
    <col min="3846" max="3846" width="14.88671875" customWidth="1"/>
    <col min="4097" max="4098" width="5.6640625" customWidth="1"/>
    <col min="4099" max="4099" width="55.88671875" customWidth="1"/>
    <col min="4100" max="4100" width="13.44140625" customWidth="1"/>
    <col min="4101" max="4101" width="14.44140625" customWidth="1"/>
    <col min="4102" max="4102" width="14.88671875" customWidth="1"/>
    <col min="4353" max="4354" width="5.6640625" customWidth="1"/>
    <col min="4355" max="4355" width="55.88671875" customWidth="1"/>
    <col min="4356" max="4356" width="13.44140625" customWidth="1"/>
    <col min="4357" max="4357" width="14.44140625" customWidth="1"/>
    <col min="4358" max="4358" width="14.88671875" customWidth="1"/>
    <col min="4609" max="4610" width="5.6640625" customWidth="1"/>
    <col min="4611" max="4611" width="55.88671875" customWidth="1"/>
    <col min="4612" max="4612" width="13.44140625" customWidth="1"/>
    <col min="4613" max="4613" width="14.44140625" customWidth="1"/>
    <col min="4614" max="4614" width="14.88671875" customWidth="1"/>
    <col min="4865" max="4866" width="5.6640625" customWidth="1"/>
    <col min="4867" max="4867" width="55.88671875" customWidth="1"/>
    <col min="4868" max="4868" width="13.44140625" customWidth="1"/>
    <col min="4869" max="4869" width="14.44140625" customWidth="1"/>
    <col min="4870" max="4870" width="14.88671875" customWidth="1"/>
    <col min="5121" max="5122" width="5.6640625" customWidth="1"/>
    <col min="5123" max="5123" width="55.88671875" customWidth="1"/>
    <col min="5124" max="5124" width="13.44140625" customWidth="1"/>
    <col min="5125" max="5125" width="14.44140625" customWidth="1"/>
    <col min="5126" max="5126" width="14.88671875" customWidth="1"/>
    <col min="5377" max="5378" width="5.6640625" customWidth="1"/>
    <col min="5379" max="5379" width="55.88671875" customWidth="1"/>
    <col min="5380" max="5380" width="13.44140625" customWidth="1"/>
    <col min="5381" max="5381" width="14.44140625" customWidth="1"/>
    <col min="5382" max="5382" width="14.88671875" customWidth="1"/>
    <col min="5633" max="5634" width="5.6640625" customWidth="1"/>
    <col min="5635" max="5635" width="55.88671875" customWidth="1"/>
    <col min="5636" max="5636" width="13.44140625" customWidth="1"/>
    <col min="5637" max="5637" width="14.44140625" customWidth="1"/>
    <col min="5638" max="5638" width="14.88671875" customWidth="1"/>
    <col min="5889" max="5890" width="5.6640625" customWidth="1"/>
    <col min="5891" max="5891" width="55.88671875" customWidth="1"/>
    <col min="5892" max="5892" width="13.44140625" customWidth="1"/>
    <col min="5893" max="5893" width="14.44140625" customWidth="1"/>
    <col min="5894" max="5894" width="14.88671875" customWidth="1"/>
    <col min="6145" max="6146" width="5.6640625" customWidth="1"/>
    <col min="6147" max="6147" width="55.88671875" customWidth="1"/>
    <col min="6148" max="6148" width="13.44140625" customWidth="1"/>
    <col min="6149" max="6149" width="14.44140625" customWidth="1"/>
    <col min="6150" max="6150" width="14.88671875" customWidth="1"/>
    <col min="6401" max="6402" width="5.6640625" customWidth="1"/>
    <col min="6403" max="6403" width="55.88671875" customWidth="1"/>
    <col min="6404" max="6404" width="13.44140625" customWidth="1"/>
    <col min="6405" max="6405" width="14.44140625" customWidth="1"/>
    <col min="6406" max="6406" width="14.88671875" customWidth="1"/>
    <col min="6657" max="6658" width="5.6640625" customWidth="1"/>
    <col min="6659" max="6659" width="55.88671875" customWidth="1"/>
    <col min="6660" max="6660" width="13.44140625" customWidth="1"/>
    <col min="6661" max="6661" width="14.44140625" customWidth="1"/>
    <col min="6662" max="6662" width="14.88671875" customWidth="1"/>
    <col min="6913" max="6914" width="5.6640625" customWidth="1"/>
    <col min="6915" max="6915" width="55.88671875" customWidth="1"/>
    <col min="6916" max="6916" width="13.44140625" customWidth="1"/>
    <col min="6917" max="6917" width="14.44140625" customWidth="1"/>
    <col min="6918" max="6918" width="14.88671875" customWidth="1"/>
    <col min="7169" max="7170" width="5.6640625" customWidth="1"/>
    <col min="7171" max="7171" width="55.88671875" customWidth="1"/>
    <col min="7172" max="7172" width="13.44140625" customWidth="1"/>
    <col min="7173" max="7173" width="14.44140625" customWidth="1"/>
    <col min="7174" max="7174" width="14.88671875" customWidth="1"/>
    <col min="7425" max="7426" width="5.6640625" customWidth="1"/>
    <col min="7427" max="7427" width="55.88671875" customWidth="1"/>
    <col min="7428" max="7428" width="13.44140625" customWidth="1"/>
    <col min="7429" max="7429" width="14.44140625" customWidth="1"/>
    <col min="7430" max="7430" width="14.88671875" customWidth="1"/>
    <col min="7681" max="7682" width="5.6640625" customWidth="1"/>
    <col min="7683" max="7683" width="55.88671875" customWidth="1"/>
    <col min="7684" max="7684" width="13.44140625" customWidth="1"/>
    <col min="7685" max="7685" width="14.44140625" customWidth="1"/>
    <col min="7686" max="7686" width="14.88671875" customWidth="1"/>
    <col min="7937" max="7938" width="5.6640625" customWidth="1"/>
    <col min="7939" max="7939" width="55.88671875" customWidth="1"/>
    <col min="7940" max="7940" width="13.44140625" customWidth="1"/>
    <col min="7941" max="7941" width="14.44140625" customWidth="1"/>
    <col min="7942" max="7942" width="14.88671875" customWidth="1"/>
    <col min="8193" max="8194" width="5.6640625" customWidth="1"/>
    <col min="8195" max="8195" width="55.88671875" customWidth="1"/>
    <col min="8196" max="8196" width="13.44140625" customWidth="1"/>
    <col min="8197" max="8197" width="14.44140625" customWidth="1"/>
    <col min="8198" max="8198" width="14.88671875" customWidth="1"/>
    <col min="8449" max="8450" width="5.6640625" customWidth="1"/>
    <col min="8451" max="8451" width="55.88671875" customWidth="1"/>
    <col min="8452" max="8452" width="13.44140625" customWidth="1"/>
    <col min="8453" max="8453" width="14.44140625" customWidth="1"/>
    <col min="8454" max="8454" width="14.88671875" customWidth="1"/>
    <col min="8705" max="8706" width="5.6640625" customWidth="1"/>
    <col min="8707" max="8707" width="55.88671875" customWidth="1"/>
    <col min="8708" max="8708" width="13.44140625" customWidth="1"/>
    <col min="8709" max="8709" width="14.44140625" customWidth="1"/>
    <col min="8710" max="8710" width="14.88671875" customWidth="1"/>
    <col min="8961" max="8962" width="5.6640625" customWidth="1"/>
    <col min="8963" max="8963" width="55.88671875" customWidth="1"/>
    <col min="8964" max="8964" width="13.44140625" customWidth="1"/>
    <col min="8965" max="8965" width="14.44140625" customWidth="1"/>
    <col min="8966" max="8966" width="14.88671875" customWidth="1"/>
    <col min="9217" max="9218" width="5.6640625" customWidth="1"/>
    <col min="9219" max="9219" width="55.88671875" customWidth="1"/>
    <col min="9220" max="9220" width="13.44140625" customWidth="1"/>
    <col min="9221" max="9221" width="14.44140625" customWidth="1"/>
    <col min="9222" max="9222" width="14.88671875" customWidth="1"/>
    <col min="9473" max="9474" width="5.6640625" customWidth="1"/>
    <col min="9475" max="9475" width="55.88671875" customWidth="1"/>
    <col min="9476" max="9476" width="13.44140625" customWidth="1"/>
    <col min="9477" max="9477" width="14.44140625" customWidth="1"/>
    <col min="9478" max="9478" width="14.88671875" customWidth="1"/>
    <col min="9729" max="9730" width="5.6640625" customWidth="1"/>
    <col min="9731" max="9731" width="55.88671875" customWidth="1"/>
    <col min="9732" max="9732" width="13.44140625" customWidth="1"/>
    <col min="9733" max="9733" width="14.44140625" customWidth="1"/>
    <col min="9734" max="9734" width="14.88671875" customWidth="1"/>
    <col min="9985" max="9986" width="5.6640625" customWidth="1"/>
    <col min="9987" max="9987" width="55.88671875" customWidth="1"/>
    <col min="9988" max="9988" width="13.44140625" customWidth="1"/>
    <col min="9989" max="9989" width="14.44140625" customWidth="1"/>
    <col min="9990" max="9990" width="14.88671875" customWidth="1"/>
    <col min="10241" max="10242" width="5.6640625" customWidth="1"/>
    <col min="10243" max="10243" width="55.88671875" customWidth="1"/>
    <col min="10244" max="10244" width="13.44140625" customWidth="1"/>
    <col min="10245" max="10245" width="14.44140625" customWidth="1"/>
    <col min="10246" max="10246" width="14.88671875" customWidth="1"/>
    <col min="10497" max="10498" width="5.6640625" customWidth="1"/>
    <col min="10499" max="10499" width="55.88671875" customWidth="1"/>
    <col min="10500" max="10500" width="13.44140625" customWidth="1"/>
    <col min="10501" max="10501" width="14.44140625" customWidth="1"/>
    <col min="10502" max="10502" width="14.88671875" customWidth="1"/>
    <col min="10753" max="10754" width="5.6640625" customWidth="1"/>
    <col min="10755" max="10755" width="55.88671875" customWidth="1"/>
    <col min="10756" max="10756" width="13.44140625" customWidth="1"/>
    <col min="10757" max="10757" width="14.44140625" customWidth="1"/>
    <col min="10758" max="10758" width="14.88671875" customWidth="1"/>
    <col min="11009" max="11010" width="5.6640625" customWidth="1"/>
    <col min="11011" max="11011" width="55.88671875" customWidth="1"/>
    <col min="11012" max="11012" width="13.44140625" customWidth="1"/>
    <col min="11013" max="11013" width="14.44140625" customWidth="1"/>
    <col min="11014" max="11014" width="14.88671875" customWidth="1"/>
    <col min="11265" max="11266" width="5.6640625" customWidth="1"/>
    <col min="11267" max="11267" width="55.88671875" customWidth="1"/>
    <col min="11268" max="11268" width="13.44140625" customWidth="1"/>
    <col min="11269" max="11269" width="14.44140625" customWidth="1"/>
    <col min="11270" max="11270" width="14.88671875" customWidth="1"/>
    <col min="11521" max="11522" width="5.6640625" customWidth="1"/>
    <col min="11523" max="11523" width="55.88671875" customWidth="1"/>
    <col min="11524" max="11524" width="13.44140625" customWidth="1"/>
    <col min="11525" max="11525" width="14.44140625" customWidth="1"/>
    <col min="11526" max="11526" width="14.88671875" customWidth="1"/>
    <col min="11777" max="11778" width="5.6640625" customWidth="1"/>
    <col min="11779" max="11779" width="55.88671875" customWidth="1"/>
    <col min="11780" max="11780" width="13.44140625" customWidth="1"/>
    <col min="11781" max="11781" width="14.44140625" customWidth="1"/>
    <col min="11782" max="11782" width="14.88671875" customWidth="1"/>
    <col min="12033" max="12034" width="5.6640625" customWidth="1"/>
    <col min="12035" max="12035" width="55.88671875" customWidth="1"/>
    <col min="12036" max="12036" width="13.44140625" customWidth="1"/>
    <col min="12037" max="12037" width="14.44140625" customWidth="1"/>
    <col min="12038" max="12038" width="14.88671875" customWidth="1"/>
    <col min="12289" max="12290" width="5.6640625" customWidth="1"/>
    <col min="12291" max="12291" width="55.88671875" customWidth="1"/>
    <col min="12292" max="12292" width="13.44140625" customWidth="1"/>
    <col min="12293" max="12293" width="14.44140625" customWidth="1"/>
    <col min="12294" max="12294" width="14.88671875" customWidth="1"/>
    <col min="12545" max="12546" width="5.6640625" customWidth="1"/>
    <col min="12547" max="12547" width="55.88671875" customWidth="1"/>
    <col min="12548" max="12548" width="13.44140625" customWidth="1"/>
    <col min="12549" max="12549" width="14.44140625" customWidth="1"/>
    <col min="12550" max="12550" width="14.88671875" customWidth="1"/>
    <col min="12801" max="12802" width="5.6640625" customWidth="1"/>
    <col min="12803" max="12803" width="55.88671875" customWidth="1"/>
    <col min="12804" max="12804" width="13.44140625" customWidth="1"/>
    <col min="12805" max="12805" width="14.44140625" customWidth="1"/>
    <col min="12806" max="12806" width="14.88671875" customWidth="1"/>
    <col min="13057" max="13058" width="5.6640625" customWidth="1"/>
    <col min="13059" max="13059" width="55.88671875" customWidth="1"/>
    <col min="13060" max="13060" width="13.44140625" customWidth="1"/>
    <col min="13061" max="13061" width="14.44140625" customWidth="1"/>
    <col min="13062" max="13062" width="14.88671875" customWidth="1"/>
    <col min="13313" max="13314" width="5.6640625" customWidth="1"/>
    <col min="13315" max="13315" width="55.88671875" customWidth="1"/>
    <col min="13316" max="13316" width="13.44140625" customWidth="1"/>
    <col min="13317" max="13317" width="14.44140625" customWidth="1"/>
    <col min="13318" max="13318" width="14.88671875" customWidth="1"/>
    <col min="13569" max="13570" width="5.6640625" customWidth="1"/>
    <col min="13571" max="13571" width="55.88671875" customWidth="1"/>
    <col min="13572" max="13572" width="13.44140625" customWidth="1"/>
    <col min="13573" max="13573" width="14.44140625" customWidth="1"/>
    <col min="13574" max="13574" width="14.88671875" customWidth="1"/>
    <col min="13825" max="13826" width="5.6640625" customWidth="1"/>
    <col min="13827" max="13827" width="55.88671875" customWidth="1"/>
    <col min="13828" max="13828" width="13.44140625" customWidth="1"/>
    <col min="13829" max="13829" width="14.44140625" customWidth="1"/>
    <col min="13830" max="13830" width="14.88671875" customWidth="1"/>
    <col min="14081" max="14082" width="5.6640625" customWidth="1"/>
    <col min="14083" max="14083" width="55.88671875" customWidth="1"/>
    <col min="14084" max="14084" width="13.44140625" customWidth="1"/>
    <col min="14085" max="14085" width="14.44140625" customWidth="1"/>
    <col min="14086" max="14086" width="14.88671875" customWidth="1"/>
    <col min="14337" max="14338" width="5.6640625" customWidth="1"/>
    <col min="14339" max="14339" width="55.88671875" customWidth="1"/>
    <col min="14340" max="14340" width="13.44140625" customWidth="1"/>
    <col min="14341" max="14341" width="14.44140625" customWidth="1"/>
    <col min="14342" max="14342" width="14.88671875" customWidth="1"/>
    <col min="14593" max="14594" width="5.6640625" customWidth="1"/>
    <col min="14595" max="14595" width="55.88671875" customWidth="1"/>
    <col min="14596" max="14596" width="13.44140625" customWidth="1"/>
    <col min="14597" max="14597" width="14.44140625" customWidth="1"/>
    <col min="14598" max="14598" width="14.88671875" customWidth="1"/>
    <col min="14849" max="14850" width="5.6640625" customWidth="1"/>
    <col min="14851" max="14851" width="55.88671875" customWidth="1"/>
    <col min="14852" max="14852" width="13.44140625" customWidth="1"/>
    <col min="14853" max="14853" width="14.44140625" customWidth="1"/>
    <col min="14854" max="14854" width="14.88671875" customWidth="1"/>
    <col min="15105" max="15106" width="5.6640625" customWidth="1"/>
    <col min="15107" max="15107" width="55.88671875" customWidth="1"/>
    <col min="15108" max="15108" width="13.44140625" customWidth="1"/>
    <col min="15109" max="15109" width="14.44140625" customWidth="1"/>
    <col min="15110" max="15110" width="14.88671875" customWidth="1"/>
    <col min="15361" max="15362" width="5.6640625" customWidth="1"/>
    <col min="15363" max="15363" width="55.88671875" customWidth="1"/>
    <col min="15364" max="15364" width="13.44140625" customWidth="1"/>
    <col min="15365" max="15365" width="14.44140625" customWidth="1"/>
    <col min="15366" max="15366" width="14.88671875" customWidth="1"/>
    <col min="15617" max="15618" width="5.6640625" customWidth="1"/>
    <col min="15619" max="15619" width="55.88671875" customWidth="1"/>
    <col min="15620" max="15620" width="13.44140625" customWidth="1"/>
    <col min="15621" max="15621" width="14.44140625" customWidth="1"/>
    <col min="15622" max="15622" width="14.88671875" customWidth="1"/>
    <col min="15873" max="15874" width="5.6640625" customWidth="1"/>
    <col min="15875" max="15875" width="55.88671875" customWidth="1"/>
    <col min="15876" max="15876" width="13.44140625" customWidth="1"/>
    <col min="15877" max="15877" width="14.44140625" customWidth="1"/>
    <col min="15878" max="15878" width="14.88671875" customWidth="1"/>
    <col min="16129" max="16130" width="5.6640625" customWidth="1"/>
    <col min="16131" max="16131" width="55.88671875" customWidth="1"/>
    <col min="16132" max="16132" width="13.44140625" customWidth="1"/>
    <col min="16133" max="16133" width="14.44140625" customWidth="1"/>
    <col min="16134" max="16134" width="14.88671875" customWidth="1"/>
  </cols>
  <sheetData>
    <row r="1" spans="1:6" s="136" customFormat="1" ht="15.6" x14ac:dyDescent="0.3">
      <c r="A1" s="1"/>
      <c r="B1" s="1"/>
      <c r="C1" s="1170" t="s">
        <v>1060</v>
      </c>
      <c r="D1" s="1170"/>
      <c r="E1" s="1170"/>
      <c r="F1" s="1170"/>
    </row>
    <row r="2" spans="1:6" s="136" customFormat="1" ht="15.75" customHeight="1" x14ac:dyDescent="0.3">
      <c r="A2" s="1"/>
      <c r="B2" s="1"/>
      <c r="C2" s="1170" t="s">
        <v>529</v>
      </c>
      <c r="D2" s="1170"/>
      <c r="E2" s="1170"/>
      <c r="F2" s="1170"/>
    </row>
    <row r="3" spans="1:6" s="136" customFormat="1" ht="15.6" x14ac:dyDescent="0.3">
      <c r="A3" s="1"/>
      <c r="B3" s="1"/>
      <c r="C3" s="1170" t="s">
        <v>530</v>
      </c>
      <c r="D3" s="1170"/>
      <c r="E3" s="1170"/>
      <c r="F3" s="1170"/>
    </row>
    <row r="4" spans="1:6" s="136" customFormat="1" ht="15.6" x14ac:dyDescent="0.3">
      <c r="A4" s="1"/>
      <c r="B4" s="1"/>
      <c r="C4" s="1170" t="s">
        <v>1077</v>
      </c>
      <c r="D4" s="1170"/>
      <c r="E4" s="1170"/>
      <c r="F4" s="1170"/>
    </row>
    <row r="5" spans="1:6" s="136" customFormat="1" ht="15.6" x14ac:dyDescent="0.3">
      <c r="A5" s="1"/>
      <c r="B5" s="1"/>
      <c r="C5" s="138"/>
      <c r="D5" s="111"/>
    </row>
    <row r="6" spans="1:6" ht="15.6" x14ac:dyDescent="0.3">
      <c r="A6" s="1"/>
      <c r="B6" s="1"/>
      <c r="C6" s="138"/>
      <c r="D6" s="111"/>
    </row>
    <row r="7" spans="1:6" ht="15.6" x14ac:dyDescent="0.3">
      <c r="A7" s="1163" t="s">
        <v>531</v>
      </c>
      <c r="B7" s="1163"/>
      <c r="C7" s="1163"/>
      <c r="D7" s="1163"/>
      <c r="E7" s="1163"/>
      <c r="F7" s="1163"/>
    </row>
    <row r="8" spans="1:6" ht="15.6" x14ac:dyDescent="0.3">
      <c r="A8" s="1"/>
      <c r="B8" s="1"/>
      <c r="C8" s="95"/>
      <c r="F8" s="111" t="s">
        <v>478</v>
      </c>
    </row>
    <row r="9" spans="1:6" ht="15.6" x14ac:dyDescent="0.3">
      <c r="A9" s="1154" t="s">
        <v>331</v>
      </c>
      <c r="B9" s="1154" t="s">
        <v>332</v>
      </c>
      <c r="C9" s="1156" t="s">
        <v>6</v>
      </c>
      <c r="D9" s="1158" t="s">
        <v>532</v>
      </c>
      <c r="E9" s="1159"/>
      <c r="F9" s="1160"/>
    </row>
    <row r="10" spans="1:6" ht="15.6" x14ac:dyDescent="0.3">
      <c r="A10" s="1155"/>
      <c r="B10" s="1155"/>
      <c r="C10" s="1157"/>
      <c r="D10" s="117">
        <v>2015</v>
      </c>
      <c r="E10" s="140">
        <v>2016</v>
      </c>
      <c r="F10" s="140">
        <v>2017</v>
      </c>
    </row>
    <row r="11" spans="1:6" ht="15.6" x14ac:dyDescent="0.3">
      <c r="A11" s="141" t="s">
        <v>290</v>
      </c>
      <c r="B11" s="141" t="s">
        <v>317</v>
      </c>
      <c r="C11" s="115" t="s">
        <v>254</v>
      </c>
      <c r="D11" s="116" t="e">
        <f>D12+D13+D14+D15+D16+D17+D18+D19</f>
        <v>#REF!</v>
      </c>
      <c r="E11" s="116" t="e">
        <f>E12+E13+E14+E15+E16+E17+E18+E19</f>
        <v>#REF!</v>
      </c>
      <c r="F11" s="116" t="e">
        <f>F12+F13+F14+F15+F16+F17+F18+F19</f>
        <v>#REF!</v>
      </c>
    </row>
    <row r="12" spans="1:6" ht="31.2" x14ac:dyDescent="0.3">
      <c r="A12" s="142" t="s">
        <v>290</v>
      </c>
      <c r="B12" s="142" t="s">
        <v>316</v>
      </c>
      <c r="C12" s="112" t="s">
        <v>533</v>
      </c>
      <c r="D12" s="114">
        <v>1481106</v>
      </c>
      <c r="E12" s="114">
        <v>1481106</v>
      </c>
      <c r="F12" s="114">
        <v>1481106</v>
      </c>
    </row>
    <row r="13" spans="1:6" ht="46.8" x14ac:dyDescent="0.3">
      <c r="A13" s="142" t="s">
        <v>290</v>
      </c>
      <c r="B13" s="142" t="s">
        <v>292</v>
      </c>
      <c r="C13" s="112" t="s">
        <v>534</v>
      </c>
      <c r="D13" s="114">
        <v>2391140.4</v>
      </c>
      <c r="E13" s="114">
        <v>2385047.62</v>
      </c>
      <c r="F13" s="114">
        <v>2398369.13</v>
      </c>
    </row>
    <row r="14" spans="1:6" ht="46.8" x14ac:dyDescent="0.3">
      <c r="A14" s="142" t="s">
        <v>290</v>
      </c>
      <c r="B14" s="142" t="s">
        <v>335</v>
      </c>
      <c r="C14" s="112" t="s">
        <v>535</v>
      </c>
      <c r="D14" s="114">
        <v>27582649.59</v>
      </c>
      <c r="E14" s="114">
        <v>28206494.16</v>
      </c>
      <c r="F14" s="114">
        <v>28420913.390000001</v>
      </c>
    </row>
    <row r="15" spans="1:6" ht="15.6" x14ac:dyDescent="0.3">
      <c r="A15" s="142" t="s">
        <v>290</v>
      </c>
      <c r="B15" s="142" t="s">
        <v>294</v>
      </c>
      <c r="C15" s="91" t="s">
        <v>337</v>
      </c>
      <c r="D15" s="114">
        <f>[1]П_6!I26</f>
        <v>0</v>
      </c>
      <c r="E15" s="114">
        <v>24200</v>
      </c>
      <c r="F15" s="114">
        <v>0</v>
      </c>
    </row>
    <row r="16" spans="1:6" ht="46.8" x14ac:dyDescent="0.3">
      <c r="A16" s="142" t="s">
        <v>290</v>
      </c>
      <c r="B16" s="142" t="s">
        <v>296</v>
      </c>
      <c r="C16" s="112" t="s">
        <v>536</v>
      </c>
      <c r="D16" s="114" t="e">
        <f>#REF!+#REF!</f>
        <v>#REF!</v>
      </c>
      <c r="E16" s="114" t="e">
        <f>#REF!+#REF!</f>
        <v>#REF!</v>
      </c>
      <c r="F16" s="114" t="e">
        <f>#REF!+#REF!</f>
        <v>#REF!</v>
      </c>
    </row>
    <row r="17" spans="1:6" ht="15.6" x14ac:dyDescent="0.3">
      <c r="A17" s="142" t="s">
        <v>290</v>
      </c>
      <c r="B17" s="142" t="s">
        <v>339</v>
      </c>
      <c r="C17" s="112" t="s">
        <v>340</v>
      </c>
      <c r="D17" s="114">
        <v>0</v>
      </c>
      <c r="E17" s="114">
        <f>[1]П_6!J32</f>
        <v>0</v>
      </c>
      <c r="F17" s="114">
        <f>[1]П_6!K32</f>
        <v>0</v>
      </c>
    </row>
    <row r="18" spans="1:6" ht="15.6" x14ac:dyDescent="0.3">
      <c r="A18" s="142" t="s">
        <v>290</v>
      </c>
      <c r="B18" s="142" t="s">
        <v>302</v>
      </c>
      <c r="C18" s="112" t="s">
        <v>341</v>
      </c>
      <c r="D18" s="114">
        <v>315300</v>
      </c>
      <c r="E18" s="114">
        <v>330119.09999999998</v>
      </c>
      <c r="F18" s="114">
        <v>344314.22</v>
      </c>
    </row>
    <row r="19" spans="1:6" ht="15.6" x14ac:dyDescent="0.3">
      <c r="A19" s="142" t="s">
        <v>290</v>
      </c>
      <c r="B19" s="142" t="s">
        <v>306</v>
      </c>
      <c r="C19" s="112" t="s">
        <v>342</v>
      </c>
      <c r="D19" s="114" t="e">
        <f>#REF!+#REF!</f>
        <v>#REF!</v>
      </c>
      <c r="E19" s="114" t="e">
        <f>#REF!+#REF!</f>
        <v>#REF!</v>
      </c>
      <c r="F19" s="114" t="e">
        <f>#REF!+#REF!</f>
        <v>#REF!</v>
      </c>
    </row>
    <row r="20" spans="1:6" ht="31.2" x14ac:dyDescent="0.3">
      <c r="A20" s="141" t="s">
        <v>292</v>
      </c>
      <c r="B20" s="141" t="s">
        <v>317</v>
      </c>
      <c r="C20" s="115" t="s">
        <v>255</v>
      </c>
      <c r="D20" s="116">
        <v>3684687.92</v>
      </c>
      <c r="E20" s="116" t="e">
        <f>E22</f>
        <v>#REF!</v>
      </c>
      <c r="F20" s="116" t="e">
        <f>F22</f>
        <v>#REF!</v>
      </c>
    </row>
    <row r="21" spans="1:6" ht="15.6" hidden="1" x14ac:dyDescent="0.3">
      <c r="A21" s="142" t="s">
        <v>292</v>
      </c>
      <c r="B21" s="142" t="s">
        <v>316</v>
      </c>
      <c r="C21" s="112" t="s">
        <v>345</v>
      </c>
      <c r="D21" s="114">
        <v>0</v>
      </c>
      <c r="E21" s="114">
        <v>0</v>
      </c>
      <c r="F21" s="114">
        <v>0</v>
      </c>
    </row>
    <row r="22" spans="1:6" ht="31.2" x14ac:dyDescent="0.3">
      <c r="A22" s="142" t="s">
        <v>292</v>
      </c>
      <c r="B22" s="142" t="s">
        <v>300</v>
      </c>
      <c r="C22" s="112" t="s">
        <v>537</v>
      </c>
      <c r="D22" s="114" t="e">
        <f>#REF!+#REF!</f>
        <v>#REF!</v>
      </c>
      <c r="E22" s="114" t="e">
        <f>#REF!+#REF!</f>
        <v>#REF!</v>
      </c>
      <c r="F22" s="114" t="e">
        <f>#REF!+#REF!</f>
        <v>#REF!</v>
      </c>
    </row>
    <row r="23" spans="1:6" ht="15.6" hidden="1" x14ac:dyDescent="0.3">
      <c r="A23" s="142" t="s">
        <v>292</v>
      </c>
      <c r="B23" s="142" t="s">
        <v>347</v>
      </c>
      <c r="C23" s="112" t="s">
        <v>348</v>
      </c>
      <c r="D23" s="114">
        <v>0</v>
      </c>
      <c r="E23" s="143">
        <v>0</v>
      </c>
      <c r="F23" s="143">
        <v>0</v>
      </c>
    </row>
    <row r="24" spans="1:6" ht="31.2" hidden="1" x14ac:dyDescent="0.3">
      <c r="A24" s="142" t="s">
        <v>292</v>
      </c>
      <c r="B24" s="142" t="s">
        <v>308</v>
      </c>
      <c r="C24" s="112" t="s">
        <v>349</v>
      </c>
      <c r="D24" s="114">
        <v>0</v>
      </c>
      <c r="E24" s="143">
        <v>0</v>
      </c>
      <c r="F24" s="143">
        <v>0</v>
      </c>
    </row>
    <row r="25" spans="1:6" ht="15.6" x14ac:dyDescent="0.3">
      <c r="A25" s="141" t="s">
        <v>335</v>
      </c>
      <c r="B25" s="141" t="s">
        <v>317</v>
      </c>
      <c r="C25" s="115" t="s">
        <v>256</v>
      </c>
      <c r="D25" s="116">
        <f>D26+D27+D28+D29+D30+D31</f>
        <v>8312735.8399999999</v>
      </c>
      <c r="E25" s="116">
        <f>E26+E27+E28+E29+E30+E31</f>
        <v>7657449.6799999997</v>
      </c>
      <c r="F25" s="116">
        <f>F26+F27+F28+F29+F30+F31</f>
        <v>7657449.6799999997</v>
      </c>
    </row>
    <row r="26" spans="1:6" ht="15.6" x14ac:dyDescent="0.3">
      <c r="A26" s="142" t="s">
        <v>335</v>
      </c>
      <c r="B26" s="142" t="s">
        <v>290</v>
      </c>
      <c r="C26" s="112" t="s">
        <v>350</v>
      </c>
      <c r="D26" s="114">
        <v>0</v>
      </c>
      <c r="E26" s="114">
        <v>0</v>
      </c>
      <c r="F26" s="114">
        <v>0</v>
      </c>
    </row>
    <row r="27" spans="1:6" ht="15.6" x14ac:dyDescent="0.3">
      <c r="A27" s="142" t="s">
        <v>335</v>
      </c>
      <c r="B27" s="142" t="s">
        <v>294</v>
      </c>
      <c r="C27" s="112" t="s">
        <v>351</v>
      </c>
      <c r="D27" s="114">
        <v>636250</v>
      </c>
      <c r="E27" s="114">
        <v>636200</v>
      </c>
      <c r="F27" s="114">
        <v>636200</v>
      </c>
    </row>
    <row r="28" spans="1:6" ht="15.6" x14ac:dyDescent="0.3">
      <c r="A28" s="142" t="s">
        <v>335</v>
      </c>
      <c r="B28" s="142" t="s">
        <v>296</v>
      </c>
      <c r="C28" s="144" t="s">
        <v>538</v>
      </c>
      <c r="D28" s="114">
        <v>533000</v>
      </c>
      <c r="E28" s="114">
        <v>200000</v>
      </c>
      <c r="F28" s="114">
        <v>200000</v>
      </c>
    </row>
    <row r="29" spans="1:6" ht="15.6" x14ac:dyDescent="0.3">
      <c r="A29" s="142" t="s">
        <v>335</v>
      </c>
      <c r="B29" s="142" t="s">
        <v>298</v>
      </c>
      <c r="C29" s="112" t="s">
        <v>353</v>
      </c>
      <c r="D29" s="114">
        <v>6943485.8399999999</v>
      </c>
      <c r="E29" s="114">
        <v>6571249.6799999997</v>
      </c>
      <c r="F29" s="114">
        <v>6571249.6799999997</v>
      </c>
    </row>
    <row r="30" spans="1:6" ht="15.6" x14ac:dyDescent="0.3">
      <c r="A30" s="142" t="s">
        <v>335</v>
      </c>
      <c r="B30" s="142" t="s">
        <v>300</v>
      </c>
      <c r="C30" s="112" t="s">
        <v>936</v>
      </c>
      <c r="D30" s="114">
        <v>0</v>
      </c>
      <c r="E30" s="114">
        <v>0</v>
      </c>
      <c r="F30" s="114">
        <v>0</v>
      </c>
    </row>
    <row r="31" spans="1:6" ht="15.6" x14ac:dyDescent="0.3">
      <c r="A31" s="142" t="s">
        <v>335</v>
      </c>
      <c r="B31" s="142" t="s">
        <v>304</v>
      </c>
      <c r="C31" s="112" t="s">
        <v>355</v>
      </c>
      <c r="D31" s="114">
        <v>200000</v>
      </c>
      <c r="E31" s="114">
        <v>250000</v>
      </c>
      <c r="F31" s="114">
        <v>250000</v>
      </c>
    </row>
    <row r="32" spans="1:6" ht="15.6" x14ac:dyDescent="0.3">
      <c r="A32" s="141" t="s">
        <v>294</v>
      </c>
      <c r="B32" s="141" t="s">
        <v>317</v>
      </c>
      <c r="C32" s="115" t="s">
        <v>257</v>
      </c>
      <c r="D32" s="145">
        <f>D33+D34+D35+D36</f>
        <v>104938700</v>
      </c>
      <c r="E32" s="145">
        <f>E33+E34+E35+E36</f>
        <v>106486170</v>
      </c>
      <c r="F32" s="145">
        <f>F33+F34+F35+F36</f>
        <v>111838000</v>
      </c>
    </row>
    <row r="33" spans="1:6" ht="15.6" x14ac:dyDescent="0.3">
      <c r="A33" s="142" t="s">
        <v>294</v>
      </c>
      <c r="B33" s="142" t="s">
        <v>290</v>
      </c>
      <c r="C33" s="112" t="s">
        <v>356</v>
      </c>
      <c r="D33" s="114">
        <v>5723000</v>
      </c>
      <c r="E33" s="114">
        <v>3500000</v>
      </c>
      <c r="F33" s="114">
        <v>4000000</v>
      </c>
    </row>
    <row r="34" spans="1:6" ht="15.6" x14ac:dyDescent="0.3">
      <c r="A34" s="142" t="s">
        <v>294</v>
      </c>
      <c r="B34" s="142" t="s">
        <v>316</v>
      </c>
      <c r="C34" s="112" t="s">
        <v>357</v>
      </c>
      <c r="D34" s="114">
        <v>97665700</v>
      </c>
      <c r="E34" s="114">
        <v>102206170</v>
      </c>
      <c r="F34" s="114">
        <v>107058000</v>
      </c>
    </row>
    <row r="35" spans="1:6" ht="15.6" x14ac:dyDescent="0.3">
      <c r="A35" s="142" t="s">
        <v>294</v>
      </c>
      <c r="B35" s="142" t="s">
        <v>292</v>
      </c>
      <c r="C35" s="144" t="s">
        <v>358</v>
      </c>
      <c r="D35" s="114">
        <v>1550000</v>
      </c>
      <c r="E35" s="114">
        <v>780000</v>
      </c>
      <c r="F35" s="114">
        <v>780000</v>
      </c>
    </row>
    <row r="36" spans="1:6" ht="15.6" hidden="1" x14ac:dyDescent="0.3">
      <c r="A36" s="142" t="s">
        <v>294</v>
      </c>
      <c r="B36" s="142" t="s">
        <v>294</v>
      </c>
      <c r="C36" s="112" t="s">
        <v>359</v>
      </c>
      <c r="D36" s="114"/>
      <c r="E36" s="146"/>
      <c r="F36" s="146"/>
    </row>
    <row r="37" spans="1:6" ht="15.6" hidden="1" x14ac:dyDescent="0.3">
      <c r="A37" s="141" t="s">
        <v>296</v>
      </c>
      <c r="B37" s="141" t="s">
        <v>317</v>
      </c>
      <c r="C37" s="115" t="s">
        <v>258</v>
      </c>
      <c r="D37" s="116">
        <f>D38</f>
        <v>0</v>
      </c>
      <c r="E37" s="116">
        <f>E38</f>
        <v>0</v>
      </c>
      <c r="F37" s="116">
        <f>F38</f>
        <v>0</v>
      </c>
    </row>
    <row r="38" spans="1:6" ht="15.6" hidden="1" x14ac:dyDescent="0.3">
      <c r="A38" s="142" t="s">
        <v>296</v>
      </c>
      <c r="B38" s="142" t="s">
        <v>316</v>
      </c>
      <c r="C38" s="144" t="s">
        <v>360</v>
      </c>
      <c r="D38" s="114"/>
      <c r="E38" s="146"/>
      <c r="F38" s="146"/>
    </row>
    <row r="39" spans="1:6" ht="15.6" x14ac:dyDescent="0.3">
      <c r="A39" s="141" t="s">
        <v>339</v>
      </c>
      <c r="B39" s="141" t="s">
        <v>317</v>
      </c>
      <c r="C39" s="115" t="s">
        <v>259</v>
      </c>
      <c r="D39" s="116" t="e">
        <f>D40+D41+D42+D43</f>
        <v>#REF!</v>
      </c>
      <c r="E39" s="116" t="e">
        <f>E40+E41+E42+E43</f>
        <v>#REF!</v>
      </c>
      <c r="F39" s="116" t="e">
        <f>F40+F41+F42+F43</f>
        <v>#REF!</v>
      </c>
    </row>
    <row r="40" spans="1:6" ht="15.6" x14ac:dyDescent="0.3">
      <c r="A40" s="142" t="s">
        <v>339</v>
      </c>
      <c r="B40" s="142" t="s">
        <v>290</v>
      </c>
      <c r="C40" s="112" t="s">
        <v>361</v>
      </c>
      <c r="D40" s="114" t="e">
        <f>#REF!+#REF!</f>
        <v>#REF!</v>
      </c>
      <c r="E40" s="114" t="e">
        <f>#REF!</f>
        <v>#REF!</v>
      </c>
      <c r="F40" s="114" t="e">
        <f>#REF!</f>
        <v>#REF!</v>
      </c>
    </row>
    <row r="41" spans="1:6" ht="15.6" x14ac:dyDescent="0.3">
      <c r="A41" s="142" t="s">
        <v>339</v>
      </c>
      <c r="B41" s="142" t="s">
        <v>316</v>
      </c>
      <c r="C41" s="112" t="s">
        <v>362</v>
      </c>
      <c r="D41" s="114" t="e">
        <f>#REF!+#REF!+#REF!</f>
        <v>#REF!</v>
      </c>
      <c r="E41" s="114" t="e">
        <f>#REF!+#REF!+#REF!</f>
        <v>#REF!</v>
      </c>
      <c r="F41" s="114" t="e">
        <f>#REF!+#REF!+#REF!</f>
        <v>#REF!</v>
      </c>
    </row>
    <row r="42" spans="1:6" ht="15.6" x14ac:dyDescent="0.3">
      <c r="A42" s="142" t="s">
        <v>339</v>
      </c>
      <c r="B42" s="142" t="s">
        <v>339</v>
      </c>
      <c r="C42" s="112" t="s">
        <v>363</v>
      </c>
      <c r="D42" s="114" t="e">
        <f>#REF!+#REF!</f>
        <v>#REF!</v>
      </c>
      <c r="E42" s="114" t="e">
        <f>#REF!+#REF!</f>
        <v>#REF!</v>
      </c>
      <c r="F42" s="114" t="e">
        <f>#REF!+#REF!</f>
        <v>#REF!</v>
      </c>
    </row>
    <row r="43" spans="1:6" ht="15.6" x14ac:dyDescent="0.3">
      <c r="A43" s="142" t="s">
        <v>339</v>
      </c>
      <c r="B43" s="142" t="s">
        <v>300</v>
      </c>
      <c r="C43" s="112" t="s">
        <v>364</v>
      </c>
      <c r="D43" s="114" t="e">
        <f>#REF!+#REF!</f>
        <v>#REF!</v>
      </c>
      <c r="E43" s="114" t="e">
        <f>#REF!+#REF!</f>
        <v>#REF!</v>
      </c>
      <c r="F43" s="114" t="e">
        <f>#REF!+#REF!</f>
        <v>#REF!</v>
      </c>
    </row>
    <row r="44" spans="1:6" ht="15.6" x14ac:dyDescent="0.3">
      <c r="A44" s="141" t="s">
        <v>298</v>
      </c>
      <c r="B44" s="141" t="s">
        <v>317</v>
      </c>
      <c r="C44" s="115" t="s">
        <v>539</v>
      </c>
      <c r="D44" s="116" t="e">
        <f>D45</f>
        <v>#REF!</v>
      </c>
      <c r="E44" s="116" t="e">
        <f>E45</f>
        <v>#REF!</v>
      </c>
      <c r="F44" s="116" t="e">
        <f>F45</f>
        <v>#REF!</v>
      </c>
    </row>
    <row r="45" spans="1:6" ht="15.6" x14ac:dyDescent="0.3">
      <c r="A45" s="142" t="s">
        <v>298</v>
      </c>
      <c r="B45" s="142" t="s">
        <v>290</v>
      </c>
      <c r="C45" s="112" t="s">
        <v>366</v>
      </c>
      <c r="D45" s="114" t="e">
        <f>#REF!+#REF!</f>
        <v>#REF!</v>
      </c>
      <c r="E45" s="114" t="e">
        <f>#REF!+#REF!</f>
        <v>#REF!</v>
      </c>
      <c r="F45" s="114" t="e">
        <f>#REF!+#REF!</f>
        <v>#REF!</v>
      </c>
    </row>
    <row r="46" spans="1:6" ht="15.6" x14ac:dyDescent="0.3">
      <c r="A46" s="141" t="s">
        <v>300</v>
      </c>
      <c r="B46" s="141" t="s">
        <v>317</v>
      </c>
      <c r="C46" s="115" t="s">
        <v>261</v>
      </c>
      <c r="D46" s="116">
        <f>D48+D47</f>
        <v>573400</v>
      </c>
      <c r="E46" s="116">
        <f>E48+E47</f>
        <v>573400</v>
      </c>
      <c r="F46" s="116">
        <f>F48+F47</f>
        <v>573400</v>
      </c>
    </row>
    <row r="47" spans="1:6" s="33" customFormat="1" ht="15.6" x14ac:dyDescent="0.3">
      <c r="A47" s="142" t="s">
        <v>300</v>
      </c>
      <c r="B47" s="142" t="s">
        <v>339</v>
      </c>
      <c r="C47" s="112" t="s">
        <v>370</v>
      </c>
      <c r="D47" s="114">
        <v>0</v>
      </c>
      <c r="E47" s="114">
        <v>0</v>
      </c>
      <c r="F47" s="114">
        <v>0</v>
      </c>
    </row>
    <row r="48" spans="1:6" ht="15.6" x14ac:dyDescent="0.3">
      <c r="A48" s="147" t="s">
        <v>300</v>
      </c>
      <c r="B48" s="147" t="s">
        <v>300</v>
      </c>
      <c r="C48" s="91" t="s">
        <v>371</v>
      </c>
      <c r="D48" s="114">
        <f>[1]П_6!I159</f>
        <v>573400</v>
      </c>
      <c r="E48" s="114">
        <f>[1]П_6!J159</f>
        <v>573400</v>
      </c>
      <c r="F48" s="114">
        <f>[1]П_6!K159</f>
        <v>573400</v>
      </c>
    </row>
    <row r="49" spans="1:6" ht="15.6" x14ac:dyDescent="0.3">
      <c r="A49" s="148" t="s">
        <v>347</v>
      </c>
      <c r="B49" s="148" t="s">
        <v>317</v>
      </c>
      <c r="C49" s="149" t="s">
        <v>262</v>
      </c>
      <c r="D49" s="116" t="e">
        <f>D50+D51+D52</f>
        <v>#REF!</v>
      </c>
      <c r="E49" s="116" t="e">
        <f>E50+E51+E52</f>
        <v>#REF!</v>
      </c>
      <c r="F49" s="116" t="e">
        <f>F50+F51+F52</f>
        <v>#REF!</v>
      </c>
    </row>
    <row r="50" spans="1:6" ht="15.6" x14ac:dyDescent="0.3">
      <c r="A50" s="147" t="s">
        <v>347</v>
      </c>
      <c r="B50" s="147" t="s">
        <v>290</v>
      </c>
      <c r="C50" s="91" t="s">
        <v>372</v>
      </c>
      <c r="D50" s="114" t="e">
        <f>#REF!+#REF!+#REF!</f>
        <v>#REF!</v>
      </c>
      <c r="E50" s="114" t="e">
        <f>#REF!+#REF!+#REF!</f>
        <v>#REF!</v>
      </c>
      <c r="F50" s="114" t="e">
        <f>#REF!+#REF!+#REF!</f>
        <v>#REF!</v>
      </c>
    </row>
    <row r="51" spans="1:6" ht="15.6" x14ac:dyDescent="0.3">
      <c r="A51" s="147" t="s">
        <v>347</v>
      </c>
      <c r="B51" s="147" t="s">
        <v>292</v>
      </c>
      <c r="C51" s="91" t="s">
        <v>373</v>
      </c>
      <c r="D51" s="114" t="e">
        <f>#REF!</f>
        <v>#REF!</v>
      </c>
      <c r="E51" s="114" t="e">
        <f>#REF!</f>
        <v>#REF!</v>
      </c>
      <c r="F51" s="114" t="e">
        <f>#REF!</f>
        <v>#REF!</v>
      </c>
    </row>
    <row r="52" spans="1:6" ht="15.6" x14ac:dyDescent="0.3">
      <c r="A52" s="147" t="s">
        <v>347</v>
      </c>
      <c r="B52" s="147" t="s">
        <v>335</v>
      </c>
      <c r="C52" s="91" t="s">
        <v>374</v>
      </c>
      <c r="D52" s="114" t="e">
        <f>#REF!+#REF!</f>
        <v>#REF!</v>
      </c>
      <c r="E52" s="114" t="e">
        <f>#REF!+#REF!</f>
        <v>#REF!</v>
      </c>
      <c r="F52" s="114" t="e">
        <f>#REF!+#REF!</f>
        <v>#REF!</v>
      </c>
    </row>
    <row r="53" spans="1:6" ht="15.6" x14ac:dyDescent="0.3">
      <c r="A53" s="148" t="s">
        <v>302</v>
      </c>
      <c r="B53" s="148" t="s">
        <v>317</v>
      </c>
      <c r="C53" s="149" t="s">
        <v>376</v>
      </c>
      <c r="D53" s="116" t="e">
        <f>D54+D57</f>
        <v>#REF!</v>
      </c>
      <c r="E53" s="116" t="e">
        <f>E54+E57</f>
        <v>#REF!</v>
      </c>
      <c r="F53" s="116" t="e">
        <f>F54+F57</f>
        <v>#REF!</v>
      </c>
    </row>
    <row r="54" spans="1:6" ht="15.6" x14ac:dyDescent="0.3">
      <c r="A54" s="147" t="s">
        <v>302</v>
      </c>
      <c r="B54" s="147" t="s">
        <v>290</v>
      </c>
      <c r="C54" s="91" t="s">
        <v>540</v>
      </c>
      <c r="D54" s="114" t="e">
        <f>#REF!</f>
        <v>#REF!</v>
      </c>
      <c r="E54" s="114" t="e">
        <f>#REF!</f>
        <v>#REF!</v>
      </c>
      <c r="F54" s="114" t="e">
        <f>#REF!</f>
        <v>#REF!</v>
      </c>
    </row>
    <row r="55" spans="1:6" ht="31.2" hidden="1" x14ac:dyDescent="0.3">
      <c r="A55" s="147" t="s">
        <v>302</v>
      </c>
      <c r="B55" s="147" t="s">
        <v>335</v>
      </c>
      <c r="C55" s="91" t="s">
        <v>378</v>
      </c>
      <c r="D55" s="114">
        <v>0</v>
      </c>
      <c r="E55" s="143">
        <v>0</v>
      </c>
      <c r="F55" s="143">
        <v>0</v>
      </c>
    </row>
    <row r="56" spans="1:6" ht="15.6" hidden="1" x14ac:dyDescent="0.3">
      <c r="A56" s="147" t="s">
        <v>302</v>
      </c>
      <c r="B56" s="147" t="s">
        <v>294</v>
      </c>
      <c r="C56" s="127" t="s">
        <v>379</v>
      </c>
      <c r="D56" s="114">
        <v>0</v>
      </c>
      <c r="E56" s="143">
        <v>0</v>
      </c>
      <c r="F56" s="143">
        <v>0</v>
      </c>
    </row>
    <row r="57" spans="1:6" ht="15.6" x14ac:dyDescent="0.3">
      <c r="A57" s="147" t="s">
        <v>302</v>
      </c>
      <c r="B57" s="147" t="s">
        <v>316</v>
      </c>
      <c r="C57" s="127" t="s">
        <v>377</v>
      </c>
      <c r="D57" s="114" t="e">
        <f>#REF!</f>
        <v>#REF!</v>
      </c>
      <c r="E57" s="114" t="e">
        <f>#REF!</f>
        <v>#REF!</v>
      </c>
      <c r="F57" s="114" t="e">
        <f>#REF!</f>
        <v>#REF!</v>
      </c>
    </row>
    <row r="58" spans="1:6" ht="15.6" x14ac:dyDescent="0.3">
      <c r="A58" s="148" t="s">
        <v>306</v>
      </c>
      <c r="B58" s="148" t="s">
        <v>317</v>
      </c>
      <c r="C58" s="150" t="s">
        <v>264</v>
      </c>
      <c r="D58" s="116" t="e">
        <f>D59</f>
        <v>#REF!</v>
      </c>
      <c r="E58" s="116" t="e">
        <f>E59</f>
        <v>#REF!</v>
      </c>
      <c r="F58" s="116" t="e">
        <f>F59</f>
        <v>#REF!</v>
      </c>
    </row>
    <row r="59" spans="1:6" ht="31.2" x14ac:dyDescent="0.3">
      <c r="A59" s="147" t="s">
        <v>306</v>
      </c>
      <c r="B59" s="147" t="s">
        <v>290</v>
      </c>
      <c r="C59" s="127" t="s">
        <v>541</v>
      </c>
      <c r="D59" s="114" t="e">
        <f>#REF!</f>
        <v>#REF!</v>
      </c>
      <c r="E59" s="114" t="e">
        <f>#REF!</f>
        <v>#REF!</v>
      </c>
      <c r="F59" s="114" t="e">
        <f>#REF!</f>
        <v>#REF!</v>
      </c>
    </row>
    <row r="60" spans="1:6" ht="46.8" x14ac:dyDescent="0.3">
      <c r="A60" s="148" t="s">
        <v>308</v>
      </c>
      <c r="B60" s="148" t="s">
        <v>317</v>
      </c>
      <c r="C60" s="150" t="s">
        <v>542</v>
      </c>
      <c r="D60" s="116">
        <f>D61</f>
        <v>18000000</v>
      </c>
      <c r="E60" s="116" t="e">
        <f>E61</f>
        <v>#REF!</v>
      </c>
      <c r="F60" s="116" t="e">
        <f>F61</f>
        <v>#REF!</v>
      </c>
    </row>
    <row r="61" spans="1:6" ht="46.8" x14ac:dyDescent="0.3">
      <c r="A61" s="147" t="s">
        <v>308</v>
      </c>
      <c r="B61" s="147" t="s">
        <v>290</v>
      </c>
      <c r="C61" s="127" t="s">
        <v>382</v>
      </c>
      <c r="D61" s="114">
        <f>[1]П_6!I218</f>
        <v>18000000</v>
      </c>
      <c r="E61" s="114" t="e">
        <f>#REF!</f>
        <v>#REF!</v>
      </c>
      <c r="F61" s="114" t="e">
        <f>#REF!</f>
        <v>#REF!</v>
      </c>
    </row>
    <row r="62" spans="1:6" s="151" customFormat="1" ht="15.6" x14ac:dyDescent="0.3">
      <c r="A62" s="148" t="s">
        <v>317</v>
      </c>
      <c r="B62" s="148" t="s">
        <v>317</v>
      </c>
      <c r="C62" s="150" t="s">
        <v>253</v>
      </c>
      <c r="D62" s="116">
        <f>[1]П_6!I198</f>
        <v>0</v>
      </c>
      <c r="E62" s="116">
        <v>16090938.800000001</v>
      </c>
      <c r="F62" s="116">
        <v>30781203.100000001</v>
      </c>
    </row>
    <row r="63" spans="1:6" ht="18.75" customHeight="1" x14ac:dyDescent="0.3">
      <c r="A63" s="148" t="s">
        <v>384</v>
      </c>
      <c r="B63" s="148" t="s">
        <v>317</v>
      </c>
      <c r="C63" s="149" t="s">
        <v>385</v>
      </c>
      <c r="D63" s="116" t="e">
        <f>D11+D20+D25+D32+D39+D44+D46+D49+D53+D37+D58+D60</f>
        <v>#REF!</v>
      </c>
      <c r="E63" s="116" t="e">
        <f>E11+E20+E25+E32+E39+E44+E46+E49+E53+E37+E58+E60+E62</f>
        <v>#REF!</v>
      </c>
      <c r="F63" s="116" t="e">
        <f>F11+F20+F25+F32+F39+F44+F46+F49+F53+F37+F58+F60+F62</f>
        <v>#REF!</v>
      </c>
    </row>
  </sheetData>
  <mergeCells count="9">
    <mergeCell ref="A9:A10"/>
    <mergeCell ref="B9:B10"/>
    <mergeCell ref="C9:C10"/>
    <mergeCell ref="D9:F9"/>
    <mergeCell ref="C1:F1"/>
    <mergeCell ref="C2:F2"/>
    <mergeCell ref="C3:F3"/>
    <mergeCell ref="C4:F4"/>
    <mergeCell ref="A7:F7"/>
  </mergeCells>
  <pageMargins left="0.70866141732283472" right="0.70866141732283472" top="0.74803149606299213" bottom="0.19685039370078741" header="0.31496062992125984" footer="0.31496062992125984"/>
  <pageSetup paperSize="9" scale="7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workbookViewId="0">
      <selection activeCell="I12" sqref="I12"/>
    </sheetView>
  </sheetViews>
  <sheetFormatPr defaultRowHeight="14.4" x14ac:dyDescent="0.3"/>
  <cols>
    <col min="1" max="1" width="67.6640625" customWidth="1"/>
    <col min="2" max="4" width="20.6640625" customWidth="1"/>
    <col min="257" max="257" width="67.6640625" customWidth="1"/>
    <col min="258" max="260" width="20.6640625" customWidth="1"/>
    <col min="513" max="513" width="67.6640625" customWidth="1"/>
    <col min="514" max="516" width="20.6640625" customWidth="1"/>
    <col min="769" max="769" width="67.6640625" customWidth="1"/>
    <col min="770" max="772" width="20.6640625" customWidth="1"/>
    <col min="1025" max="1025" width="67.6640625" customWidth="1"/>
    <col min="1026" max="1028" width="20.6640625" customWidth="1"/>
    <col min="1281" max="1281" width="67.6640625" customWidth="1"/>
    <col min="1282" max="1284" width="20.6640625" customWidth="1"/>
    <col min="1537" max="1537" width="67.6640625" customWidth="1"/>
    <col min="1538" max="1540" width="20.6640625" customWidth="1"/>
    <col min="1793" max="1793" width="67.6640625" customWidth="1"/>
    <col min="1794" max="1796" width="20.6640625" customWidth="1"/>
    <col min="2049" max="2049" width="67.6640625" customWidth="1"/>
    <col min="2050" max="2052" width="20.6640625" customWidth="1"/>
    <col min="2305" max="2305" width="67.6640625" customWidth="1"/>
    <col min="2306" max="2308" width="20.6640625" customWidth="1"/>
    <col min="2561" max="2561" width="67.6640625" customWidth="1"/>
    <col min="2562" max="2564" width="20.6640625" customWidth="1"/>
    <col min="2817" max="2817" width="67.6640625" customWidth="1"/>
    <col min="2818" max="2820" width="20.6640625" customWidth="1"/>
    <col min="3073" max="3073" width="67.6640625" customWidth="1"/>
    <col min="3074" max="3076" width="20.6640625" customWidth="1"/>
    <col min="3329" max="3329" width="67.6640625" customWidth="1"/>
    <col min="3330" max="3332" width="20.6640625" customWidth="1"/>
    <col min="3585" max="3585" width="67.6640625" customWidth="1"/>
    <col min="3586" max="3588" width="20.6640625" customWidth="1"/>
    <col min="3841" max="3841" width="67.6640625" customWidth="1"/>
    <col min="3842" max="3844" width="20.6640625" customWidth="1"/>
    <col min="4097" max="4097" width="67.6640625" customWidth="1"/>
    <col min="4098" max="4100" width="20.6640625" customWidth="1"/>
    <col min="4353" max="4353" width="67.6640625" customWidth="1"/>
    <col min="4354" max="4356" width="20.6640625" customWidth="1"/>
    <col min="4609" max="4609" width="67.6640625" customWidth="1"/>
    <col min="4610" max="4612" width="20.6640625" customWidth="1"/>
    <col min="4865" max="4865" width="67.6640625" customWidth="1"/>
    <col min="4866" max="4868" width="20.6640625" customWidth="1"/>
    <col min="5121" max="5121" width="67.6640625" customWidth="1"/>
    <col min="5122" max="5124" width="20.6640625" customWidth="1"/>
    <col min="5377" max="5377" width="67.6640625" customWidth="1"/>
    <col min="5378" max="5380" width="20.6640625" customWidth="1"/>
    <col min="5633" max="5633" width="67.6640625" customWidth="1"/>
    <col min="5634" max="5636" width="20.6640625" customWidth="1"/>
    <col min="5889" max="5889" width="67.6640625" customWidth="1"/>
    <col min="5890" max="5892" width="20.6640625" customWidth="1"/>
    <col min="6145" max="6145" width="67.6640625" customWidth="1"/>
    <col min="6146" max="6148" width="20.6640625" customWidth="1"/>
    <col min="6401" max="6401" width="67.6640625" customWidth="1"/>
    <col min="6402" max="6404" width="20.6640625" customWidth="1"/>
    <col min="6657" max="6657" width="67.6640625" customWidth="1"/>
    <col min="6658" max="6660" width="20.6640625" customWidth="1"/>
    <col min="6913" max="6913" width="67.6640625" customWidth="1"/>
    <col min="6914" max="6916" width="20.6640625" customWidth="1"/>
    <col min="7169" max="7169" width="67.6640625" customWidth="1"/>
    <col min="7170" max="7172" width="20.6640625" customWidth="1"/>
    <col min="7425" max="7425" width="67.6640625" customWidth="1"/>
    <col min="7426" max="7428" width="20.6640625" customWidth="1"/>
    <col min="7681" max="7681" width="67.6640625" customWidth="1"/>
    <col min="7682" max="7684" width="20.6640625" customWidth="1"/>
    <col min="7937" max="7937" width="67.6640625" customWidth="1"/>
    <col min="7938" max="7940" width="20.6640625" customWidth="1"/>
    <col min="8193" max="8193" width="67.6640625" customWidth="1"/>
    <col min="8194" max="8196" width="20.6640625" customWidth="1"/>
    <col min="8449" max="8449" width="67.6640625" customWidth="1"/>
    <col min="8450" max="8452" width="20.6640625" customWidth="1"/>
    <col min="8705" max="8705" width="67.6640625" customWidth="1"/>
    <col min="8706" max="8708" width="20.6640625" customWidth="1"/>
    <col min="8961" max="8961" width="67.6640625" customWidth="1"/>
    <col min="8962" max="8964" width="20.6640625" customWidth="1"/>
    <col min="9217" max="9217" width="67.6640625" customWidth="1"/>
    <col min="9218" max="9220" width="20.6640625" customWidth="1"/>
    <col min="9473" max="9473" width="67.6640625" customWidth="1"/>
    <col min="9474" max="9476" width="20.6640625" customWidth="1"/>
    <col min="9729" max="9729" width="67.6640625" customWidth="1"/>
    <col min="9730" max="9732" width="20.6640625" customWidth="1"/>
    <col min="9985" max="9985" width="67.6640625" customWidth="1"/>
    <col min="9986" max="9988" width="20.6640625" customWidth="1"/>
    <col min="10241" max="10241" width="67.6640625" customWidth="1"/>
    <col min="10242" max="10244" width="20.6640625" customWidth="1"/>
    <col min="10497" max="10497" width="67.6640625" customWidth="1"/>
    <col min="10498" max="10500" width="20.6640625" customWidth="1"/>
    <col min="10753" max="10753" width="67.6640625" customWidth="1"/>
    <col min="10754" max="10756" width="20.6640625" customWidth="1"/>
    <col min="11009" max="11009" width="67.6640625" customWidth="1"/>
    <col min="11010" max="11012" width="20.6640625" customWidth="1"/>
    <col min="11265" max="11265" width="67.6640625" customWidth="1"/>
    <col min="11266" max="11268" width="20.6640625" customWidth="1"/>
    <col min="11521" max="11521" width="67.6640625" customWidth="1"/>
    <col min="11522" max="11524" width="20.6640625" customWidth="1"/>
    <col min="11777" max="11777" width="67.6640625" customWidth="1"/>
    <col min="11778" max="11780" width="20.6640625" customWidth="1"/>
    <col min="12033" max="12033" width="67.6640625" customWidth="1"/>
    <col min="12034" max="12036" width="20.6640625" customWidth="1"/>
    <col min="12289" max="12289" width="67.6640625" customWidth="1"/>
    <col min="12290" max="12292" width="20.6640625" customWidth="1"/>
    <col min="12545" max="12545" width="67.6640625" customWidth="1"/>
    <col min="12546" max="12548" width="20.6640625" customWidth="1"/>
    <col min="12801" max="12801" width="67.6640625" customWidth="1"/>
    <col min="12802" max="12804" width="20.6640625" customWidth="1"/>
    <col min="13057" max="13057" width="67.6640625" customWidth="1"/>
    <col min="13058" max="13060" width="20.6640625" customWidth="1"/>
    <col min="13313" max="13313" width="67.6640625" customWidth="1"/>
    <col min="13314" max="13316" width="20.6640625" customWidth="1"/>
    <col min="13569" max="13569" width="67.6640625" customWidth="1"/>
    <col min="13570" max="13572" width="20.6640625" customWidth="1"/>
    <col min="13825" max="13825" width="67.6640625" customWidth="1"/>
    <col min="13826" max="13828" width="20.6640625" customWidth="1"/>
    <col min="14081" max="14081" width="67.6640625" customWidth="1"/>
    <col min="14082" max="14084" width="20.6640625" customWidth="1"/>
    <col min="14337" max="14337" width="67.6640625" customWidth="1"/>
    <col min="14338" max="14340" width="20.6640625" customWidth="1"/>
    <col min="14593" max="14593" width="67.6640625" customWidth="1"/>
    <col min="14594" max="14596" width="20.6640625" customWidth="1"/>
    <col min="14849" max="14849" width="67.6640625" customWidth="1"/>
    <col min="14850" max="14852" width="20.6640625" customWidth="1"/>
    <col min="15105" max="15105" width="67.6640625" customWidth="1"/>
    <col min="15106" max="15108" width="20.6640625" customWidth="1"/>
    <col min="15361" max="15361" width="67.6640625" customWidth="1"/>
    <col min="15362" max="15364" width="20.6640625" customWidth="1"/>
    <col min="15617" max="15617" width="67.6640625" customWidth="1"/>
    <col min="15618" max="15620" width="20.6640625" customWidth="1"/>
    <col min="15873" max="15873" width="67.6640625" customWidth="1"/>
    <col min="15874" max="15876" width="20.6640625" customWidth="1"/>
    <col min="16129" max="16129" width="67.6640625" customWidth="1"/>
    <col min="16130" max="16132" width="20.6640625" customWidth="1"/>
  </cols>
  <sheetData>
    <row r="1" spans="1:4" ht="15.6" x14ac:dyDescent="0.3">
      <c r="A1" s="1162" t="s">
        <v>1061</v>
      </c>
      <c r="B1" s="1162"/>
      <c r="C1" s="1162"/>
      <c r="D1" s="1162"/>
    </row>
    <row r="2" spans="1:4" ht="15.6" x14ac:dyDescent="0.3">
      <c r="A2" s="1162" t="s">
        <v>544</v>
      </c>
      <c r="B2" s="1162"/>
      <c r="C2" s="1162"/>
      <c r="D2" s="1162"/>
    </row>
    <row r="3" spans="1:4" ht="15.6" x14ac:dyDescent="0.3">
      <c r="A3" s="1162" t="s">
        <v>2</v>
      </c>
      <c r="B3" s="1162"/>
      <c r="C3" s="1162"/>
      <c r="D3" s="1162"/>
    </row>
    <row r="4" spans="1:4" ht="15.6" x14ac:dyDescent="0.3">
      <c r="A4" s="1162" t="s">
        <v>1077</v>
      </c>
      <c r="B4" s="1162"/>
      <c r="C4" s="1162"/>
      <c r="D4" s="1162"/>
    </row>
    <row r="5" spans="1:4" ht="15.6" x14ac:dyDescent="0.3">
      <c r="A5" s="1"/>
      <c r="B5" s="1"/>
      <c r="C5" s="1"/>
      <c r="D5" s="1"/>
    </row>
    <row r="6" spans="1:4" ht="18" x14ac:dyDescent="0.35">
      <c r="A6" s="1174" t="s">
        <v>545</v>
      </c>
      <c r="B6" s="1174"/>
      <c r="C6" s="1174"/>
      <c r="D6" s="1174"/>
    </row>
    <row r="7" spans="1:4" ht="18" x14ac:dyDescent="0.35">
      <c r="A7" s="1174" t="s">
        <v>444</v>
      </c>
      <c r="B7" s="1174"/>
      <c r="C7" s="1174"/>
      <c r="D7" s="1174"/>
    </row>
    <row r="8" spans="1:4" ht="15.6" x14ac:dyDescent="0.3">
      <c r="A8" s="1"/>
      <c r="B8" s="1"/>
      <c r="C8" s="1"/>
      <c r="D8" s="1"/>
    </row>
    <row r="9" spans="1:4" ht="15.6" x14ac:dyDescent="0.3">
      <c r="A9" s="1156" t="s">
        <v>6</v>
      </c>
      <c r="B9" s="1171" t="s">
        <v>432</v>
      </c>
      <c r="C9" s="1172"/>
      <c r="D9" s="1173"/>
    </row>
    <row r="10" spans="1:4" ht="15.6" x14ac:dyDescent="0.3">
      <c r="A10" s="1157"/>
      <c r="B10" s="104">
        <v>2015</v>
      </c>
      <c r="C10" s="104">
        <v>2016</v>
      </c>
      <c r="D10" s="90">
        <v>2017</v>
      </c>
    </row>
    <row r="11" spans="1:4" ht="15.6" x14ac:dyDescent="0.3">
      <c r="A11" s="91" t="s">
        <v>546</v>
      </c>
      <c r="B11" s="114">
        <f>'п2 источники'!C21</f>
        <v>57288112.149999999</v>
      </c>
      <c r="C11" s="114">
        <f>'п2 источники'!D21</f>
        <v>3090938.8</v>
      </c>
      <c r="D11" s="114">
        <f>'п2 источники'!E21</f>
        <v>10781203.1</v>
      </c>
    </row>
    <row r="12" spans="1:4" ht="15.6" x14ac:dyDescent="0.3">
      <c r="A12" s="91" t="s">
        <v>238</v>
      </c>
      <c r="B12" s="91"/>
      <c r="C12" s="91"/>
      <c r="D12" s="92"/>
    </row>
    <row r="13" spans="1:4" ht="15.6" x14ac:dyDescent="0.3">
      <c r="A13" s="1" t="s">
        <v>434</v>
      </c>
      <c r="B13" s="92">
        <f>B14</f>
        <v>4096870.46</v>
      </c>
      <c r="C13" s="92">
        <f>C14</f>
        <v>1216543.28</v>
      </c>
      <c r="D13" s="92">
        <f>D14</f>
        <v>11950203.1</v>
      </c>
    </row>
    <row r="14" spans="1:4" ht="31.2" x14ac:dyDescent="0.3">
      <c r="A14" s="93" t="s">
        <v>435</v>
      </c>
      <c r="B14" s="94">
        <f>'п2 источники'!C12</f>
        <v>4096870.46</v>
      </c>
      <c r="C14" s="94">
        <f>'п2 источники'!D12</f>
        <v>1216543.28</v>
      </c>
      <c r="D14" s="94">
        <f>'п2 источники'!E12</f>
        <v>11950203.1</v>
      </c>
    </row>
    <row r="15" spans="1:4" ht="31.2" x14ac:dyDescent="0.3">
      <c r="A15" s="93" t="s">
        <v>436</v>
      </c>
      <c r="B15" s="94">
        <f>[1]П_3!C13</f>
        <v>0</v>
      </c>
      <c r="C15" s="94">
        <f>[1]П_3!D13</f>
        <v>0</v>
      </c>
      <c r="D15" s="94">
        <f>[1]П_3!E13</f>
        <v>0</v>
      </c>
    </row>
    <row r="16" spans="1:4" ht="31.2" x14ac:dyDescent="0.3">
      <c r="A16" s="91" t="s">
        <v>437</v>
      </c>
      <c r="B16" s="92">
        <f>B17+B18</f>
        <v>-956000</v>
      </c>
      <c r="C16" s="92">
        <f>C17+C18</f>
        <v>-719000</v>
      </c>
      <c r="D16" s="92">
        <f>D17+D18</f>
        <v>-1272000</v>
      </c>
    </row>
    <row r="17" spans="1:4" ht="31.2" x14ac:dyDescent="0.3">
      <c r="A17" s="93" t="s">
        <v>438</v>
      </c>
      <c r="B17" s="94">
        <f>[1]П_3!C15</f>
        <v>0</v>
      </c>
      <c r="C17" s="94">
        <f>[1]П_3!D15</f>
        <v>0</v>
      </c>
      <c r="D17" s="94">
        <f>[1]П_3!E15</f>
        <v>0</v>
      </c>
    </row>
    <row r="18" spans="1:4" ht="31.2" x14ac:dyDescent="0.3">
      <c r="A18" s="93" t="s">
        <v>439</v>
      </c>
      <c r="B18" s="94">
        <f>'п2 источники'!C16</f>
        <v>-956000</v>
      </c>
      <c r="C18" s="94">
        <f>'п2 источники'!D16</f>
        <v>-719000</v>
      </c>
      <c r="D18" s="94">
        <f>'п2 источники'!E16</f>
        <v>-1272000</v>
      </c>
    </row>
    <row r="19" spans="1:4" ht="31.2" x14ac:dyDescent="0.3">
      <c r="A19" s="93" t="s">
        <v>440</v>
      </c>
      <c r="B19" s="92">
        <f>B20+B21</f>
        <v>4273986.72</v>
      </c>
      <c r="C19" s="92">
        <f>C20+C21</f>
        <v>2593395.52</v>
      </c>
      <c r="D19" s="92">
        <f>D20+D21</f>
        <v>103000</v>
      </c>
    </row>
    <row r="20" spans="1:4" ht="15.6" x14ac:dyDescent="0.3">
      <c r="A20" s="93" t="s">
        <v>441</v>
      </c>
      <c r="B20" s="94">
        <f>[1]П_3!C19</f>
        <v>0</v>
      </c>
      <c r="C20" s="94">
        <f>[1]П_3!D19</f>
        <v>0</v>
      </c>
      <c r="D20" s="94">
        <f>[1]П_3!E19</f>
        <v>0</v>
      </c>
    </row>
    <row r="21" spans="1:4" ht="31.2" x14ac:dyDescent="0.3">
      <c r="A21" s="93" t="s">
        <v>442</v>
      </c>
      <c r="B21" s="193">
        <f>'п2 источники'!C20</f>
        <v>4273986.72</v>
      </c>
      <c r="C21" s="193">
        <f>'п2 источники'!D20</f>
        <v>2593395.52</v>
      </c>
      <c r="D21" s="193">
        <f>'п2 источники'!E20</f>
        <v>103000</v>
      </c>
    </row>
  </sheetData>
  <mergeCells count="8">
    <mergeCell ref="A9:A10"/>
    <mergeCell ref="B9:D9"/>
    <mergeCell ref="A1:D1"/>
    <mergeCell ref="A2:D2"/>
    <mergeCell ref="A3:D3"/>
    <mergeCell ref="A4:D4"/>
    <mergeCell ref="A6:D6"/>
    <mergeCell ref="A7:D7"/>
  </mergeCells>
  <pageMargins left="0.70866141732283472" right="0.39370078740157483" top="0.74803149606299213" bottom="0.74803149606299213" header="0.31496062992125984" footer="0.31496062992125984"/>
  <pageSetup paperSize="9" scale="7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4"/>
  <sheetViews>
    <sheetView workbookViewId="0">
      <selection activeCell="J211" sqref="J211"/>
    </sheetView>
  </sheetViews>
  <sheetFormatPr defaultRowHeight="15.6" x14ac:dyDescent="0.3"/>
  <cols>
    <col min="1" max="1" width="6.5546875" style="6" customWidth="1"/>
    <col min="2" max="2" width="4.6640625" style="1" customWidth="1"/>
    <col min="3" max="4" width="4.33203125" style="1" customWidth="1"/>
    <col min="5" max="5" width="6.6640625" style="1" customWidth="1"/>
    <col min="6" max="6" width="3.6640625" style="1" customWidth="1"/>
    <col min="7" max="7" width="5" style="1" customWidth="1"/>
    <col min="8" max="8" width="8.44140625" style="197" customWidth="1"/>
    <col min="9" max="9" width="69.6640625" style="1" customWidth="1"/>
    <col min="10" max="10" width="15.6640625" style="105" customWidth="1"/>
    <col min="11" max="12" width="15.6640625" style="6" customWidth="1"/>
    <col min="13" max="256" width="9.109375" style="6"/>
    <col min="257" max="257" width="6.5546875" style="6" customWidth="1"/>
    <col min="258" max="258" width="4.6640625" style="6" customWidth="1"/>
    <col min="259" max="260" width="4.33203125" style="6" customWidth="1"/>
    <col min="261" max="261" width="6.6640625" style="6" customWidth="1"/>
    <col min="262" max="262" width="3.6640625" style="6" customWidth="1"/>
    <col min="263" max="263" width="5" style="6" customWidth="1"/>
    <col min="264" max="264" width="8.44140625" style="6" customWidth="1"/>
    <col min="265" max="265" width="69.6640625" style="6" customWidth="1"/>
    <col min="266" max="268" width="15.6640625" style="6" customWidth="1"/>
    <col min="269" max="512" width="9.109375" style="6"/>
    <col min="513" max="513" width="6.5546875" style="6" customWidth="1"/>
    <col min="514" max="514" width="4.6640625" style="6" customWidth="1"/>
    <col min="515" max="516" width="4.33203125" style="6" customWidth="1"/>
    <col min="517" max="517" width="6.6640625" style="6" customWidth="1"/>
    <col min="518" max="518" width="3.6640625" style="6" customWidth="1"/>
    <col min="519" max="519" width="5" style="6" customWidth="1"/>
    <col min="520" max="520" width="8.44140625" style="6" customWidth="1"/>
    <col min="521" max="521" width="69.6640625" style="6" customWidth="1"/>
    <col min="522" max="524" width="15.6640625" style="6" customWidth="1"/>
    <col min="525" max="768" width="9.109375" style="6"/>
    <col min="769" max="769" width="6.5546875" style="6" customWidth="1"/>
    <col min="770" max="770" width="4.6640625" style="6" customWidth="1"/>
    <col min="771" max="772" width="4.33203125" style="6" customWidth="1"/>
    <col min="773" max="773" width="6.6640625" style="6" customWidth="1"/>
    <col min="774" max="774" width="3.6640625" style="6" customWidth="1"/>
    <col min="775" max="775" width="5" style="6" customWidth="1"/>
    <col min="776" max="776" width="8.44140625" style="6" customWidth="1"/>
    <col min="777" max="777" width="69.6640625" style="6" customWidth="1"/>
    <col min="778" max="780" width="15.6640625" style="6" customWidth="1"/>
    <col min="781" max="1024" width="9.109375" style="6"/>
    <col min="1025" max="1025" width="6.5546875" style="6" customWidth="1"/>
    <col min="1026" max="1026" width="4.6640625" style="6" customWidth="1"/>
    <col min="1027" max="1028" width="4.33203125" style="6" customWidth="1"/>
    <col min="1029" max="1029" width="6.6640625" style="6" customWidth="1"/>
    <col min="1030" max="1030" width="3.6640625" style="6" customWidth="1"/>
    <col min="1031" max="1031" width="5" style="6" customWidth="1"/>
    <col min="1032" max="1032" width="8.44140625" style="6" customWidth="1"/>
    <col min="1033" max="1033" width="69.6640625" style="6" customWidth="1"/>
    <col min="1034" max="1036" width="15.6640625" style="6" customWidth="1"/>
    <col min="1037" max="1280" width="9.109375" style="6"/>
    <col min="1281" max="1281" width="6.5546875" style="6" customWidth="1"/>
    <col min="1282" max="1282" width="4.6640625" style="6" customWidth="1"/>
    <col min="1283" max="1284" width="4.33203125" style="6" customWidth="1"/>
    <col min="1285" max="1285" width="6.6640625" style="6" customWidth="1"/>
    <col min="1286" max="1286" width="3.6640625" style="6" customWidth="1"/>
    <col min="1287" max="1287" width="5" style="6" customWidth="1"/>
    <col min="1288" max="1288" width="8.44140625" style="6" customWidth="1"/>
    <col min="1289" max="1289" width="69.6640625" style="6" customWidth="1"/>
    <col min="1290" max="1292" width="15.6640625" style="6" customWidth="1"/>
    <col min="1293" max="1536" width="9.109375" style="6"/>
    <col min="1537" max="1537" width="6.5546875" style="6" customWidth="1"/>
    <col min="1538" max="1538" width="4.6640625" style="6" customWidth="1"/>
    <col min="1539" max="1540" width="4.33203125" style="6" customWidth="1"/>
    <col min="1541" max="1541" width="6.6640625" style="6" customWidth="1"/>
    <col min="1542" max="1542" width="3.6640625" style="6" customWidth="1"/>
    <col min="1543" max="1543" width="5" style="6" customWidth="1"/>
    <col min="1544" max="1544" width="8.44140625" style="6" customWidth="1"/>
    <col min="1545" max="1545" width="69.6640625" style="6" customWidth="1"/>
    <col min="1546" max="1548" width="15.6640625" style="6" customWidth="1"/>
    <col min="1549" max="1792" width="9.109375" style="6"/>
    <col min="1793" max="1793" width="6.5546875" style="6" customWidth="1"/>
    <col min="1794" max="1794" width="4.6640625" style="6" customWidth="1"/>
    <col min="1795" max="1796" width="4.33203125" style="6" customWidth="1"/>
    <col min="1797" max="1797" width="6.6640625" style="6" customWidth="1"/>
    <col min="1798" max="1798" width="3.6640625" style="6" customWidth="1"/>
    <col min="1799" max="1799" width="5" style="6" customWidth="1"/>
    <col min="1800" max="1800" width="8.44140625" style="6" customWidth="1"/>
    <col min="1801" max="1801" width="69.6640625" style="6" customWidth="1"/>
    <col min="1802" max="1804" width="15.6640625" style="6" customWidth="1"/>
    <col min="1805" max="2048" width="9.109375" style="6"/>
    <col min="2049" max="2049" width="6.5546875" style="6" customWidth="1"/>
    <col min="2050" max="2050" width="4.6640625" style="6" customWidth="1"/>
    <col min="2051" max="2052" width="4.33203125" style="6" customWidth="1"/>
    <col min="2053" max="2053" width="6.6640625" style="6" customWidth="1"/>
    <col min="2054" max="2054" width="3.6640625" style="6" customWidth="1"/>
    <col min="2055" max="2055" width="5" style="6" customWidth="1"/>
    <col min="2056" max="2056" width="8.44140625" style="6" customWidth="1"/>
    <col min="2057" max="2057" width="69.6640625" style="6" customWidth="1"/>
    <col min="2058" max="2060" width="15.6640625" style="6" customWidth="1"/>
    <col min="2061" max="2304" width="9.109375" style="6"/>
    <col min="2305" max="2305" width="6.5546875" style="6" customWidth="1"/>
    <col min="2306" max="2306" width="4.6640625" style="6" customWidth="1"/>
    <col min="2307" max="2308" width="4.33203125" style="6" customWidth="1"/>
    <col min="2309" max="2309" width="6.6640625" style="6" customWidth="1"/>
    <col min="2310" max="2310" width="3.6640625" style="6" customWidth="1"/>
    <col min="2311" max="2311" width="5" style="6" customWidth="1"/>
    <col min="2312" max="2312" width="8.44140625" style="6" customWidth="1"/>
    <col min="2313" max="2313" width="69.6640625" style="6" customWidth="1"/>
    <col min="2314" max="2316" width="15.6640625" style="6" customWidth="1"/>
    <col min="2317" max="2560" width="9.109375" style="6"/>
    <col min="2561" max="2561" width="6.5546875" style="6" customWidth="1"/>
    <col min="2562" max="2562" width="4.6640625" style="6" customWidth="1"/>
    <col min="2563" max="2564" width="4.33203125" style="6" customWidth="1"/>
    <col min="2565" max="2565" width="6.6640625" style="6" customWidth="1"/>
    <col min="2566" max="2566" width="3.6640625" style="6" customWidth="1"/>
    <col min="2567" max="2567" width="5" style="6" customWidth="1"/>
    <col min="2568" max="2568" width="8.44140625" style="6" customWidth="1"/>
    <col min="2569" max="2569" width="69.6640625" style="6" customWidth="1"/>
    <col min="2570" max="2572" width="15.6640625" style="6" customWidth="1"/>
    <col min="2573" max="2816" width="9.109375" style="6"/>
    <col min="2817" max="2817" width="6.5546875" style="6" customWidth="1"/>
    <col min="2818" max="2818" width="4.6640625" style="6" customWidth="1"/>
    <col min="2819" max="2820" width="4.33203125" style="6" customWidth="1"/>
    <col min="2821" max="2821" width="6.6640625" style="6" customWidth="1"/>
    <col min="2822" max="2822" width="3.6640625" style="6" customWidth="1"/>
    <col min="2823" max="2823" width="5" style="6" customWidth="1"/>
    <col min="2824" max="2824" width="8.44140625" style="6" customWidth="1"/>
    <col min="2825" max="2825" width="69.6640625" style="6" customWidth="1"/>
    <col min="2826" max="2828" width="15.6640625" style="6" customWidth="1"/>
    <col min="2829" max="3072" width="9.109375" style="6"/>
    <col min="3073" max="3073" width="6.5546875" style="6" customWidth="1"/>
    <col min="3074" max="3074" width="4.6640625" style="6" customWidth="1"/>
    <col min="3075" max="3076" width="4.33203125" style="6" customWidth="1"/>
    <col min="3077" max="3077" width="6.6640625" style="6" customWidth="1"/>
    <col min="3078" max="3078" width="3.6640625" style="6" customWidth="1"/>
    <col min="3079" max="3079" width="5" style="6" customWidth="1"/>
    <col min="3080" max="3080" width="8.44140625" style="6" customWidth="1"/>
    <col min="3081" max="3081" width="69.6640625" style="6" customWidth="1"/>
    <col min="3082" max="3084" width="15.6640625" style="6" customWidth="1"/>
    <col min="3085" max="3328" width="9.109375" style="6"/>
    <col min="3329" max="3329" width="6.5546875" style="6" customWidth="1"/>
    <col min="3330" max="3330" width="4.6640625" style="6" customWidth="1"/>
    <col min="3331" max="3332" width="4.33203125" style="6" customWidth="1"/>
    <col min="3333" max="3333" width="6.6640625" style="6" customWidth="1"/>
    <col min="3334" max="3334" width="3.6640625" style="6" customWidth="1"/>
    <col min="3335" max="3335" width="5" style="6" customWidth="1"/>
    <col min="3336" max="3336" width="8.44140625" style="6" customWidth="1"/>
    <col min="3337" max="3337" width="69.6640625" style="6" customWidth="1"/>
    <col min="3338" max="3340" width="15.6640625" style="6" customWidth="1"/>
    <col min="3341" max="3584" width="9.109375" style="6"/>
    <col min="3585" max="3585" width="6.5546875" style="6" customWidth="1"/>
    <col min="3586" max="3586" width="4.6640625" style="6" customWidth="1"/>
    <col min="3587" max="3588" width="4.33203125" style="6" customWidth="1"/>
    <col min="3589" max="3589" width="6.6640625" style="6" customWidth="1"/>
    <col min="3590" max="3590" width="3.6640625" style="6" customWidth="1"/>
    <col min="3591" max="3591" width="5" style="6" customWidth="1"/>
    <col min="3592" max="3592" width="8.44140625" style="6" customWidth="1"/>
    <col min="3593" max="3593" width="69.6640625" style="6" customWidth="1"/>
    <col min="3594" max="3596" width="15.6640625" style="6" customWidth="1"/>
    <col min="3597" max="3840" width="9.109375" style="6"/>
    <col min="3841" max="3841" width="6.5546875" style="6" customWidth="1"/>
    <col min="3842" max="3842" width="4.6640625" style="6" customWidth="1"/>
    <col min="3843" max="3844" width="4.33203125" style="6" customWidth="1"/>
    <col min="3845" max="3845" width="6.6640625" style="6" customWidth="1"/>
    <col min="3846" max="3846" width="3.6640625" style="6" customWidth="1"/>
    <col min="3847" max="3847" width="5" style="6" customWidth="1"/>
    <col min="3848" max="3848" width="8.44140625" style="6" customWidth="1"/>
    <col min="3849" max="3849" width="69.6640625" style="6" customWidth="1"/>
    <col min="3850" max="3852" width="15.6640625" style="6" customWidth="1"/>
    <col min="3853" max="4096" width="9.109375" style="6"/>
    <col min="4097" max="4097" width="6.5546875" style="6" customWidth="1"/>
    <col min="4098" max="4098" width="4.6640625" style="6" customWidth="1"/>
    <col min="4099" max="4100" width="4.33203125" style="6" customWidth="1"/>
    <col min="4101" max="4101" width="6.6640625" style="6" customWidth="1"/>
    <col min="4102" max="4102" width="3.6640625" style="6" customWidth="1"/>
    <col min="4103" max="4103" width="5" style="6" customWidth="1"/>
    <col min="4104" max="4104" width="8.44140625" style="6" customWidth="1"/>
    <col min="4105" max="4105" width="69.6640625" style="6" customWidth="1"/>
    <col min="4106" max="4108" width="15.6640625" style="6" customWidth="1"/>
    <col min="4109" max="4352" width="9.109375" style="6"/>
    <col min="4353" max="4353" width="6.5546875" style="6" customWidth="1"/>
    <col min="4354" max="4354" width="4.6640625" style="6" customWidth="1"/>
    <col min="4355" max="4356" width="4.33203125" style="6" customWidth="1"/>
    <col min="4357" max="4357" width="6.6640625" style="6" customWidth="1"/>
    <col min="4358" max="4358" width="3.6640625" style="6" customWidth="1"/>
    <col min="4359" max="4359" width="5" style="6" customWidth="1"/>
    <col min="4360" max="4360" width="8.44140625" style="6" customWidth="1"/>
    <col min="4361" max="4361" width="69.6640625" style="6" customWidth="1"/>
    <col min="4362" max="4364" width="15.6640625" style="6" customWidth="1"/>
    <col min="4365" max="4608" width="9.109375" style="6"/>
    <col min="4609" max="4609" width="6.5546875" style="6" customWidth="1"/>
    <col min="4610" max="4610" width="4.6640625" style="6" customWidth="1"/>
    <col min="4611" max="4612" width="4.33203125" style="6" customWidth="1"/>
    <col min="4613" max="4613" width="6.6640625" style="6" customWidth="1"/>
    <col min="4614" max="4614" width="3.6640625" style="6" customWidth="1"/>
    <col min="4615" max="4615" width="5" style="6" customWidth="1"/>
    <col min="4616" max="4616" width="8.44140625" style="6" customWidth="1"/>
    <col min="4617" max="4617" width="69.6640625" style="6" customWidth="1"/>
    <col min="4618" max="4620" width="15.6640625" style="6" customWidth="1"/>
    <col min="4621" max="4864" width="9.109375" style="6"/>
    <col min="4865" max="4865" width="6.5546875" style="6" customWidth="1"/>
    <col min="4866" max="4866" width="4.6640625" style="6" customWidth="1"/>
    <col min="4867" max="4868" width="4.33203125" style="6" customWidth="1"/>
    <col min="4869" max="4869" width="6.6640625" style="6" customWidth="1"/>
    <col min="4870" max="4870" width="3.6640625" style="6" customWidth="1"/>
    <col min="4871" max="4871" width="5" style="6" customWidth="1"/>
    <col min="4872" max="4872" width="8.44140625" style="6" customWidth="1"/>
    <col min="4873" max="4873" width="69.6640625" style="6" customWidth="1"/>
    <col min="4874" max="4876" width="15.6640625" style="6" customWidth="1"/>
    <col min="4877" max="5120" width="9.109375" style="6"/>
    <col min="5121" max="5121" width="6.5546875" style="6" customWidth="1"/>
    <col min="5122" max="5122" width="4.6640625" style="6" customWidth="1"/>
    <col min="5123" max="5124" width="4.33203125" style="6" customWidth="1"/>
    <col min="5125" max="5125" width="6.6640625" style="6" customWidth="1"/>
    <col min="5126" max="5126" width="3.6640625" style="6" customWidth="1"/>
    <col min="5127" max="5127" width="5" style="6" customWidth="1"/>
    <col min="5128" max="5128" width="8.44140625" style="6" customWidth="1"/>
    <col min="5129" max="5129" width="69.6640625" style="6" customWidth="1"/>
    <col min="5130" max="5132" width="15.6640625" style="6" customWidth="1"/>
    <col min="5133" max="5376" width="9.109375" style="6"/>
    <col min="5377" max="5377" width="6.5546875" style="6" customWidth="1"/>
    <col min="5378" max="5378" width="4.6640625" style="6" customWidth="1"/>
    <col min="5379" max="5380" width="4.33203125" style="6" customWidth="1"/>
    <col min="5381" max="5381" width="6.6640625" style="6" customWidth="1"/>
    <col min="5382" max="5382" width="3.6640625" style="6" customWidth="1"/>
    <col min="5383" max="5383" width="5" style="6" customWidth="1"/>
    <col min="5384" max="5384" width="8.44140625" style="6" customWidth="1"/>
    <col min="5385" max="5385" width="69.6640625" style="6" customWidth="1"/>
    <col min="5386" max="5388" width="15.6640625" style="6" customWidth="1"/>
    <col min="5389" max="5632" width="9.109375" style="6"/>
    <col min="5633" max="5633" width="6.5546875" style="6" customWidth="1"/>
    <col min="5634" max="5634" width="4.6640625" style="6" customWidth="1"/>
    <col min="5635" max="5636" width="4.33203125" style="6" customWidth="1"/>
    <col min="5637" max="5637" width="6.6640625" style="6" customWidth="1"/>
    <col min="5638" max="5638" width="3.6640625" style="6" customWidth="1"/>
    <col min="5639" max="5639" width="5" style="6" customWidth="1"/>
    <col min="5640" max="5640" width="8.44140625" style="6" customWidth="1"/>
    <col min="5641" max="5641" width="69.6640625" style="6" customWidth="1"/>
    <col min="5642" max="5644" width="15.6640625" style="6" customWidth="1"/>
    <col min="5645" max="5888" width="9.109375" style="6"/>
    <col min="5889" max="5889" width="6.5546875" style="6" customWidth="1"/>
    <col min="5890" max="5890" width="4.6640625" style="6" customWidth="1"/>
    <col min="5891" max="5892" width="4.33203125" style="6" customWidth="1"/>
    <col min="5893" max="5893" width="6.6640625" style="6" customWidth="1"/>
    <col min="5894" max="5894" width="3.6640625" style="6" customWidth="1"/>
    <col min="5895" max="5895" width="5" style="6" customWidth="1"/>
    <col min="5896" max="5896" width="8.44140625" style="6" customWidth="1"/>
    <col min="5897" max="5897" width="69.6640625" style="6" customWidth="1"/>
    <col min="5898" max="5900" width="15.6640625" style="6" customWidth="1"/>
    <col min="5901" max="6144" width="9.109375" style="6"/>
    <col min="6145" max="6145" width="6.5546875" style="6" customWidth="1"/>
    <col min="6146" max="6146" width="4.6640625" style="6" customWidth="1"/>
    <col min="6147" max="6148" width="4.33203125" style="6" customWidth="1"/>
    <col min="6149" max="6149" width="6.6640625" style="6" customWidth="1"/>
    <col min="6150" max="6150" width="3.6640625" style="6" customWidth="1"/>
    <col min="6151" max="6151" width="5" style="6" customWidth="1"/>
    <col min="6152" max="6152" width="8.44140625" style="6" customWidth="1"/>
    <col min="6153" max="6153" width="69.6640625" style="6" customWidth="1"/>
    <col min="6154" max="6156" width="15.6640625" style="6" customWidth="1"/>
    <col min="6157" max="6400" width="9.109375" style="6"/>
    <col min="6401" max="6401" width="6.5546875" style="6" customWidth="1"/>
    <col min="6402" max="6402" width="4.6640625" style="6" customWidth="1"/>
    <col min="6403" max="6404" width="4.33203125" style="6" customWidth="1"/>
    <col min="6405" max="6405" width="6.6640625" style="6" customWidth="1"/>
    <col min="6406" max="6406" width="3.6640625" style="6" customWidth="1"/>
    <col min="6407" max="6407" width="5" style="6" customWidth="1"/>
    <col min="6408" max="6408" width="8.44140625" style="6" customWidth="1"/>
    <col min="6409" max="6409" width="69.6640625" style="6" customWidth="1"/>
    <col min="6410" max="6412" width="15.6640625" style="6" customWidth="1"/>
    <col min="6413" max="6656" width="9.109375" style="6"/>
    <col min="6657" max="6657" width="6.5546875" style="6" customWidth="1"/>
    <col min="6658" max="6658" width="4.6640625" style="6" customWidth="1"/>
    <col min="6659" max="6660" width="4.33203125" style="6" customWidth="1"/>
    <col min="6661" max="6661" width="6.6640625" style="6" customWidth="1"/>
    <col min="6662" max="6662" width="3.6640625" style="6" customWidth="1"/>
    <col min="6663" max="6663" width="5" style="6" customWidth="1"/>
    <col min="6664" max="6664" width="8.44140625" style="6" customWidth="1"/>
    <col min="6665" max="6665" width="69.6640625" style="6" customWidth="1"/>
    <col min="6666" max="6668" width="15.6640625" style="6" customWidth="1"/>
    <col min="6669" max="6912" width="9.109375" style="6"/>
    <col min="6913" max="6913" width="6.5546875" style="6" customWidth="1"/>
    <col min="6914" max="6914" width="4.6640625" style="6" customWidth="1"/>
    <col min="6915" max="6916" width="4.33203125" style="6" customWidth="1"/>
    <col min="6917" max="6917" width="6.6640625" style="6" customWidth="1"/>
    <col min="6918" max="6918" width="3.6640625" style="6" customWidth="1"/>
    <col min="6919" max="6919" width="5" style="6" customWidth="1"/>
    <col min="6920" max="6920" width="8.44140625" style="6" customWidth="1"/>
    <col min="6921" max="6921" width="69.6640625" style="6" customWidth="1"/>
    <col min="6922" max="6924" width="15.6640625" style="6" customWidth="1"/>
    <col min="6925" max="7168" width="9.109375" style="6"/>
    <col min="7169" max="7169" width="6.5546875" style="6" customWidth="1"/>
    <col min="7170" max="7170" width="4.6640625" style="6" customWidth="1"/>
    <col min="7171" max="7172" width="4.33203125" style="6" customWidth="1"/>
    <col min="7173" max="7173" width="6.6640625" style="6" customWidth="1"/>
    <col min="7174" max="7174" width="3.6640625" style="6" customWidth="1"/>
    <col min="7175" max="7175" width="5" style="6" customWidth="1"/>
    <col min="7176" max="7176" width="8.44140625" style="6" customWidth="1"/>
    <col min="7177" max="7177" width="69.6640625" style="6" customWidth="1"/>
    <col min="7178" max="7180" width="15.6640625" style="6" customWidth="1"/>
    <col min="7181" max="7424" width="9.109375" style="6"/>
    <col min="7425" max="7425" width="6.5546875" style="6" customWidth="1"/>
    <col min="7426" max="7426" width="4.6640625" style="6" customWidth="1"/>
    <col min="7427" max="7428" width="4.33203125" style="6" customWidth="1"/>
    <col min="7429" max="7429" width="6.6640625" style="6" customWidth="1"/>
    <col min="7430" max="7430" width="3.6640625" style="6" customWidth="1"/>
    <col min="7431" max="7431" width="5" style="6" customWidth="1"/>
    <col min="7432" max="7432" width="8.44140625" style="6" customWidth="1"/>
    <col min="7433" max="7433" width="69.6640625" style="6" customWidth="1"/>
    <col min="7434" max="7436" width="15.6640625" style="6" customWidth="1"/>
    <col min="7437" max="7680" width="9.109375" style="6"/>
    <col min="7681" max="7681" width="6.5546875" style="6" customWidth="1"/>
    <col min="7682" max="7682" width="4.6640625" style="6" customWidth="1"/>
    <col min="7683" max="7684" width="4.33203125" style="6" customWidth="1"/>
    <col min="7685" max="7685" width="6.6640625" style="6" customWidth="1"/>
    <col min="7686" max="7686" width="3.6640625" style="6" customWidth="1"/>
    <col min="7687" max="7687" width="5" style="6" customWidth="1"/>
    <col min="7688" max="7688" width="8.44140625" style="6" customWidth="1"/>
    <col min="7689" max="7689" width="69.6640625" style="6" customWidth="1"/>
    <col min="7690" max="7692" width="15.6640625" style="6" customWidth="1"/>
    <col min="7693" max="7936" width="9.109375" style="6"/>
    <col min="7937" max="7937" width="6.5546875" style="6" customWidth="1"/>
    <col min="7938" max="7938" width="4.6640625" style="6" customWidth="1"/>
    <col min="7939" max="7940" width="4.33203125" style="6" customWidth="1"/>
    <col min="7941" max="7941" width="6.6640625" style="6" customWidth="1"/>
    <col min="7942" max="7942" width="3.6640625" style="6" customWidth="1"/>
    <col min="7943" max="7943" width="5" style="6" customWidth="1"/>
    <col min="7944" max="7944" width="8.44140625" style="6" customWidth="1"/>
    <col min="7945" max="7945" width="69.6640625" style="6" customWidth="1"/>
    <col min="7946" max="7948" width="15.6640625" style="6" customWidth="1"/>
    <col min="7949" max="8192" width="9.109375" style="6"/>
    <col min="8193" max="8193" width="6.5546875" style="6" customWidth="1"/>
    <col min="8194" max="8194" width="4.6640625" style="6" customWidth="1"/>
    <col min="8195" max="8196" width="4.33203125" style="6" customWidth="1"/>
    <col min="8197" max="8197" width="6.6640625" style="6" customWidth="1"/>
    <col min="8198" max="8198" width="3.6640625" style="6" customWidth="1"/>
    <col min="8199" max="8199" width="5" style="6" customWidth="1"/>
    <col min="8200" max="8200" width="8.44140625" style="6" customWidth="1"/>
    <col min="8201" max="8201" width="69.6640625" style="6" customWidth="1"/>
    <col min="8202" max="8204" width="15.6640625" style="6" customWidth="1"/>
    <col min="8205" max="8448" width="9.109375" style="6"/>
    <col min="8449" max="8449" width="6.5546875" style="6" customWidth="1"/>
    <col min="8450" max="8450" width="4.6640625" style="6" customWidth="1"/>
    <col min="8451" max="8452" width="4.33203125" style="6" customWidth="1"/>
    <col min="8453" max="8453" width="6.6640625" style="6" customWidth="1"/>
    <col min="8454" max="8454" width="3.6640625" style="6" customWidth="1"/>
    <col min="8455" max="8455" width="5" style="6" customWidth="1"/>
    <col min="8456" max="8456" width="8.44140625" style="6" customWidth="1"/>
    <col min="8457" max="8457" width="69.6640625" style="6" customWidth="1"/>
    <col min="8458" max="8460" width="15.6640625" style="6" customWidth="1"/>
    <col min="8461" max="8704" width="9.109375" style="6"/>
    <col min="8705" max="8705" width="6.5546875" style="6" customWidth="1"/>
    <col min="8706" max="8706" width="4.6640625" style="6" customWidth="1"/>
    <col min="8707" max="8708" width="4.33203125" style="6" customWidth="1"/>
    <col min="8709" max="8709" width="6.6640625" style="6" customWidth="1"/>
    <col min="8710" max="8710" width="3.6640625" style="6" customWidth="1"/>
    <col min="8711" max="8711" width="5" style="6" customWidth="1"/>
    <col min="8712" max="8712" width="8.44140625" style="6" customWidth="1"/>
    <col min="8713" max="8713" width="69.6640625" style="6" customWidth="1"/>
    <col min="8714" max="8716" width="15.6640625" style="6" customWidth="1"/>
    <col min="8717" max="8960" width="9.109375" style="6"/>
    <col min="8961" max="8961" width="6.5546875" style="6" customWidth="1"/>
    <col min="8962" max="8962" width="4.6640625" style="6" customWidth="1"/>
    <col min="8963" max="8964" width="4.33203125" style="6" customWidth="1"/>
    <col min="8965" max="8965" width="6.6640625" style="6" customWidth="1"/>
    <col min="8966" max="8966" width="3.6640625" style="6" customWidth="1"/>
    <col min="8967" max="8967" width="5" style="6" customWidth="1"/>
    <col min="8968" max="8968" width="8.44140625" style="6" customWidth="1"/>
    <col min="8969" max="8969" width="69.6640625" style="6" customWidth="1"/>
    <col min="8970" max="8972" width="15.6640625" style="6" customWidth="1"/>
    <col min="8973" max="9216" width="9.109375" style="6"/>
    <col min="9217" max="9217" width="6.5546875" style="6" customWidth="1"/>
    <col min="9218" max="9218" width="4.6640625" style="6" customWidth="1"/>
    <col min="9219" max="9220" width="4.33203125" style="6" customWidth="1"/>
    <col min="9221" max="9221" width="6.6640625" style="6" customWidth="1"/>
    <col min="9222" max="9222" width="3.6640625" style="6" customWidth="1"/>
    <col min="9223" max="9223" width="5" style="6" customWidth="1"/>
    <col min="9224" max="9224" width="8.44140625" style="6" customWidth="1"/>
    <col min="9225" max="9225" width="69.6640625" style="6" customWidth="1"/>
    <col min="9226" max="9228" width="15.6640625" style="6" customWidth="1"/>
    <col min="9229" max="9472" width="9.109375" style="6"/>
    <col min="9473" max="9473" width="6.5546875" style="6" customWidth="1"/>
    <col min="9474" max="9474" width="4.6640625" style="6" customWidth="1"/>
    <col min="9475" max="9476" width="4.33203125" style="6" customWidth="1"/>
    <col min="9477" max="9477" width="6.6640625" style="6" customWidth="1"/>
    <col min="9478" max="9478" width="3.6640625" style="6" customWidth="1"/>
    <col min="9479" max="9479" width="5" style="6" customWidth="1"/>
    <col min="9480" max="9480" width="8.44140625" style="6" customWidth="1"/>
    <col min="9481" max="9481" width="69.6640625" style="6" customWidth="1"/>
    <col min="9482" max="9484" width="15.6640625" style="6" customWidth="1"/>
    <col min="9485" max="9728" width="9.109375" style="6"/>
    <col min="9729" max="9729" width="6.5546875" style="6" customWidth="1"/>
    <col min="9730" max="9730" width="4.6640625" style="6" customWidth="1"/>
    <col min="9731" max="9732" width="4.33203125" style="6" customWidth="1"/>
    <col min="9733" max="9733" width="6.6640625" style="6" customWidth="1"/>
    <col min="9734" max="9734" width="3.6640625" style="6" customWidth="1"/>
    <col min="9735" max="9735" width="5" style="6" customWidth="1"/>
    <col min="9736" max="9736" width="8.44140625" style="6" customWidth="1"/>
    <col min="9737" max="9737" width="69.6640625" style="6" customWidth="1"/>
    <col min="9738" max="9740" width="15.6640625" style="6" customWidth="1"/>
    <col min="9741" max="9984" width="9.109375" style="6"/>
    <col min="9985" max="9985" width="6.5546875" style="6" customWidth="1"/>
    <col min="9986" max="9986" width="4.6640625" style="6" customWidth="1"/>
    <col min="9987" max="9988" width="4.33203125" style="6" customWidth="1"/>
    <col min="9989" max="9989" width="6.6640625" style="6" customWidth="1"/>
    <col min="9990" max="9990" width="3.6640625" style="6" customWidth="1"/>
    <col min="9991" max="9991" width="5" style="6" customWidth="1"/>
    <col min="9992" max="9992" width="8.44140625" style="6" customWidth="1"/>
    <col min="9993" max="9993" width="69.6640625" style="6" customWidth="1"/>
    <col min="9994" max="9996" width="15.6640625" style="6" customWidth="1"/>
    <col min="9997" max="10240" width="9.109375" style="6"/>
    <col min="10241" max="10241" width="6.5546875" style="6" customWidth="1"/>
    <col min="10242" max="10242" width="4.6640625" style="6" customWidth="1"/>
    <col min="10243" max="10244" width="4.33203125" style="6" customWidth="1"/>
    <col min="10245" max="10245" width="6.6640625" style="6" customWidth="1"/>
    <col min="10246" max="10246" width="3.6640625" style="6" customWidth="1"/>
    <col min="10247" max="10247" width="5" style="6" customWidth="1"/>
    <col min="10248" max="10248" width="8.44140625" style="6" customWidth="1"/>
    <col min="10249" max="10249" width="69.6640625" style="6" customWidth="1"/>
    <col min="10250" max="10252" width="15.6640625" style="6" customWidth="1"/>
    <col min="10253" max="10496" width="9.109375" style="6"/>
    <col min="10497" max="10497" width="6.5546875" style="6" customWidth="1"/>
    <col min="10498" max="10498" width="4.6640625" style="6" customWidth="1"/>
    <col min="10499" max="10500" width="4.33203125" style="6" customWidth="1"/>
    <col min="10501" max="10501" width="6.6640625" style="6" customWidth="1"/>
    <col min="10502" max="10502" width="3.6640625" style="6" customWidth="1"/>
    <col min="10503" max="10503" width="5" style="6" customWidth="1"/>
    <col min="10504" max="10504" width="8.44140625" style="6" customWidth="1"/>
    <col min="10505" max="10505" width="69.6640625" style="6" customWidth="1"/>
    <col min="10506" max="10508" width="15.6640625" style="6" customWidth="1"/>
    <col min="10509" max="10752" width="9.109375" style="6"/>
    <col min="10753" max="10753" width="6.5546875" style="6" customWidth="1"/>
    <col min="10754" max="10754" width="4.6640625" style="6" customWidth="1"/>
    <col min="10755" max="10756" width="4.33203125" style="6" customWidth="1"/>
    <col min="10757" max="10757" width="6.6640625" style="6" customWidth="1"/>
    <col min="10758" max="10758" width="3.6640625" style="6" customWidth="1"/>
    <col min="10759" max="10759" width="5" style="6" customWidth="1"/>
    <col min="10760" max="10760" width="8.44140625" style="6" customWidth="1"/>
    <col min="10761" max="10761" width="69.6640625" style="6" customWidth="1"/>
    <col min="10762" max="10764" width="15.6640625" style="6" customWidth="1"/>
    <col min="10765" max="11008" width="9.109375" style="6"/>
    <col min="11009" max="11009" width="6.5546875" style="6" customWidth="1"/>
    <col min="11010" max="11010" width="4.6640625" style="6" customWidth="1"/>
    <col min="11011" max="11012" width="4.33203125" style="6" customWidth="1"/>
    <col min="11013" max="11013" width="6.6640625" style="6" customWidth="1"/>
    <col min="11014" max="11014" width="3.6640625" style="6" customWidth="1"/>
    <col min="11015" max="11015" width="5" style="6" customWidth="1"/>
    <col min="11016" max="11016" width="8.44140625" style="6" customWidth="1"/>
    <col min="11017" max="11017" width="69.6640625" style="6" customWidth="1"/>
    <col min="11018" max="11020" width="15.6640625" style="6" customWidth="1"/>
    <col min="11021" max="11264" width="9.109375" style="6"/>
    <col min="11265" max="11265" width="6.5546875" style="6" customWidth="1"/>
    <col min="11266" max="11266" width="4.6640625" style="6" customWidth="1"/>
    <col min="11267" max="11268" width="4.33203125" style="6" customWidth="1"/>
    <col min="11269" max="11269" width="6.6640625" style="6" customWidth="1"/>
    <col min="11270" max="11270" width="3.6640625" style="6" customWidth="1"/>
    <col min="11271" max="11271" width="5" style="6" customWidth="1"/>
    <col min="11272" max="11272" width="8.44140625" style="6" customWidth="1"/>
    <col min="11273" max="11273" width="69.6640625" style="6" customWidth="1"/>
    <col min="11274" max="11276" width="15.6640625" style="6" customWidth="1"/>
    <col min="11277" max="11520" width="9.109375" style="6"/>
    <col min="11521" max="11521" width="6.5546875" style="6" customWidth="1"/>
    <col min="11522" max="11522" width="4.6640625" style="6" customWidth="1"/>
    <col min="11523" max="11524" width="4.33203125" style="6" customWidth="1"/>
    <col min="11525" max="11525" width="6.6640625" style="6" customWidth="1"/>
    <col min="11526" max="11526" width="3.6640625" style="6" customWidth="1"/>
    <col min="11527" max="11527" width="5" style="6" customWidth="1"/>
    <col min="11528" max="11528" width="8.44140625" style="6" customWidth="1"/>
    <col min="11529" max="11529" width="69.6640625" style="6" customWidth="1"/>
    <col min="11530" max="11532" width="15.6640625" style="6" customWidth="1"/>
    <col min="11533" max="11776" width="9.109375" style="6"/>
    <col min="11777" max="11777" width="6.5546875" style="6" customWidth="1"/>
    <col min="11778" max="11778" width="4.6640625" style="6" customWidth="1"/>
    <col min="11779" max="11780" width="4.33203125" style="6" customWidth="1"/>
    <col min="11781" max="11781" width="6.6640625" style="6" customWidth="1"/>
    <col min="11782" max="11782" width="3.6640625" style="6" customWidth="1"/>
    <col min="11783" max="11783" width="5" style="6" customWidth="1"/>
    <col min="11784" max="11784" width="8.44140625" style="6" customWidth="1"/>
    <col min="11785" max="11785" width="69.6640625" style="6" customWidth="1"/>
    <col min="11786" max="11788" width="15.6640625" style="6" customWidth="1"/>
    <col min="11789" max="12032" width="9.109375" style="6"/>
    <col min="12033" max="12033" width="6.5546875" style="6" customWidth="1"/>
    <col min="12034" max="12034" width="4.6640625" style="6" customWidth="1"/>
    <col min="12035" max="12036" width="4.33203125" style="6" customWidth="1"/>
    <col min="12037" max="12037" width="6.6640625" style="6" customWidth="1"/>
    <col min="12038" max="12038" width="3.6640625" style="6" customWidth="1"/>
    <col min="12039" max="12039" width="5" style="6" customWidth="1"/>
    <col min="12040" max="12040" width="8.44140625" style="6" customWidth="1"/>
    <col min="12041" max="12041" width="69.6640625" style="6" customWidth="1"/>
    <col min="12042" max="12044" width="15.6640625" style="6" customWidth="1"/>
    <col min="12045" max="12288" width="9.109375" style="6"/>
    <col min="12289" max="12289" width="6.5546875" style="6" customWidth="1"/>
    <col min="12290" max="12290" width="4.6640625" style="6" customWidth="1"/>
    <col min="12291" max="12292" width="4.33203125" style="6" customWidth="1"/>
    <col min="12293" max="12293" width="6.6640625" style="6" customWidth="1"/>
    <col min="12294" max="12294" width="3.6640625" style="6" customWidth="1"/>
    <col min="12295" max="12295" width="5" style="6" customWidth="1"/>
    <col min="12296" max="12296" width="8.44140625" style="6" customWidth="1"/>
    <col min="12297" max="12297" width="69.6640625" style="6" customWidth="1"/>
    <col min="12298" max="12300" width="15.6640625" style="6" customWidth="1"/>
    <col min="12301" max="12544" width="9.109375" style="6"/>
    <col min="12545" max="12545" width="6.5546875" style="6" customWidth="1"/>
    <col min="12546" max="12546" width="4.6640625" style="6" customWidth="1"/>
    <col min="12547" max="12548" width="4.33203125" style="6" customWidth="1"/>
    <col min="12549" max="12549" width="6.6640625" style="6" customWidth="1"/>
    <col min="12550" max="12550" width="3.6640625" style="6" customWidth="1"/>
    <col min="12551" max="12551" width="5" style="6" customWidth="1"/>
    <col min="12552" max="12552" width="8.44140625" style="6" customWidth="1"/>
    <col min="12553" max="12553" width="69.6640625" style="6" customWidth="1"/>
    <col min="12554" max="12556" width="15.6640625" style="6" customWidth="1"/>
    <col min="12557" max="12800" width="9.109375" style="6"/>
    <col min="12801" max="12801" width="6.5546875" style="6" customWidth="1"/>
    <col min="12802" max="12802" width="4.6640625" style="6" customWidth="1"/>
    <col min="12803" max="12804" width="4.33203125" style="6" customWidth="1"/>
    <col min="12805" max="12805" width="6.6640625" style="6" customWidth="1"/>
    <col min="12806" max="12806" width="3.6640625" style="6" customWidth="1"/>
    <col min="12807" max="12807" width="5" style="6" customWidth="1"/>
    <col min="12808" max="12808" width="8.44140625" style="6" customWidth="1"/>
    <col min="12809" max="12809" width="69.6640625" style="6" customWidth="1"/>
    <col min="12810" max="12812" width="15.6640625" style="6" customWidth="1"/>
    <col min="12813" max="13056" width="9.109375" style="6"/>
    <col min="13057" max="13057" width="6.5546875" style="6" customWidth="1"/>
    <col min="13058" max="13058" width="4.6640625" style="6" customWidth="1"/>
    <col min="13059" max="13060" width="4.33203125" style="6" customWidth="1"/>
    <col min="13061" max="13061" width="6.6640625" style="6" customWidth="1"/>
    <col min="13062" max="13062" width="3.6640625" style="6" customWidth="1"/>
    <col min="13063" max="13063" width="5" style="6" customWidth="1"/>
    <col min="13064" max="13064" width="8.44140625" style="6" customWidth="1"/>
    <col min="13065" max="13065" width="69.6640625" style="6" customWidth="1"/>
    <col min="13066" max="13068" width="15.6640625" style="6" customWidth="1"/>
    <col min="13069" max="13312" width="9.109375" style="6"/>
    <col min="13313" max="13313" width="6.5546875" style="6" customWidth="1"/>
    <col min="13314" max="13314" width="4.6640625" style="6" customWidth="1"/>
    <col min="13315" max="13316" width="4.33203125" style="6" customWidth="1"/>
    <col min="13317" max="13317" width="6.6640625" style="6" customWidth="1"/>
    <col min="13318" max="13318" width="3.6640625" style="6" customWidth="1"/>
    <col min="13319" max="13319" width="5" style="6" customWidth="1"/>
    <col min="13320" max="13320" width="8.44140625" style="6" customWidth="1"/>
    <col min="13321" max="13321" width="69.6640625" style="6" customWidth="1"/>
    <col min="13322" max="13324" width="15.6640625" style="6" customWidth="1"/>
    <col min="13325" max="13568" width="9.109375" style="6"/>
    <col min="13569" max="13569" width="6.5546875" style="6" customWidth="1"/>
    <col min="13570" max="13570" width="4.6640625" style="6" customWidth="1"/>
    <col min="13571" max="13572" width="4.33203125" style="6" customWidth="1"/>
    <col min="13573" max="13573" width="6.6640625" style="6" customWidth="1"/>
    <col min="13574" max="13574" width="3.6640625" style="6" customWidth="1"/>
    <col min="13575" max="13575" width="5" style="6" customWidth="1"/>
    <col min="13576" max="13576" width="8.44140625" style="6" customWidth="1"/>
    <col min="13577" max="13577" width="69.6640625" style="6" customWidth="1"/>
    <col min="13578" max="13580" width="15.6640625" style="6" customWidth="1"/>
    <col min="13581" max="13824" width="9.109375" style="6"/>
    <col min="13825" max="13825" width="6.5546875" style="6" customWidth="1"/>
    <col min="13826" max="13826" width="4.6640625" style="6" customWidth="1"/>
    <col min="13827" max="13828" width="4.33203125" style="6" customWidth="1"/>
    <col min="13829" max="13829" width="6.6640625" style="6" customWidth="1"/>
    <col min="13830" max="13830" width="3.6640625" style="6" customWidth="1"/>
    <col min="13831" max="13831" width="5" style="6" customWidth="1"/>
    <col min="13832" max="13832" width="8.44140625" style="6" customWidth="1"/>
    <col min="13833" max="13833" width="69.6640625" style="6" customWidth="1"/>
    <col min="13834" max="13836" width="15.6640625" style="6" customWidth="1"/>
    <col min="13837" max="14080" width="9.109375" style="6"/>
    <col min="14081" max="14081" width="6.5546875" style="6" customWidth="1"/>
    <col min="14082" max="14082" width="4.6640625" style="6" customWidth="1"/>
    <col min="14083" max="14084" width="4.33203125" style="6" customWidth="1"/>
    <col min="14085" max="14085" width="6.6640625" style="6" customWidth="1"/>
    <col min="14086" max="14086" width="3.6640625" style="6" customWidth="1"/>
    <col min="14087" max="14087" width="5" style="6" customWidth="1"/>
    <col min="14088" max="14088" width="8.44140625" style="6" customWidth="1"/>
    <col min="14089" max="14089" width="69.6640625" style="6" customWidth="1"/>
    <col min="14090" max="14092" width="15.6640625" style="6" customWidth="1"/>
    <col min="14093" max="14336" width="9.109375" style="6"/>
    <col min="14337" max="14337" width="6.5546875" style="6" customWidth="1"/>
    <col min="14338" max="14338" width="4.6640625" style="6" customWidth="1"/>
    <col min="14339" max="14340" width="4.33203125" style="6" customWidth="1"/>
    <col min="14341" max="14341" width="6.6640625" style="6" customWidth="1"/>
    <col min="14342" max="14342" width="3.6640625" style="6" customWidth="1"/>
    <col min="14343" max="14343" width="5" style="6" customWidth="1"/>
    <col min="14344" max="14344" width="8.44140625" style="6" customWidth="1"/>
    <col min="14345" max="14345" width="69.6640625" style="6" customWidth="1"/>
    <col min="14346" max="14348" width="15.6640625" style="6" customWidth="1"/>
    <col min="14349" max="14592" width="9.109375" style="6"/>
    <col min="14593" max="14593" width="6.5546875" style="6" customWidth="1"/>
    <col min="14594" max="14594" width="4.6640625" style="6" customWidth="1"/>
    <col min="14595" max="14596" width="4.33203125" style="6" customWidth="1"/>
    <col min="14597" max="14597" width="6.6640625" style="6" customWidth="1"/>
    <col min="14598" max="14598" width="3.6640625" style="6" customWidth="1"/>
    <col min="14599" max="14599" width="5" style="6" customWidth="1"/>
    <col min="14600" max="14600" width="8.44140625" style="6" customWidth="1"/>
    <col min="14601" max="14601" width="69.6640625" style="6" customWidth="1"/>
    <col min="14602" max="14604" width="15.6640625" style="6" customWidth="1"/>
    <col min="14605" max="14848" width="9.109375" style="6"/>
    <col min="14849" max="14849" width="6.5546875" style="6" customWidth="1"/>
    <col min="14850" max="14850" width="4.6640625" style="6" customWidth="1"/>
    <col min="14851" max="14852" width="4.33203125" style="6" customWidth="1"/>
    <col min="14853" max="14853" width="6.6640625" style="6" customWidth="1"/>
    <col min="14854" max="14854" width="3.6640625" style="6" customWidth="1"/>
    <col min="14855" max="14855" width="5" style="6" customWidth="1"/>
    <col min="14856" max="14856" width="8.44140625" style="6" customWidth="1"/>
    <col min="14857" max="14857" width="69.6640625" style="6" customWidth="1"/>
    <col min="14858" max="14860" width="15.6640625" style="6" customWidth="1"/>
    <col min="14861" max="15104" width="9.109375" style="6"/>
    <col min="15105" max="15105" width="6.5546875" style="6" customWidth="1"/>
    <col min="15106" max="15106" width="4.6640625" style="6" customWidth="1"/>
    <col min="15107" max="15108" width="4.33203125" style="6" customWidth="1"/>
    <col min="15109" max="15109" width="6.6640625" style="6" customWidth="1"/>
    <col min="15110" max="15110" width="3.6640625" style="6" customWidth="1"/>
    <col min="15111" max="15111" width="5" style="6" customWidth="1"/>
    <col min="15112" max="15112" width="8.44140625" style="6" customWidth="1"/>
    <col min="15113" max="15113" width="69.6640625" style="6" customWidth="1"/>
    <col min="15114" max="15116" width="15.6640625" style="6" customWidth="1"/>
    <col min="15117" max="15360" width="9.109375" style="6"/>
    <col min="15361" max="15361" width="6.5546875" style="6" customWidth="1"/>
    <col min="15362" max="15362" width="4.6640625" style="6" customWidth="1"/>
    <col min="15363" max="15364" width="4.33203125" style="6" customWidth="1"/>
    <col min="15365" max="15365" width="6.6640625" style="6" customWidth="1"/>
    <col min="15366" max="15366" width="3.6640625" style="6" customWidth="1"/>
    <col min="15367" max="15367" width="5" style="6" customWidth="1"/>
    <col min="15368" max="15368" width="8.44140625" style="6" customWidth="1"/>
    <col min="15369" max="15369" width="69.6640625" style="6" customWidth="1"/>
    <col min="15370" max="15372" width="15.6640625" style="6" customWidth="1"/>
    <col min="15373" max="15616" width="9.109375" style="6"/>
    <col min="15617" max="15617" width="6.5546875" style="6" customWidth="1"/>
    <col min="15618" max="15618" width="4.6640625" style="6" customWidth="1"/>
    <col min="15619" max="15620" width="4.33203125" style="6" customWidth="1"/>
    <col min="15621" max="15621" width="6.6640625" style="6" customWidth="1"/>
    <col min="15622" max="15622" width="3.6640625" style="6" customWidth="1"/>
    <col min="15623" max="15623" width="5" style="6" customWidth="1"/>
    <col min="15624" max="15624" width="8.44140625" style="6" customWidth="1"/>
    <col min="15625" max="15625" width="69.6640625" style="6" customWidth="1"/>
    <col min="15626" max="15628" width="15.6640625" style="6" customWidth="1"/>
    <col min="15629" max="15872" width="9.109375" style="6"/>
    <col min="15873" max="15873" width="6.5546875" style="6" customWidth="1"/>
    <col min="15874" max="15874" width="4.6640625" style="6" customWidth="1"/>
    <col min="15875" max="15876" width="4.33203125" style="6" customWidth="1"/>
    <col min="15877" max="15877" width="6.6640625" style="6" customWidth="1"/>
    <col min="15878" max="15878" width="3.6640625" style="6" customWidth="1"/>
    <col min="15879" max="15879" width="5" style="6" customWidth="1"/>
    <col min="15880" max="15880" width="8.44140625" style="6" customWidth="1"/>
    <col min="15881" max="15881" width="69.6640625" style="6" customWidth="1"/>
    <col min="15882" max="15884" width="15.6640625" style="6" customWidth="1"/>
    <col min="15885" max="16128" width="9.109375" style="6"/>
    <col min="16129" max="16129" width="6.5546875" style="6" customWidth="1"/>
    <col min="16130" max="16130" width="4.6640625" style="6" customWidth="1"/>
    <col min="16131" max="16132" width="4.33203125" style="6" customWidth="1"/>
    <col min="16133" max="16133" width="6.6640625" style="6" customWidth="1"/>
    <col min="16134" max="16134" width="3.6640625" style="6" customWidth="1"/>
    <col min="16135" max="16135" width="5" style="6" customWidth="1"/>
    <col min="16136" max="16136" width="8.44140625" style="6" customWidth="1"/>
    <col min="16137" max="16137" width="69.6640625" style="6" customWidth="1"/>
    <col min="16138" max="16140" width="15.6640625" style="6" customWidth="1"/>
    <col min="16141" max="16384" width="9.109375" style="6"/>
  </cols>
  <sheetData>
    <row r="1" spans="1:12" x14ac:dyDescent="0.3">
      <c r="A1" s="1218" t="s">
        <v>971</v>
      </c>
      <c r="B1" s="1218"/>
      <c r="C1" s="1218"/>
      <c r="D1" s="1218"/>
      <c r="E1" s="1218"/>
      <c r="F1" s="1218"/>
      <c r="G1" s="1218"/>
      <c r="H1" s="1218"/>
      <c r="I1" s="1218"/>
      <c r="J1" s="1218"/>
      <c r="K1" s="1218"/>
      <c r="L1" s="1218"/>
    </row>
    <row r="2" spans="1:12" ht="34.5" customHeight="1" x14ac:dyDescent="0.3">
      <c r="A2" s="1153" t="s">
        <v>972</v>
      </c>
      <c r="B2" s="1153"/>
      <c r="C2" s="1153"/>
      <c r="D2" s="1153"/>
      <c r="E2" s="1153"/>
      <c r="F2" s="1153"/>
      <c r="G2" s="1153"/>
      <c r="H2" s="1153"/>
      <c r="I2" s="1153"/>
      <c r="J2" s="1153"/>
      <c r="K2" s="1153"/>
      <c r="L2" s="1153"/>
    </row>
    <row r="4" spans="1:12" x14ac:dyDescent="0.3">
      <c r="A4" s="1201" t="s">
        <v>937</v>
      </c>
      <c r="B4" s="1201"/>
      <c r="C4" s="1201"/>
      <c r="D4" s="1201"/>
      <c r="E4" s="1201"/>
      <c r="F4" s="1201"/>
      <c r="G4" s="1201"/>
      <c r="H4" s="1201"/>
      <c r="I4" s="1201"/>
      <c r="J4" s="1201"/>
      <c r="K4" s="1201"/>
      <c r="L4" s="1201"/>
    </row>
    <row r="5" spans="1:12" x14ac:dyDescent="0.3">
      <c r="A5" s="1202" t="s">
        <v>407</v>
      </c>
      <c r="B5" s="1205" t="s">
        <v>281</v>
      </c>
      <c r="C5" s="1206"/>
      <c r="D5" s="1206"/>
      <c r="E5" s="1206"/>
      <c r="F5" s="1206"/>
      <c r="G5" s="1206"/>
      <c r="H5" s="1207"/>
      <c r="I5" s="1154" t="s">
        <v>6</v>
      </c>
      <c r="J5" s="1158" t="s">
        <v>938</v>
      </c>
      <c r="K5" s="1159"/>
      <c r="L5" s="1160"/>
    </row>
    <row r="6" spans="1:12" x14ac:dyDescent="0.3">
      <c r="A6" s="1203"/>
      <c r="B6" s="1208"/>
      <c r="C6" s="1209"/>
      <c r="D6" s="1209"/>
      <c r="E6" s="1209"/>
      <c r="F6" s="1209"/>
      <c r="G6" s="1209"/>
      <c r="H6" s="1210"/>
      <c r="I6" s="1155"/>
      <c r="J6" s="196">
        <v>2015</v>
      </c>
      <c r="K6" s="122">
        <v>2016</v>
      </c>
      <c r="L6" s="122">
        <v>2017</v>
      </c>
    </row>
    <row r="7" spans="1:12" ht="46.8" x14ac:dyDescent="0.3">
      <c r="A7" s="198">
        <v>1</v>
      </c>
      <c r="B7" s="199" t="s">
        <v>86</v>
      </c>
      <c r="C7" s="199" t="s">
        <v>318</v>
      </c>
      <c r="D7" s="199" t="s">
        <v>316</v>
      </c>
      <c r="E7" s="199" t="s">
        <v>1033</v>
      </c>
      <c r="F7" s="199" t="s">
        <v>317</v>
      </c>
      <c r="G7" s="199" t="s">
        <v>317</v>
      </c>
      <c r="H7" s="199" t="s">
        <v>470</v>
      </c>
      <c r="I7" s="200" t="s">
        <v>1035</v>
      </c>
      <c r="J7" s="114">
        <v>300000</v>
      </c>
      <c r="K7" s="114">
        <v>0</v>
      </c>
      <c r="L7" s="114">
        <v>0</v>
      </c>
    </row>
    <row r="8" spans="1:12" ht="140.4" x14ac:dyDescent="0.3">
      <c r="A8" s="198">
        <v>2</v>
      </c>
      <c r="B8" s="199" t="s">
        <v>121</v>
      </c>
      <c r="C8" s="199" t="s">
        <v>318</v>
      </c>
      <c r="D8" s="199" t="s">
        <v>316</v>
      </c>
      <c r="E8" s="199" t="s">
        <v>1033</v>
      </c>
      <c r="F8" s="199" t="s">
        <v>294</v>
      </c>
      <c r="G8" s="199" t="s">
        <v>317</v>
      </c>
      <c r="H8" s="199" t="s">
        <v>470</v>
      </c>
      <c r="I8" s="187" t="s">
        <v>1038</v>
      </c>
      <c r="J8" s="114">
        <v>49.17</v>
      </c>
      <c r="K8" s="114">
        <v>0</v>
      </c>
      <c r="L8" s="114">
        <v>0</v>
      </c>
    </row>
    <row r="9" spans="1:12" ht="46.8" x14ac:dyDescent="0.3">
      <c r="A9" s="198">
        <v>3</v>
      </c>
      <c r="B9" s="199" t="s">
        <v>121</v>
      </c>
      <c r="C9" s="199" t="s">
        <v>318</v>
      </c>
      <c r="D9" s="199" t="s">
        <v>316</v>
      </c>
      <c r="E9" s="199" t="s">
        <v>1037</v>
      </c>
      <c r="F9" s="199" t="s">
        <v>317</v>
      </c>
      <c r="G9" s="199" t="s">
        <v>317</v>
      </c>
      <c r="H9" s="199" t="s">
        <v>470</v>
      </c>
      <c r="I9" s="186" t="s">
        <v>895</v>
      </c>
      <c r="J9" s="114">
        <v>32</v>
      </c>
      <c r="K9" s="114">
        <v>0</v>
      </c>
      <c r="L9" s="114">
        <v>0</v>
      </c>
    </row>
    <row r="10" spans="1:12" ht="109.2" x14ac:dyDescent="0.3">
      <c r="A10" s="198">
        <v>4</v>
      </c>
      <c r="B10" s="199" t="s">
        <v>121</v>
      </c>
      <c r="C10" s="199" t="s">
        <v>318</v>
      </c>
      <c r="D10" s="199" t="s">
        <v>316</v>
      </c>
      <c r="E10" s="199" t="s">
        <v>1033</v>
      </c>
      <c r="F10" s="199" t="s">
        <v>294</v>
      </c>
      <c r="G10" s="199" t="s">
        <v>317</v>
      </c>
      <c r="H10" s="199" t="s">
        <v>470</v>
      </c>
      <c r="I10" s="187" t="s">
        <v>1039</v>
      </c>
      <c r="J10" s="114">
        <v>11.22</v>
      </c>
      <c r="K10" s="114">
        <v>0</v>
      </c>
      <c r="L10" s="114">
        <v>0</v>
      </c>
    </row>
    <row r="11" spans="1:12" ht="46.8" x14ac:dyDescent="0.3">
      <c r="A11" s="198">
        <v>5</v>
      </c>
      <c r="B11" s="199" t="s">
        <v>121</v>
      </c>
      <c r="C11" s="199" t="s">
        <v>318</v>
      </c>
      <c r="D11" s="199" t="s">
        <v>316</v>
      </c>
      <c r="E11" s="199" t="s">
        <v>1040</v>
      </c>
      <c r="F11" s="199" t="s">
        <v>317</v>
      </c>
      <c r="G11" s="199" t="s">
        <v>317</v>
      </c>
      <c r="H11" s="199" t="s">
        <v>470</v>
      </c>
      <c r="I11" s="181" t="s">
        <v>1041</v>
      </c>
      <c r="J11" s="114">
        <v>2.73</v>
      </c>
      <c r="K11" s="114">
        <v>0</v>
      </c>
      <c r="L11" s="114">
        <v>0</v>
      </c>
    </row>
    <row r="12" spans="1:12" ht="46.8" x14ac:dyDescent="0.3">
      <c r="A12" s="198">
        <v>6</v>
      </c>
      <c r="B12" s="199" t="s">
        <v>86</v>
      </c>
      <c r="C12" s="199" t="s">
        <v>318</v>
      </c>
      <c r="D12" s="199" t="s">
        <v>316</v>
      </c>
      <c r="E12" s="199" t="s">
        <v>1037</v>
      </c>
      <c r="F12" s="199" t="s">
        <v>294</v>
      </c>
      <c r="G12" s="199" t="s">
        <v>317</v>
      </c>
      <c r="H12" s="199" t="s">
        <v>470</v>
      </c>
      <c r="I12" s="181" t="s">
        <v>645</v>
      </c>
      <c r="J12" s="114">
        <v>50</v>
      </c>
      <c r="K12" s="114">
        <v>0</v>
      </c>
      <c r="L12" s="114">
        <v>0</v>
      </c>
    </row>
    <row r="13" spans="1:12" ht="46.8" x14ac:dyDescent="0.3">
      <c r="A13" s="198">
        <v>7</v>
      </c>
      <c r="B13" s="199" t="s">
        <v>121</v>
      </c>
      <c r="C13" s="199" t="s">
        <v>318</v>
      </c>
      <c r="D13" s="199" t="s">
        <v>316</v>
      </c>
      <c r="E13" s="199" t="s">
        <v>1037</v>
      </c>
      <c r="F13" s="199" t="s">
        <v>317</v>
      </c>
      <c r="G13" s="199" t="s">
        <v>317</v>
      </c>
      <c r="H13" s="199" t="s">
        <v>470</v>
      </c>
      <c r="I13" s="181" t="s">
        <v>896</v>
      </c>
      <c r="J13" s="114">
        <v>9.9600000000000009</v>
      </c>
      <c r="K13" s="114">
        <v>0</v>
      </c>
      <c r="L13" s="114">
        <v>0</v>
      </c>
    </row>
    <row r="14" spans="1:12" ht="31.2" x14ac:dyDescent="0.3">
      <c r="A14" s="198">
        <v>8</v>
      </c>
      <c r="B14" s="199" t="s">
        <v>121</v>
      </c>
      <c r="C14" s="199" t="s">
        <v>318</v>
      </c>
      <c r="D14" s="199" t="s">
        <v>316</v>
      </c>
      <c r="E14" s="199" t="s">
        <v>1037</v>
      </c>
      <c r="F14" s="199" t="s">
        <v>317</v>
      </c>
      <c r="G14" s="199" t="s">
        <v>317</v>
      </c>
      <c r="H14" s="199" t="s">
        <v>470</v>
      </c>
      <c r="I14" s="181" t="s">
        <v>1042</v>
      </c>
      <c r="J14" s="114">
        <v>-8.85</v>
      </c>
      <c r="K14" s="114">
        <v>0</v>
      </c>
      <c r="L14" s="114">
        <v>0</v>
      </c>
    </row>
    <row r="15" spans="1:12" ht="62.4" x14ac:dyDescent="0.3">
      <c r="A15" s="198">
        <v>9</v>
      </c>
      <c r="B15" s="199" t="s">
        <v>93</v>
      </c>
      <c r="C15" s="199" t="s">
        <v>318</v>
      </c>
      <c r="D15" s="199" t="s">
        <v>316</v>
      </c>
      <c r="E15" s="199" t="s">
        <v>1043</v>
      </c>
      <c r="F15" s="199" t="s">
        <v>294</v>
      </c>
      <c r="G15" s="199" t="s">
        <v>317</v>
      </c>
      <c r="H15" s="199" t="s">
        <v>470</v>
      </c>
      <c r="I15" s="181" t="s">
        <v>1063</v>
      </c>
      <c r="J15" s="114">
        <v>600000</v>
      </c>
      <c r="K15" s="114">
        <v>0</v>
      </c>
      <c r="L15" s="114">
        <v>0</v>
      </c>
    </row>
    <row r="16" spans="1:12" ht="62.4" x14ac:dyDescent="0.3">
      <c r="A16" s="198">
        <v>10</v>
      </c>
      <c r="B16" s="199"/>
      <c r="C16" s="199"/>
      <c r="D16" s="199"/>
      <c r="E16" s="199"/>
      <c r="F16" s="199"/>
      <c r="G16" s="199"/>
      <c r="H16" s="199"/>
      <c r="I16" s="181" t="s">
        <v>1062</v>
      </c>
      <c r="J16" s="114">
        <v>-2.9</v>
      </c>
      <c r="K16" s="114">
        <v>0</v>
      </c>
      <c r="L16" s="114">
        <v>0</v>
      </c>
    </row>
    <row r="17" spans="1:12" ht="78" x14ac:dyDescent="0.3">
      <c r="A17" s="198">
        <v>11</v>
      </c>
      <c r="B17" s="201" t="s">
        <v>121</v>
      </c>
      <c r="C17" s="201" t="s">
        <v>318</v>
      </c>
      <c r="D17" s="201" t="s">
        <v>316</v>
      </c>
      <c r="E17" s="201" t="s">
        <v>1037</v>
      </c>
      <c r="F17" s="201" t="s">
        <v>294</v>
      </c>
      <c r="G17" s="201" t="s">
        <v>317</v>
      </c>
      <c r="H17" s="201" t="s">
        <v>470</v>
      </c>
      <c r="I17" s="306" t="s">
        <v>1036</v>
      </c>
      <c r="J17" s="114">
        <v>-9.7899999999999991</v>
      </c>
      <c r="K17" s="114">
        <v>0</v>
      </c>
      <c r="L17" s="114">
        <v>0</v>
      </c>
    </row>
    <row r="18" spans="1:12" hidden="1" x14ac:dyDescent="0.3">
      <c r="A18" s="202"/>
      <c r="B18" s="203"/>
      <c r="C18" s="203"/>
      <c r="D18" s="203"/>
      <c r="E18" s="203"/>
      <c r="F18" s="203"/>
      <c r="G18" s="203"/>
      <c r="H18" s="203"/>
      <c r="I18" s="200"/>
      <c r="J18" s="204"/>
      <c r="K18" s="128"/>
      <c r="L18" s="128"/>
    </row>
    <row r="19" spans="1:12" hidden="1" x14ac:dyDescent="0.3">
      <c r="A19" s="205"/>
      <c r="B19" s="203"/>
      <c r="C19" s="203"/>
      <c r="D19" s="203"/>
      <c r="E19" s="203"/>
      <c r="F19" s="203"/>
      <c r="G19" s="203"/>
      <c r="H19" s="203"/>
      <c r="I19" s="200"/>
      <c r="J19" s="204"/>
      <c r="K19" s="128"/>
      <c r="L19" s="128"/>
    </row>
    <row r="20" spans="1:12" hidden="1" x14ac:dyDescent="0.3">
      <c r="A20" s="206"/>
      <c r="B20" s="203"/>
      <c r="C20" s="203"/>
      <c r="D20" s="203"/>
      <c r="E20" s="203"/>
      <c r="F20" s="203"/>
      <c r="G20" s="203"/>
      <c r="H20" s="203"/>
      <c r="I20" s="200"/>
      <c r="J20" s="207"/>
      <c r="K20" s="128"/>
      <c r="L20" s="128"/>
    </row>
    <row r="21" spans="1:12" hidden="1" x14ac:dyDescent="0.3">
      <c r="A21" s="206"/>
      <c r="B21" s="203"/>
      <c r="C21" s="203"/>
      <c r="D21" s="203"/>
      <c r="E21" s="203"/>
      <c r="F21" s="203"/>
      <c r="G21" s="203"/>
      <c r="H21" s="203"/>
      <c r="I21" s="208"/>
      <c r="J21" s="204"/>
      <c r="K21" s="209"/>
      <c r="L21" s="209"/>
    </row>
    <row r="22" spans="1:12" hidden="1" x14ac:dyDescent="0.3">
      <c r="A22" s="206"/>
      <c r="B22" s="203"/>
      <c r="C22" s="203"/>
      <c r="D22" s="203"/>
      <c r="E22" s="203"/>
      <c r="F22" s="203"/>
      <c r="G22" s="203"/>
      <c r="H22" s="203"/>
      <c r="I22" s="208"/>
      <c r="J22" s="207"/>
      <c r="K22" s="128"/>
      <c r="L22" s="128"/>
    </row>
    <row r="23" spans="1:12" hidden="1" x14ac:dyDescent="0.3">
      <c r="A23" s="206"/>
      <c r="B23" s="203"/>
      <c r="C23" s="203"/>
      <c r="D23" s="203"/>
      <c r="E23" s="203"/>
      <c r="F23" s="203"/>
      <c r="G23" s="203"/>
      <c r="H23" s="203"/>
      <c r="I23" s="210"/>
      <c r="J23" s="207"/>
      <c r="K23" s="128"/>
      <c r="L23" s="128"/>
    </row>
    <row r="24" spans="1:12" hidden="1" x14ac:dyDescent="0.3">
      <c r="A24" s="206"/>
      <c r="B24" s="203"/>
      <c r="C24" s="203"/>
      <c r="D24" s="203"/>
      <c r="E24" s="203"/>
      <c r="F24" s="203"/>
      <c r="G24" s="203"/>
      <c r="H24" s="203"/>
      <c r="I24" s="208"/>
      <c r="J24" s="207"/>
      <c r="K24" s="128"/>
      <c r="L24" s="128"/>
    </row>
    <row r="25" spans="1:12" hidden="1" x14ac:dyDescent="0.3">
      <c r="A25" s="206"/>
      <c r="B25" s="203"/>
      <c r="C25" s="203"/>
      <c r="D25" s="203"/>
      <c r="E25" s="203"/>
      <c r="F25" s="203"/>
      <c r="G25" s="203"/>
      <c r="H25" s="203"/>
      <c r="I25" s="208"/>
      <c r="J25" s="207"/>
      <c r="K25" s="128"/>
      <c r="L25" s="128"/>
    </row>
    <row r="26" spans="1:12" hidden="1" x14ac:dyDescent="0.3">
      <c r="A26" s="206"/>
      <c r="B26" s="203"/>
      <c r="C26" s="203"/>
      <c r="D26" s="203"/>
      <c r="E26" s="203"/>
      <c r="F26" s="203"/>
      <c r="G26" s="203"/>
      <c r="H26" s="203"/>
      <c r="I26" s="200"/>
      <c r="J26" s="207"/>
      <c r="K26" s="128"/>
      <c r="L26" s="128"/>
    </row>
    <row r="27" spans="1:12" hidden="1" x14ac:dyDescent="0.3">
      <c r="A27" s="206"/>
      <c r="B27" s="203"/>
      <c r="C27" s="203"/>
      <c r="D27" s="203"/>
      <c r="E27" s="203"/>
      <c r="F27" s="203"/>
      <c r="G27" s="203"/>
      <c r="H27" s="203"/>
      <c r="I27" s="208"/>
      <c r="J27" s="207"/>
      <c r="K27" s="128"/>
      <c r="L27" s="128"/>
    </row>
    <row r="28" spans="1:12" hidden="1" x14ac:dyDescent="0.3">
      <c r="A28" s="206"/>
      <c r="B28" s="203"/>
      <c r="C28" s="203"/>
      <c r="D28" s="203"/>
      <c r="E28" s="203"/>
      <c r="F28" s="203"/>
      <c r="G28" s="203"/>
      <c r="H28" s="203"/>
      <c r="I28" s="208"/>
      <c r="J28" s="207"/>
      <c r="K28" s="128"/>
      <c r="L28" s="128"/>
    </row>
    <row r="29" spans="1:12" hidden="1" x14ac:dyDescent="0.3">
      <c r="A29" s="206"/>
      <c r="B29" s="203"/>
      <c r="C29" s="203"/>
      <c r="D29" s="203"/>
      <c r="E29" s="203"/>
      <c r="F29" s="203"/>
      <c r="G29" s="203"/>
      <c r="H29" s="203"/>
      <c r="I29" s="200"/>
      <c r="J29" s="207"/>
      <c r="K29" s="128"/>
      <c r="L29" s="128"/>
    </row>
    <row r="30" spans="1:12" hidden="1" x14ac:dyDescent="0.3">
      <c r="A30" s="206"/>
      <c r="B30" s="211"/>
      <c r="C30" s="211"/>
      <c r="D30" s="211"/>
      <c r="E30" s="211"/>
      <c r="F30" s="211"/>
      <c r="G30" s="211"/>
      <c r="H30" s="211"/>
      <c r="I30" s="212"/>
      <c r="J30" s="207"/>
      <c r="K30" s="128"/>
      <c r="L30" s="128"/>
    </row>
    <row r="31" spans="1:12" hidden="1" x14ac:dyDescent="0.3">
      <c r="A31" s="206"/>
      <c r="B31" s="203"/>
      <c r="C31" s="203"/>
      <c r="D31" s="203"/>
      <c r="E31" s="203"/>
      <c r="F31" s="203"/>
      <c r="G31" s="203"/>
      <c r="H31" s="203"/>
      <c r="I31" s="208"/>
      <c r="J31" s="207"/>
      <c r="K31" s="128"/>
      <c r="L31" s="128"/>
    </row>
    <row r="32" spans="1:12" hidden="1" x14ac:dyDescent="0.3">
      <c r="A32" s="206"/>
      <c r="B32" s="203"/>
      <c r="C32" s="203"/>
      <c r="D32" s="203"/>
      <c r="E32" s="203"/>
      <c r="F32" s="203"/>
      <c r="G32" s="203"/>
      <c r="H32" s="203"/>
      <c r="I32" s="208"/>
      <c r="J32" s="207"/>
      <c r="K32" s="128"/>
      <c r="L32" s="128"/>
    </row>
    <row r="33" spans="1:12" hidden="1" x14ac:dyDescent="0.3">
      <c r="A33" s="206"/>
      <c r="B33" s="203"/>
      <c r="C33" s="203"/>
      <c r="D33" s="203"/>
      <c r="E33" s="203"/>
      <c r="F33" s="203"/>
      <c r="G33" s="203"/>
      <c r="H33" s="203"/>
      <c r="I33" s="208"/>
      <c r="J33" s="207"/>
      <c r="K33" s="128"/>
      <c r="L33" s="128"/>
    </row>
    <row r="34" spans="1:12" hidden="1" x14ac:dyDescent="0.3">
      <c r="A34" s="206"/>
      <c r="B34" s="213"/>
      <c r="C34" s="213"/>
      <c r="D34" s="213"/>
      <c r="E34" s="213"/>
      <c r="F34" s="213"/>
      <c r="G34" s="213"/>
      <c r="H34" s="214"/>
      <c r="I34" s="215"/>
      <c r="J34" s="207"/>
      <c r="K34" s="128"/>
      <c r="L34" s="128"/>
    </row>
    <row r="35" spans="1:12" hidden="1" x14ac:dyDescent="0.3">
      <c r="A35" s="206"/>
      <c r="B35" s="216"/>
      <c r="C35" s="217"/>
      <c r="D35" s="217"/>
      <c r="E35" s="217"/>
      <c r="F35" s="217"/>
      <c r="G35" s="217"/>
      <c r="H35" s="218"/>
      <c r="I35" s="219"/>
      <c r="J35" s="207"/>
      <c r="K35" s="128"/>
      <c r="L35" s="128"/>
    </row>
    <row r="36" spans="1:12" hidden="1" x14ac:dyDescent="0.3">
      <c r="A36" s="206"/>
      <c r="B36" s="216"/>
      <c r="C36" s="217"/>
      <c r="D36" s="217"/>
      <c r="E36" s="217"/>
      <c r="F36" s="217"/>
      <c r="G36" s="217"/>
      <c r="H36" s="218"/>
      <c r="I36" s="220"/>
      <c r="J36" s="207"/>
      <c r="K36" s="128"/>
      <c r="L36" s="128"/>
    </row>
    <row r="37" spans="1:12" hidden="1" x14ac:dyDescent="0.3">
      <c r="A37" s="206"/>
      <c r="B37" s="203"/>
      <c r="C37" s="203"/>
      <c r="D37" s="203"/>
      <c r="E37" s="203"/>
      <c r="F37" s="203"/>
      <c r="G37" s="203"/>
      <c r="H37" s="203"/>
      <c r="I37" s="200"/>
      <c r="J37" s="125"/>
      <c r="K37" s="128"/>
      <c r="L37" s="128"/>
    </row>
    <row r="38" spans="1:12" x14ac:dyDescent="0.3">
      <c r="A38" s="126"/>
      <c r="B38" s="1212" t="s">
        <v>939</v>
      </c>
      <c r="C38" s="1212"/>
      <c r="D38" s="1212"/>
      <c r="E38" s="1212"/>
      <c r="F38" s="1212"/>
      <c r="G38" s="1212"/>
      <c r="H38" s="1212"/>
      <c r="I38" s="1212"/>
      <c r="J38" s="116">
        <f>SUM(J7:J36)</f>
        <v>900133.53999999992</v>
      </c>
      <c r="K38" s="116">
        <v>0</v>
      </c>
      <c r="L38" s="116">
        <f>SUM(L7:L36)</f>
        <v>0</v>
      </c>
    </row>
    <row r="39" spans="1:12" x14ac:dyDescent="0.3">
      <c r="B39" s="197"/>
      <c r="C39" s="197"/>
      <c r="D39" s="197"/>
      <c r="E39" s="197"/>
      <c r="F39" s="197"/>
      <c r="G39" s="197"/>
    </row>
    <row r="40" spans="1:12" x14ac:dyDescent="0.3">
      <c r="B40" s="1201" t="s">
        <v>940</v>
      </c>
      <c r="C40" s="1201"/>
      <c r="D40" s="1201"/>
      <c r="E40" s="1201"/>
      <c r="F40" s="1201"/>
      <c r="G40" s="1201"/>
      <c r="H40" s="1201"/>
      <c r="I40" s="1201"/>
      <c r="J40" s="1201"/>
    </row>
    <row r="41" spans="1:12" x14ac:dyDescent="0.3">
      <c r="A41" s="1213" t="s">
        <v>407</v>
      </c>
      <c r="B41" s="1205" t="s">
        <v>281</v>
      </c>
      <c r="C41" s="1206"/>
      <c r="D41" s="1206"/>
      <c r="E41" s="1206"/>
      <c r="F41" s="1206"/>
      <c r="G41" s="1206"/>
      <c r="H41" s="1207"/>
      <c r="I41" s="1154" t="s">
        <v>6</v>
      </c>
      <c r="J41" s="1158" t="s">
        <v>938</v>
      </c>
      <c r="K41" s="1159"/>
      <c r="L41" s="1160"/>
    </row>
    <row r="42" spans="1:12" x14ac:dyDescent="0.3">
      <c r="A42" s="1214"/>
      <c r="B42" s="1208"/>
      <c r="C42" s="1209"/>
      <c r="D42" s="1209"/>
      <c r="E42" s="1209"/>
      <c r="F42" s="1209"/>
      <c r="G42" s="1209"/>
      <c r="H42" s="1210"/>
      <c r="I42" s="1155"/>
      <c r="J42" s="196">
        <v>2015</v>
      </c>
      <c r="K42" s="122">
        <v>2016</v>
      </c>
      <c r="L42" s="122">
        <v>2017</v>
      </c>
    </row>
    <row r="43" spans="1:12" x14ac:dyDescent="0.3">
      <c r="A43" s="206"/>
      <c r="B43" s="1204"/>
      <c r="C43" s="1204"/>
      <c r="D43" s="1204"/>
      <c r="E43" s="1204"/>
      <c r="F43" s="1204"/>
      <c r="G43" s="1204"/>
      <c r="H43" s="1204"/>
      <c r="I43" s="208"/>
      <c r="J43" s="114"/>
      <c r="K43" s="128"/>
      <c r="L43" s="128"/>
    </row>
    <row r="44" spans="1:12" x14ac:dyDescent="0.3">
      <c r="A44" s="206"/>
      <c r="B44" s="1215"/>
      <c r="C44" s="1216"/>
      <c r="D44" s="1216"/>
      <c r="E44" s="1216"/>
      <c r="F44" s="1216"/>
      <c r="G44" s="1216"/>
      <c r="H44" s="1217"/>
      <c r="I44" s="208"/>
      <c r="J44" s="114"/>
      <c r="K44" s="128"/>
      <c r="L44" s="128"/>
    </row>
    <row r="45" spans="1:12" hidden="1" x14ac:dyDescent="0.3">
      <c r="A45" s="206"/>
      <c r="B45" s="1215"/>
      <c r="C45" s="1216"/>
      <c r="D45" s="1216"/>
      <c r="E45" s="1216"/>
      <c r="F45" s="1216"/>
      <c r="G45" s="1216"/>
      <c r="H45" s="1217"/>
      <c r="I45" s="208"/>
      <c r="J45" s="114"/>
      <c r="K45" s="128"/>
      <c r="L45" s="128"/>
    </row>
    <row r="46" spans="1:12" hidden="1" x14ac:dyDescent="0.3">
      <c r="A46" s="206"/>
      <c r="B46" s="1215"/>
      <c r="C46" s="1216"/>
      <c r="D46" s="1216"/>
      <c r="E46" s="1216"/>
      <c r="F46" s="1216"/>
      <c r="G46" s="1216"/>
      <c r="H46" s="1217"/>
      <c r="I46" s="208"/>
      <c r="J46" s="114"/>
      <c r="K46" s="126"/>
      <c r="L46" s="126"/>
    </row>
    <row r="47" spans="1:12" hidden="1" x14ac:dyDescent="0.3">
      <c r="A47" s="126"/>
      <c r="B47" s="1215"/>
      <c r="C47" s="1216"/>
      <c r="D47" s="1216"/>
      <c r="E47" s="1216"/>
      <c r="F47" s="1216"/>
      <c r="G47" s="1216"/>
      <c r="H47" s="1216"/>
      <c r="I47" s="91"/>
      <c r="J47" s="114"/>
      <c r="K47" s="126"/>
      <c r="L47" s="126"/>
    </row>
    <row r="48" spans="1:12" x14ac:dyDescent="0.3">
      <c r="A48" s="126"/>
      <c r="B48" s="1176" t="s">
        <v>941</v>
      </c>
      <c r="C48" s="1177"/>
      <c r="D48" s="1177"/>
      <c r="E48" s="1177"/>
      <c r="F48" s="1177"/>
      <c r="G48" s="1177"/>
      <c r="H48" s="1177"/>
      <c r="I48" s="1178"/>
      <c r="J48" s="116">
        <f>SUM(J43:J47)</f>
        <v>0</v>
      </c>
      <c r="K48" s="116">
        <f>SUM(K43:K47)</f>
        <v>0</v>
      </c>
      <c r="L48" s="116">
        <f>SUM(L43:L47)</f>
        <v>0</v>
      </c>
    </row>
    <row r="49" spans="1:12" x14ac:dyDescent="0.3">
      <c r="B49" s="197"/>
      <c r="C49" s="197"/>
      <c r="D49" s="197"/>
      <c r="E49" s="197"/>
      <c r="F49" s="197"/>
      <c r="G49" s="197"/>
    </row>
    <row r="50" spans="1:12" x14ac:dyDescent="0.3">
      <c r="B50" s="197"/>
      <c r="C50" s="197"/>
      <c r="D50" s="197"/>
      <c r="E50" s="197"/>
      <c r="F50" s="197"/>
      <c r="G50" s="197"/>
    </row>
    <row r="51" spans="1:12" x14ac:dyDescent="0.3">
      <c r="B51" s="1201" t="s">
        <v>942</v>
      </c>
      <c r="C51" s="1201"/>
      <c r="D51" s="1201"/>
      <c r="E51" s="1201"/>
      <c r="F51" s="1201"/>
      <c r="G51" s="1201"/>
      <c r="H51" s="1201"/>
      <c r="I51" s="1201"/>
      <c r="J51" s="1201"/>
    </row>
    <row r="52" spans="1:12" x14ac:dyDescent="0.3">
      <c r="A52" s="1202" t="s">
        <v>407</v>
      </c>
      <c r="B52" s="1204" t="s">
        <v>943</v>
      </c>
      <c r="C52" s="1204" t="s">
        <v>331</v>
      </c>
      <c r="D52" s="1204" t="s">
        <v>574</v>
      </c>
      <c r="E52" s="1205" t="s">
        <v>482</v>
      </c>
      <c r="F52" s="1206"/>
      <c r="G52" s="1207"/>
      <c r="H52" s="1204" t="s">
        <v>510</v>
      </c>
      <c r="I52" s="1211" t="s">
        <v>6</v>
      </c>
      <c r="J52" s="1158" t="s">
        <v>938</v>
      </c>
      <c r="K52" s="1159"/>
      <c r="L52" s="1160"/>
    </row>
    <row r="53" spans="1:12" x14ac:dyDescent="0.3">
      <c r="A53" s="1203"/>
      <c r="B53" s="1204"/>
      <c r="C53" s="1204"/>
      <c r="D53" s="1204"/>
      <c r="E53" s="1208"/>
      <c r="F53" s="1209"/>
      <c r="G53" s="1210"/>
      <c r="H53" s="1204"/>
      <c r="I53" s="1211"/>
      <c r="J53" s="196">
        <v>2015</v>
      </c>
      <c r="K53" s="122">
        <v>2016</v>
      </c>
      <c r="L53" s="122">
        <v>2017</v>
      </c>
    </row>
    <row r="54" spans="1:12" x14ac:dyDescent="0.3">
      <c r="A54" s="221"/>
      <c r="B54" s="1183" t="s">
        <v>944</v>
      </c>
      <c r="C54" s="1183"/>
      <c r="D54" s="1183"/>
      <c r="E54" s="1183"/>
      <c r="F54" s="1183"/>
      <c r="G54" s="1183"/>
      <c r="H54" s="1183"/>
      <c r="I54" s="1184"/>
      <c r="J54" s="222">
        <f>SUM(J55:J70)</f>
        <v>-295928.90000000002</v>
      </c>
      <c r="K54" s="222">
        <f>SUM(K60:K68)</f>
        <v>0</v>
      </c>
      <c r="L54" s="222">
        <f>SUM(L60:L68)</f>
        <v>0</v>
      </c>
    </row>
    <row r="55" spans="1:12" ht="132" customHeight="1" x14ac:dyDescent="0.3">
      <c r="A55" s="223">
        <v>1</v>
      </c>
      <c r="B55" s="275" t="s">
        <v>86</v>
      </c>
      <c r="C55" s="275" t="s">
        <v>290</v>
      </c>
      <c r="D55" s="275" t="s">
        <v>292</v>
      </c>
      <c r="E55" s="275" t="s">
        <v>974</v>
      </c>
      <c r="F55" s="275" t="s">
        <v>289</v>
      </c>
      <c r="G55" s="275" t="s">
        <v>975</v>
      </c>
      <c r="H55" s="275" t="s">
        <v>162</v>
      </c>
      <c r="I55" s="184" t="s">
        <v>582</v>
      </c>
      <c r="J55" s="114">
        <v>-32285.67</v>
      </c>
      <c r="K55" s="114">
        <v>0</v>
      </c>
      <c r="L55" s="114">
        <v>0</v>
      </c>
    </row>
    <row r="56" spans="1:12" ht="83.25" customHeight="1" x14ac:dyDescent="0.3">
      <c r="A56" s="223">
        <v>2</v>
      </c>
      <c r="B56" s="275" t="s">
        <v>86</v>
      </c>
      <c r="C56" s="275" t="s">
        <v>290</v>
      </c>
      <c r="D56" s="275" t="s">
        <v>292</v>
      </c>
      <c r="E56" s="275" t="s">
        <v>974</v>
      </c>
      <c r="F56" s="275" t="s">
        <v>289</v>
      </c>
      <c r="G56" s="275" t="s">
        <v>975</v>
      </c>
      <c r="H56" s="276" t="s">
        <v>586</v>
      </c>
      <c r="I56" s="274" t="s">
        <v>585</v>
      </c>
      <c r="J56" s="114">
        <v>32285.67</v>
      </c>
      <c r="K56" s="114">
        <v>0</v>
      </c>
      <c r="L56" s="114">
        <v>0</v>
      </c>
    </row>
    <row r="57" spans="1:12" hidden="1" x14ac:dyDescent="0.3">
      <c r="A57" s="223"/>
      <c r="B57" s="199"/>
      <c r="C57" s="199"/>
      <c r="D57" s="199"/>
      <c r="E57" s="199"/>
      <c r="F57" s="199"/>
      <c r="G57" s="199"/>
      <c r="H57" s="225"/>
      <c r="I57" s="200"/>
      <c r="J57" s="114"/>
      <c r="K57" s="114"/>
      <c r="L57" s="114"/>
    </row>
    <row r="58" spans="1:12" ht="54.75" customHeight="1" x14ac:dyDescent="0.3">
      <c r="A58" s="223">
        <v>3</v>
      </c>
      <c r="B58" s="199" t="s">
        <v>93</v>
      </c>
      <c r="C58" s="199" t="s">
        <v>290</v>
      </c>
      <c r="D58" s="199" t="s">
        <v>296</v>
      </c>
      <c r="E58" s="199" t="s">
        <v>347</v>
      </c>
      <c r="F58" s="199" t="s">
        <v>289</v>
      </c>
      <c r="G58" s="199" t="s">
        <v>973</v>
      </c>
      <c r="H58" s="199" t="s">
        <v>586</v>
      </c>
      <c r="I58" s="274" t="s">
        <v>799</v>
      </c>
      <c r="J58" s="114">
        <v>-200000</v>
      </c>
      <c r="K58" s="114">
        <v>0</v>
      </c>
      <c r="L58" s="114">
        <v>0</v>
      </c>
    </row>
    <row r="59" spans="1:12" ht="78" x14ac:dyDescent="0.3">
      <c r="A59" s="221">
        <v>4</v>
      </c>
      <c r="B59" s="199" t="s">
        <v>93</v>
      </c>
      <c r="C59" s="199" t="s">
        <v>335</v>
      </c>
      <c r="D59" s="199" t="s">
        <v>296</v>
      </c>
      <c r="E59" s="199" t="s">
        <v>347</v>
      </c>
      <c r="F59" s="199" t="s">
        <v>289</v>
      </c>
      <c r="G59" s="199" t="s">
        <v>973</v>
      </c>
      <c r="H59" s="199" t="s">
        <v>162</v>
      </c>
      <c r="I59" s="186" t="s">
        <v>798</v>
      </c>
      <c r="J59" s="114">
        <v>200000</v>
      </c>
      <c r="K59" s="114">
        <v>0</v>
      </c>
      <c r="L59" s="114">
        <v>0</v>
      </c>
    </row>
    <row r="60" spans="1:12" s="1" customFormat="1" ht="31.2" x14ac:dyDescent="0.3">
      <c r="A60" s="206">
        <v>5</v>
      </c>
      <c r="B60" s="199" t="s">
        <v>86</v>
      </c>
      <c r="C60" s="199" t="s">
        <v>290</v>
      </c>
      <c r="D60" s="199" t="s">
        <v>335</v>
      </c>
      <c r="E60" s="199" t="s">
        <v>292</v>
      </c>
      <c r="F60" s="199" t="s">
        <v>318</v>
      </c>
      <c r="G60" s="199" t="s">
        <v>1018</v>
      </c>
      <c r="H60" s="224" t="s">
        <v>586</v>
      </c>
      <c r="I60" s="181" t="s">
        <v>588</v>
      </c>
      <c r="J60" s="114">
        <v>-400000</v>
      </c>
      <c r="K60" s="154">
        <v>0</v>
      </c>
      <c r="L60" s="154">
        <v>0</v>
      </c>
    </row>
    <row r="61" spans="1:12" s="1" customFormat="1" ht="46.8" x14ac:dyDescent="0.3">
      <c r="A61" s="206">
        <v>6</v>
      </c>
      <c r="B61" s="199" t="s">
        <v>86</v>
      </c>
      <c r="C61" s="199" t="s">
        <v>335</v>
      </c>
      <c r="D61" s="199" t="s">
        <v>294</v>
      </c>
      <c r="E61" s="199" t="s">
        <v>290</v>
      </c>
      <c r="F61" s="199" t="s">
        <v>1048</v>
      </c>
      <c r="G61" s="199" t="s">
        <v>1049</v>
      </c>
      <c r="H61" s="199" t="s">
        <v>586</v>
      </c>
      <c r="I61" s="181" t="s">
        <v>1050</v>
      </c>
      <c r="J61" s="114">
        <v>50</v>
      </c>
      <c r="K61" s="154">
        <v>0</v>
      </c>
      <c r="L61" s="154">
        <v>0</v>
      </c>
    </row>
    <row r="62" spans="1:12" ht="46.8" x14ac:dyDescent="0.3">
      <c r="A62" s="206">
        <v>7</v>
      </c>
      <c r="B62" s="199" t="s">
        <v>93</v>
      </c>
      <c r="C62" s="199" t="s">
        <v>290</v>
      </c>
      <c r="D62" s="199" t="s">
        <v>296</v>
      </c>
      <c r="E62" s="199" t="s">
        <v>347</v>
      </c>
      <c r="F62" s="199" t="s">
        <v>289</v>
      </c>
      <c r="G62" s="199" t="s">
        <v>1053</v>
      </c>
      <c r="H62" s="224" t="s">
        <v>162</v>
      </c>
      <c r="I62" s="181" t="s">
        <v>801</v>
      </c>
      <c r="J62" s="114">
        <v>104024</v>
      </c>
      <c r="K62" s="128">
        <v>0</v>
      </c>
      <c r="L62" s="128">
        <v>0</v>
      </c>
    </row>
    <row r="63" spans="1:12" ht="62.4" x14ac:dyDescent="0.3">
      <c r="A63" s="206">
        <v>8</v>
      </c>
      <c r="B63" s="199" t="s">
        <v>86</v>
      </c>
      <c r="C63" s="199" t="s">
        <v>339</v>
      </c>
      <c r="D63" s="199" t="s">
        <v>300</v>
      </c>
      <c r="E63" s="199" t="s">
        <v>304</v>
      </c>
      <c r="F63" s="199" t="s">
        <v>1009</v>
      </c>
      <c r="G63" s="199" t="s">
        <v>1064</v>
      </c>
      <c r="H63" s="199" t="s">
        <v>586</v>
      </c>
      <c r="I63" s="181" t="s">
        <v>520</v>
      </c>
      <c r="J63" s="114">
        <v>-2.9</v>
      </c>
      <c r="K63" s="128">
        <v>0</v>
      </c>
      <c r="L63" s="128">
        <v>0</v>
      </c>
    </row>
    <row r="64" spans="1:12" x14ac:dyDescent="0.3">
      <c r="A64" s="206"/>
      <c r="B64" s="199"/>
      <c r="C64" s="199"/>
      <c r="D64" s="199"/>
      <c r="E64" s="199"/>
      <c r="F64" s="199"/>
      <c r="G64" s="199"/>
      <c r="H64" s="199"/>
      <c r="I64" s="200"/>
      <c r="J64" s="114"/>
      <c r="K64" s="128"/>
      <c r="L64" s="128"/>
    </row>
    <row r="65" spans="1:12" x14ac:dyDescent="0.3">
      <c r="A65" s="226"/>
      <c r="B65" s="199"/>
      <c r="C65" s="199"/>
      <c r="D65" s="199"/>
      <c r="E65" s="199"/>
      <c r="F65" s="199"/>
      <c r="G65" s="199"/>
      <c r="H65" s="199"/>
      <c r="I65" s="200"/>
      <c r="J65" s="114"/>
      <c r="K65" s="128"/>
      <c r="L65" s="128"/>
    </row>
    <row r="66" spans="1:12" x14ac:dyDescent="0.3">
      <c r="A66" s="122"/>
      <c r="B66" s="199"/>
      <c r="C66" s="199"/>
      <c r="D66" s="199"/>
      <c r="E66" s="199"/>
      <c r="F66" s="199"/>
      <c r="G66" s="199"/>
      <c r="H66" s="199"/>
      <c r="I66" s="200"/>
      <c r="J66" s="114"/>
      <c r="K66" s="128"/>
      <c r="L66" s="128"/>
    </row>
    <row r="67" spans="1:12" x14ac:dyDescent="0.3">
      <c r="A67" s="122"/>
      <c r="B67" s="199"/>
      <c r="C67" s="199"/>
      <c r="D67" s="199"/>
      <c r="E67" s="199"/>
      <c r="F67" s="199"/>
      <c r="G67" s="199"/>
      <c r="H67" s="199"/>
      <c r="I67" s="200"/>
      <c r="J67" s="114"/>
      <c r="K67" s="128"/>
      <c r="L67" s="128"/>
    </row>
    <row r="68" spans="1:12" s="1" customFormat="1" x14ac:dyDescent="0.3">
      <c r="A68" s="90"/>
      <c r="B68" s="199"/>
      <c r="C68" s="199"/>
      <c r="D68" s="199"/>
      <c r="E68" s="199"/>
      <c r="F68" s="199"/>
      <c r="G68" s="199"/>
      <c r="H68" s="199"/>
      <c r="I68" s="200"/>
      <c r="J68" s="114"/>
      <c r="K68" s="154"/>
      <c r="L68" s="154"/>
    </row>
    <row r="69" spans="1:12" s="1" customFormat="1" x14ac:dyDescent="0.3">
      <c r="A69" s="90"/>
      <c r="B69" s="199"/>
      <c r="C69" s="199"/>
      <c r="D69" s="199"/>
      <c r="E69" s="199"/>
      <c r="F69" s="199"/>
      <c r="G69" s="199"/>
      <c r="H69" s="199"/>
      <c r="I69" s="200"/>
      <c r="J69" s="114"/>
      <c r="K69" s="154"/>
      <c r="L69" s="154"/>
    </row>
    <row r="70" spans="1:12" s="1" customFormat="1" x14ac:dyDescent="0.3">
      <c r="A70" s="90"/>
      <c r="B70" s="199"/>
      <c r="C70" s="199"/>
      <c r="D70" s="199"/>
      <c r="E70" s="199"/>
      <c r="F70" s="199"/>
      <c r="G70" s="199"/>
      <c r="H70" s="199"/>
      <c r="I70" s="200"/>
      <c r="J70" s="114"/>
      <c r="K70" s="154"/>
      <c r="L70" s="154"/>
    </row>
    <row r="71" spans="1:12" s="1" customFormat="1" x14ac:dyDescent="0.3">
      <c r="A71" s="90"/>
      <c r="B71" s="1185" t="s">
        <v>945</v>
      </c>
      <c r="C71" s="1186"/>
      <c r="D71" s="1186"/>
      <c r="E71" s="1186"/>
      <c r="F71" s="1186"/>
      <c r="G71" s="1186"/>
      <c r="H71" s="1186"/>
      <c r="I71" s="1187"/>
      <c r="J71" s="116">
        <f>J72</f>
        <v>0</v>
      </c>
      <c r="K71" s="116">
        <f>K72</f>
        <v>0</v>
      </c>
      <c r="L71" s="116">
        <f>L72</f>
        <v>0</v>
      </c>
    </row>
    <row r="72" spans="1:12" s="1" customFormat="1" hidden="1" x14ac:dyDescent="0.3">
      <c r="A72" s="227"/>
      <c r="B72" s="228"/>
      <c r="C72" s="228"/>
      <c r="D72" s="228"/>
      <c r="E72" s="199"/>
      <c r="F72" s="199"/>
      <c r="G72" s="199"/>
      <c r="H72" s="199"/>
      <c r="I72" s="200"/>
      <c r="J72" s="114"/>
      <c r="K72" s="154"/>
      <c r="L72" s="154"/>
    </row>
    <row r="73" spans="1:12" s="1" customFormat="1" hidden="1" x14ac:dyDescent="0.3">
      <c r="A73" s="99"/>
      <c r="B73" s="142"/>
      <c r="C73" s="142"/>
      <c r="D73" s="142"/>
      <c r="E73" s="142"/>
      <c r="F73" s="142"/>
      <c r="G73" s="142"/>
      <c r="H73" s="113"/>
      <c r="I73" s="112"/>
      <c r="J73" s="114"/>
      <c r="K73" s="154"/>
      <c r="L73" s="154"/>
    </row>
    <row r="74" spans="1:12" s="1" customFormat="1" x14ac:dyDescent="0.3">
      <c r="A74" s="229"/>
      <c r="B74" s="1188" t="s">
        <v>946</v>
      </c>
      <c r="C74" s="1189"/>
      <c r="D74" s="1189"/>
      <c r="E74" s="1189"/>
      <c r="F74" s="1189"/>
      <c r="G74" s="1189"/>
      <c r="H74" s="1189"/>
      <c r="I74" s="1190"/>
      <c r="J74" s="222">
        <f>SUM(J76:J93)</f>
        <v>-667000</v>
      </c>
      <c r="K74" s="222">
        <f>SUM(K76:K93)</f>
        <v>1000000</v>
      </c>
      <c r="L74" s="222">
        <f>SUM(L76:L93)</f>
        <v>1000000</v>
      </c>
    </row>
    <row r="75" spans="1:12" s="1" customFormat="1" x14ac:dyDescent="0.3">
      <c r="A75" s="229"/>
      <c r="B75" s="301"/>
      <c r="C75" s="260"/>
      <c r="D75" s="260"/>
      <c r="E75" s="260"/>
      <c r="F75" s="260"/>
      <c r="G75" s="260"/>
      <c r="H75" s="260"/>
      <c r="I75" s="260"/>
      <c r="J75" s="116"/>
      <c r="K75" s="116"/>
      <c r="L75" s="116"/>
    </row>
    <row r="76" spans="1:12" s="1" customFormat="1" ht="46.8" x14ac:dyDescent="0.3">
      <c r="A76" s="230">
        <v>9</v>
      </c>
      <c r="B76" s="297" t="s">
        <v>86</v>
      </c>
      <c r="C76" s="297" t="s">
        <v>335</v>
      </c>
      <c r="D76" s="297" t="s">
        <v>304</v>
      </c>
      <c r="E76" s="297" t="s">
        <v>298</v>
      </c>
      <c r="F76" s="297" t="s">
        <v>289</v>
      </c>
      <c r="G76" s="298" t="s">
        <v>999</v>
      </c>
      <c r="H76" s="297" t="s">
        <v>586</v>
      </c>
      <c r="I76" s="299" t="s">
        <v>1000</v>
      </c>
      <c r="J76" s="234">
        <v>-100000</v>
      </c>
      <c r="K76" s="300">
        <v>-100000</v>
      </c>
      <c r="L76" s="300">
        <v>-100000</v>
      </c>
    </row>
    <row r="77" spans="1:12" s="1" customFormat="1" ht="46.8" x14ac:dyDescent="0.3">
      <c r="A77" s="230">
        <v>10</v>
      </c>
      <c r="B77" s="228" t="s">
        <v>86</v>
      </c>
      <c r="C77" s="228" t="s">
        <v>335</v>
      </c>
      <c r="D77" s="228" t="s">
        <v>304</v>
      </c>
      <c r="E77" s="228" t="s">
        <v>298</v>
      </c>
      <c r="F77" s="228" t="s">
        <v>289</v>
      </c>
      <c r="G77" s="199" t="s">
        <v>999</v>
      </c>
      <c r="H77" s="228" t="s">
        <v>528</v>
      </c>
      <c r="I77" s="293" t="s">
        <v>1000</v>
      </c>
      <c r="J77" s="114">
        <v>100000</v>
      </c>
      <c r="K77" s="154">
        <v>100000</v>
      </c>
      <c r="L77" s="154">
        <v>100000</v>
      </c>
    </row>
    <row r="78" spans="1:12" s="1" customFormat="1" ht="31.2" x14ac:dyDescent="0.3">
      <c r="A78" s="230">
        <v>11</v>
      </c>
      <c r="B78" s="199" t="s">
        <v>86</v>
      </c>
      <c r="C78" s="199" t="s">
        <v>335</v>
      </c>
      <c r="D78" s="199" t="s">
        <v>298</v>
      </c>
      <c r="E78" s="199" t="s">
        <v>306</v>
      </c>
      <c r="F78" s="199" t="s">
        <v>289</v>
      </c>
      <c r="G78" s="199" t="s">
        <v>993</v>
      </c>
      <c r="H78" s="199" t="s">
        <v>586</v>
      </c>
      <c r="I78" s="181" t="s">
        <v>994</v>
      </c>
      <c r="J78" s="114">
        <v>-266637.68</v>
      </c>
      <c r="K78" s="114">
        <v>-266637.68</v>
      </c>
      <c r="L78" s="114">
        <v>-266637.68</v>
      </c>
    </row>
    <row r="79" spans="1:12" s="1" customFormat="1" ht="31.2" x14ac:dyDescent="0.3">
      <c r="A79" s="230">
        <v>12</v>
      </c>
      <c r="B79" s="199" t="s">
        <v>86</v>
      </c>
      <c r="C79" s="199" t="s">
        <v>335</v>
      </c>
      <c r="D79" s="199" t="s">
        <v>298</v>
      </c>
      <c r="E79" s="199" t="s">
        <v>306</v>
      </c>
      <c r="F79" s="199" t="s">
        <v>289</v>
      </c>
      <c r="G79" s="199" t="s">
        <v>993</v>
      </c>
      <c r="H79" s="199" t="s">
        <v>528</v>
      </c>
      <c r="I79" s="181" t="s">
        <v>994</v>
      </c>
      <c r="J79" s="114">
        <v>266637.68</v>
      </c>
      <c r="K79" s="114">
        <v>266637.68</v>
      </c>
      <c r="L79" s="114">
        <v>266637.68</v>
      </c>
    </row>
    <row r="80" spans="1:12" s="1" customFormat="1" ht="62.4" x14ac:dyDescent="0.3">
      <c r="A80" s="230">
        <v>13</v>
      </c>
      <c r="B80" s="228" t="s">
        <v>86</v>
      </c>
      <c r="C80" s="228" t="s">
        <v>335</v>
      </c>
      <c r="D80" s="228" t="s">
        <v>304</v>
      </c>
      <c r="E80" s="228" t="s">
        <v>298</v>
      </c>
      <c r="F80" s="228" t="s">
        <v>289</v>
      </c>
      <c r="G80" s="199" t="s">
        <v>1001</v>
      </c>
      <c r="H80" s="228" t="s">
        <v>586</v>
      </c>
      <c r="I80" s="181" t="s">
        <v>687</v>
      </c>
      <c r="J80" s="114">
        <v>-50000</v>
      </c>
      <c r="K80" s="154">
        <v>-50000</v>
      </c>
      <c r="L80" s="154">
        <v>-50000</v>
      </c>
    </row>
    <row r="81" spans="1:12" s="1" customFormat="1" ht="62.4" x14ac:dyDescent="0.3">
      <c r="A81" s="230">
        <v>14</v>
      </c>
      <c r="B81" s="228" t="s">
        <v>86</v>
      </c>
      <c r="C81" s="228" t="s">
        <v>335</v>
      </c>
      <c r="D81" s="228" t="s">
        <v>304</v>
      </c>
      <c r="E81" s="228" t="s">
        <v>298</v>
      </c>
      <c r="F81" s="228" t="s">
        <v>289</v>
      </c>
      <c r="G81" s="228" t="s">
        <v>1001</v>
      </c>
      <c r="H81" s="231">
        <v>800</v>
      </c>
      <c r="I81" s="181" t="s">
        <v>687</v>
      </c>
      <c r="J81" s="114">
        <v>50000</v>
      </c>
      <c r="K81" s="154">
        <v>50000</v>
      </c>
      <c r="L81" s="154">
        <v>50000</v>
      </c>
    </row>
    <row r="82" spans="1:12" s="1" customFormat="1" ht="31.2" x14ac:dyDescent="0.3">
      <c r="A82" s="230">
        <v>15</v>
      </c>
      <c r="B82" s="228" t="s">
        <v>86</v>
      </c>
      <c r="C82" s="228" t="s">
        <v>335</v>
      </c>
      <c r="D82" s="228" t="s">
        <v>296</v>
      </c>
      <c r="E82" s="228" t="s">
        <v>335</v>
      </c>
      <c r="F82" s="228" t="s">
        <v>289</v>
      </c>
      <c r="G82" s="199" t="s">
        <v>1006</v>
      </c>
      <c r="H82" s="228" t="s">
        <v>586</v>
      </c>
      <c r="I82" s="295" t="s">
        <v>1007</v>
      </c>
      <c r="J82" s="114">
        <v>433000</v>
      </c>
      <c r="K82" s="154">
        <v>0</v>
      </c>
      <c r="L82" s="154">
        <v>0</v>
      </c>
    </row>
    <row r="83" spans="1:12" s="1" customFormat="1" ht="31.2" x14ac:dyDescent="0.3">
      <c r="A83" s="230">
        <v>16</v>
      </c>
      <c r="B83" s="228" t="s">
        <v>86</v>
      </c>
      <c r="C83" s="228" t="s">
        <v>335</v>
      </c>
      <c r="D83" s="228" t="s">
        <v>296</v>
      </c>
      <c r="E83" s="228" t="s">
        <v>335</v>
      </c>
      <c r="F83" s="228" t="s">
        <v>289</v>
      </c>
      <c r="G83" s="199" t="s">
        <v>1008</v>
      </c>
      <c r="H83" s="228" t="s">
        <v>586</v>
      </c>
      <c r="I83" s="186" t="s">
        <v>650</v>
      </c>
      <c r="J83" s="114">
        <v>-100000</v>
      </c>
      <c r="K83" s="154">
        <v>0</v>
      </c>
      <c r="L83" s="154">
        <v>0</v>
      </c>
    </row>
    <row r="84" spans="1:12" s="1" customFormat="1" ht="31.2" x14ac:dyDescent="0.3">
      <c r="A84" s="230">
        <v>17</v>
      </c>
      <c r="B84" s="228" t="s">
        <v>86</v>
      </c>
      <c r="C84" s="228" t="s">
        <v>335</v>
      </c>
      <c r="D84" s="228" t="s">
        <v>298</v>
      </c>
      <c r="E84" s="228" t="s">
        <v>306</v>
      </c>
      <c r="F84" s="228" t="s">
        <v>1009</v>
      </c>
      <c r="G84" s="199" t="s">
        <v>1010</v>
      </c>
      <c r="H84" s="228" t="s">
        <v>586</v>
      </c>
      <c r="I84" s="181" t="s">
        <v>678</v>
      </c>
      <c r="J84" s="114">
        <v>-2000000</v>
      </c>
      <c r="K84" s="154">
        <v>0</v>
      </c>
      <c r="L84" s="154">
        <v>0</v>
      </c>
    </row>
    <row r="85" spans="1:12" s="1" customFormat="1" ht="31.2" x14ac:dyDescent="0.3">
      <c r="A85" s="227">
        <v>18</v>
      </c>
      <c r="B85" s="228" t="s">
        <v>86</v>
      </c>
      <c r="C85" s="228" t="s">
        <v>335</v>
      </c>
      <c r="D85" s="228" t="s">
        <v>298</v>
      </c>
      <c r="E85" s="228" t="s">
        <v>306</v>
      </c>
      <c r="F85" s="228" t="s">
        <v>1009</v>
      </c>
      <c r="G85" s="228" t="s">
        <v>1029</v>
      </c>
      <c r="H85" s="231">
        <v>200</v>
      </c>
      <c r="I85" s="181" t="s">
        <v>675</v>
      </c>
      <c r="J85" s="114">
        <v>1000000</v>
      </c>
      <c r="K85" s="154">
        <v>1000000</v>
      </c>
      <c r="L85" s="154">
        <v>1000000</v>
      </c>
    </row>
    <row r="86" spans="1:12" s="1" customFormat="1" hidden="1" x14ac:dyDescent="0.3">
      <c r="A86" s="227"/>
      <c r="B86" s="228"/>
      <c r="C86" s="228"/>
      <c r="D86" s="228"/>
      <c r="E86" s="228"/>
      <c r="F86" s="228"/>
      <c r="G86" s="228"/>
      <c r="H86" s="231"/>
      <c r="I86" s="232"/>
      <c r="J86" s="114"/>
      <c r="K86" s="154"/>
      <c r="L86" s="154"/>
    </row>
    <row r="87" spans="1:12" s="1" customFormat="1" hidden="1" x14ac:dyDescent="0.3">
      <c r="A87" s="233"/>
      <c r="B87" s="228"/>
      <c r="C87" s="228"/>
      <c r="D87" s="228"/>
      <c r="E87" s="228"/>
      <c r="F87" s="228"/>
      <c r="G87" s="228"/>
      <c r="H87" s="231"/>
      <c r="I87" s="232"/>
      <c r="J87" s="234"/>
      <c r="K87" s="154"/>
      <c r="L87" s="154"/>
    </row>
    <row r="88" spans="1:12" s="1" customFormat="1" hidden="1" x14ac:dyDescent="0.3">
      <c r="A88" s="227"/>
      <c r="B88" s="228"/>
      <c r="C88" s="228"/>
      <c r="D88" s="228"/>
      <c r="E88" s="228"/>
      <c r="F88" s="228"/>
      <c r="G88" s="228"/>
      <c r="H88" s="231"/>
      <c r="I88" s="232"/>
      <c r="J88" s="114"/>
      <c r="K88" s="154"/>
      <c r="L88" s="154"/>
    </row>
    <row r="89" spans="1:12" s="1" customFormat="1" hidden="1" x14ac:dyDescent="0.3">
      <c r="A89" s="227"/>
      <c r="B89" s="228"/>
      <c r="C89" s="228"/>
      <c r="D89" s="228"/>
      <c r="E89" s="228"/>
      <c r="F89" s="228"/>
      <c r="G89" s="228"/>
      <c r="H89" s="231"/>
      <c r="I89" s="232"/>
      <c r="J89" s="114"/>
      <c r="K89" s="154"/>
      <c r="L89" s="154"/>
    </row>
    <row r="90" spans="1:12" s="1" customFormat="1" hidden="1" x14ac:dyDescent="0.3">
      <c r="A90" s="227"/>
      <c r="B90" s="228"/>
      <c r="C90" s="228"/>
      <c r="D90" s="228"/>
      <c r="E90" s="228"/>
      <c r="F90" s="228"/>
      <c r="G90" s="228"/>
      <c r="H90" s="231"/>
      <c r="I90" s="232"/>
      <c r="J90" s="114"/>
      <c r="K90" s="154"/>
      <c r="L90" s="154"/>
    </row>
    <row r="91" spans="1:12" s="1" customFormat="1" hidden="1" x14ac:dyDescent="0.3">
      <c r="A91" s="230"/>
      <c r="B91" s="235"/>
      <c r="C91" s="235"/>
      <c r="D91" s="235"/>
      <c r="E91" s="235"/>
      <c r="F91" s="235"/>
      <c r="G91" s="235"/>
      <c r="H91" s="235"/>
      <c r="I91" s="232"/>
      <c r="J91" s="114"/>
      <c r="K91" s="154"/>
      <c r="L91" s="154"/>
    </row>
    <row r="92" spans="1:12" s="1" customFormat="1" hidden="1" x14ac:dyDescent="0.3">
      <c r="A92" s="230"/>
      <c r="B92" s="228"/>
      <c r="C92" s="228"/>
      <c r="D92" s="228"/>
      <c r="E92" s="228"/>
      <c r="F92" s="228"/>
      <c r="G92" s="228"/>
      <c r="H92" s="228"/>
      <c r="I92" s="232"/>
      <c r="J92" s="114"/>
      <c r="K92" s="154"/>
      <c r="L92" s="154"/>
    </row>
    <row r="93" spans="1:12" s="1" customFormat="1" hidden="1" x14ac:dyDescent="0.3">
      <c r="A93" s="236"/>
      <c r="B93" s="228"/>
      <c r="C93" s="228"/>
      <c r="D93" s="228"/>
      <c r="E93" s="228"/>
      <c r="F93" s="228"/>
      <c r="G93" s="228"/>
      <c r="H93" s="228"/>
      <c r="I93" s="200"/>
      <c r="J93" s="204"/>
      <c r="K93" s="114"/>
      <c r="L93" s="114"/>
    </row>
    <row r="94" spans="1:12" s="1" customFormat="1" hidden="1" x14ac:dyDescent="0.3">
      <c r="A94" s="236"/>
      <c r="B94" s="237"/>
      <c r="C94" s="238"/>
      <c r="D94" s="238"/>
      <c r="E94" s="238"/>
      <c r="F94" s="238"/>
      <c r="G94" s="238"/>
      <c r="H94" s="238"/>
      <c r="I94" s="239"/>
      <c r="J94" s="240"/>
      <c r="K94" s="241"/>
      <c r="L94" s="241"/>
    </row>
    <row r="95" spans="1:12" s="1" customFormat="1" x14ac:dyDescent="0.3">
      <c r="A95" s="229"/>
      <c r="B95" s="1191" t="s">
        <v>947</v>
      </c>
      <c r="C95" s="1192"/>
      <c r="D95" s="1192"/>
      <c r="E95" s="1192"/>
      <c r="F95" s="1192"/>
      <c r="G95" s="1192"/>
      <c r="H95" s="1192"/>
      <c r="I95" s="1193"/>
      <c r="J95" s="222">
        <f>J96+J97+J98+J99+J100+J101+J102+J103+J104+J105</f>
        <v>770000</v>
      </c>
      <c r="K95" s="222">
        <f>K96+K97+K98+K99+K100+K101+K102+K103+K104+K105</f>
        <v>0</v>
      </c>
      <c r="L95" s="222">
        <f>L96+L97+L98+L99+L100+L101+L102+L103+L104+L105</f>
        <v>0</v>
      </c>
    </row>
    <row r="96" spans="1:12" s="248" customFormat="1" ht="140.4" x14ac:dyDescent="0.3">
      <c r="A96" s="242">
        <v>19</v>
      </c>
      <c r="B96" s="243" t="s">
        <v>86</v>
      </c>
      <c r="C96" s="243" t="s">
        <v>294</v>
      </c>
      <c r="D96" s="243" t="s">
        <v>316</v>
      </c>
      <c r="E96" s="243" t="s">
        <v>294</v>
      </c>
      <c r="F96" s="243" t="s">
        <v>289</v>
      </c>
      <c r="G96" s="243" t="s">
        <v>1002</v>
      </c>
      <c r="H96" s="244">
        <v>200</v>
      </c>
      <c r="I96" s="296" t="s">
        <v>1005</v>
      </c>
      <c r="J96" s="114">
        <v>-97665700</v>
      </c>
      <c r="K96" s="247">
        <v>-102206170</v>
      </c>
      <c r="L96" s="294">
        <v>-107058000</v>
      </c>
    </row>
    <row r="97" spans="1:12" s="248" customFormat="1" ht="140.4" x14ac:dyDescent="0.3">
      <c r="A97" s="242">
        <v>20</v>
      </c>
      <c r="B97" s="199" t="s">
        <v>86</v>
      </c>
      <c r="C97" s="199" t="s">
        <v>294</v>
      </c>
      <c r="D97" s="199" t="s">
        <v>316</v>
      </c>
      <c r="E97" s="199" t="s">
        <v>294</v>
      </c>
      <c r="F97" s="199" t="s">
        <v>289</v>
      </c>
      <c r="G97" s="199" t="s">
        <v>1002</v>
      </c>
      <c r="H97" s="225">
        <v>800</v>
      </c>
      <c r="I97" s="296" t="s">
        <v>1004</v>
      </c>
      <c r="J97" s="114">
        <v>97665700</v>
      </c>
      <c r="K97" s="247">
        <v>102206170</v>
      </c>
      <c r="L97" s="247">
        <v>107058000</v>
      </c>
    </row>
    <row r="98" spans="1:12" s="248" customFormat="1" x14ac:dyDescent="0.3">
      <c r="A98" s="242">
        <v>21</v>
      </c>
      <c r="B98" s="199" t="s">
        <v>86</v>
      </c>
      <c r="C98" s="199" t="s">
        <v>294</v>
      </c>
      <c r="D98" s="199" t="s">
        <v>292</v>
      </c>
      <c r="E98" s="199" t="s">
        <v>308</v>
      </c>
      <c r="F98" s="199" t="s">
        <v>289</v>
      </c>
      <c r="G98" s="199" t="s">
        <v>1011</v>
      </c>
      <c r="H98" s="225">
        <v>200</v>
      </c>
      <c r="I98" s="181" t="s">
        <v>709</v>
      </c>
      <c r="J98" s="114">
        <v>-100000</v>
      </c>
      <c r="K98" s="247">
        <v>0</v>
      </c>
      <c r="L98" s="247">
        <v>0</v>
      </c>
    </row>
    <row r="99" spans="1:12" s="248" customFormat="1" x14ac:dyDescent="0.3">
      <c r="A99" s="242">
        <v>22</v>
      </c>
      <c r="B99" s="199" t="s">
        <v>86</v>
      </c>
      <c r="C99" s="199" t="s">
        <v>294</v>
      </c>
      <c r="D99" s="199" t="s">
        <v>292</v>
      </c>
      <c r="E99" s="199" t="s">
        <v>308</v>
      </c>
      <c r="F99" s="199" t="s">
        <v>289</v>
      </c>
      <c r="G99" s="199" t="s">
        <v>1012</v>
      </c>
      <c r="H99" s="225">
        <v>200</v>
      </c>
      <c r="I99" s="181" t="s">
        <v>712</v>
      </c>
      <c r="J99" s="114">
        <v>-150000</v>
      </c>
      <c r="K99" s="247">
        <v>0</v>
      </c>
      <c r="L99" s="247">
        <v>0</v>
      </c>
    </row>
    <row r="100" spans="1:12" s="248" customFormat="1" x14ac:dyDescent="0.3">
      <c r="A100" s="242">
        <v>23</v>
      </c>
      <c r="B100" s="199" t="s">
        <v>86</v>
      </c>
      <c r="C100" s="199" t="s">
        <v>294</v>
      </c>
      <c r="D100" s="199" t="s">
        <v>292</v>
      </c>
      <c r="E100" s="199" t="s">
        <v>308</v>
      </c>
      <c r="F100" s="199" t="s">
        <v>289</v>
      </c>
      <c r="G100" s="199" t="s">
        <v>1013</v>
      </c>
      <c r="H100" s="225">
        <v>200</v>
      </c>
      <c r="I100" s="181" t="s">
        <v>715</v>
      </c>
      <c r="J100" s="114">
        <v>-40000</v>
      </c>
      <c r="K100" s="247">
        <v>0</v>
      </c>
      <c r="L100" s="247">
        <v>0</v>
      </c>
    </row>
    <row r="101" spans="1:12" s="248" customFormat="1" ht="31.2" x14ac:dyDescent="0.3">
      <c r="A101" s="242">
        <v>24</v>
      </c>
      <c r="B101" s="199" t="s">
        <v>86</v>
      </c>
      <c r="C101" s="199" t="s">
        <v>294</v>
      </c>
      <c r="D101" s="199" t="s">
        <v>292</v>
      </c>
      <c r="E101" s="199" t="s">
        <v>308</v>
      </c>
      <c r="F101" s="199" t="s">
        <v>289</v>
      </c>
      <c r="G101" s="199" t="s">
        <v>1015</v>
      </c>
      <c r="H101" s="225"/>
      <c r="I101" s="181" t="s">
        <v>721</v>
      </c>
      <c r="J101" s="114">
        <v>-100000</v>
      </c>
      <c r="K101" s="247">
        <v>0</v>
      </c>
      <c r="L101" s="247">
        <v>0</v>
      </c>
    </row>
    <row r="102" spans="1:12" s="248" customFormat="1" x14ac:dyDescent="0.3">
      <c r="A102" s="242">
        <v>25</v>
      </c>
      <c r="B102" s="199" t="s">
        <v>86</v>
      </c>
      <c r="C102" s="199" t="s">
        <v>294</v>
      </c>
      <c r="D102" s="199" t="s">
        <v>292</v>
      </c>
      <c r="E102" s="199" t="s">
        <v>335</v>
      </c>
      <c r="F102" s="199" t="s">
        <v>289</v>
      </c>
      <c r="G102" s="199" t="s">
        <v>1025</v>
      </c>
      <c r="H102" s="225">
        <v>200</v>
      </c>
      <c r="I102" s="295" t="s">
        <v>1026</v>
      </c>
      <c r="J102" s="114">
        <v>100000</v>
      </c>
      <c r="K102" s="247">
        <v>0</v>
      </c>
      <c r="L102" s="247">
        <v>0</v>
      </c>
    </row>
    <row r="103" spans="1:12" s="248" customFormat="1" ht="31.2" x14ac:dyDescent="0.3">
      <c r="A103" s="242">
        <v>26</v>
      </c>
      <c r="B103" s="199" t="s">
        <v>86</v>
      </c>
      <c r="C103" s="199" t="s">
        <v>294</v>
      </c>
      <c r="D103" s="199" t="s">
        <v>292</v>
      </c>
      <c r="E103" s="199" t="s">
        <v>335</v>
      </c>
      <c r="F103" s="199" t="s">
        <v>289</v>
      </c>
      <c r="G103" s="199" t="s">
        <v>1023</v>
      </c>
      <c r="H103" s="225">
        <v>200</v>
      </c>
      <c r="I103" s="181" t="s">
        <v>703</v>
      </c>
      <c r="J103" s="114">
        <v>800000</v>
      </c>
      <c r="K103" s="247">
        <v>0</v>
      </c>
      <c r="L103" s="247">
        <v>0</v>
      </c>
    </row>
    <row r="104" spans="1:12" s="248" customFormat="1" x14ac:dyDescent="0.3">
      <c r="A104" s="242">
        <v>27</v>
      </c>
      <c r="B104" s="199" t="s">
        <v>86</v>
      </c>
      <c r="C104" s="199" t="s">
        <v>294</v>
      </c>
      <c r="D104" s="199" t="s">
        <v>292</v>
      </c>
      <c r="E104" s="199" t="s">
        <v>335</v>
      </c>
      <c r="F104" s="199" t="s">
        <v>289</v>
      </c>
      <c r="G104" s="199" t="s">
        <v>1024</v>
      </c>
      <c r="H104" s="225">
        <v>200</v>
      </c>
      <c r="I104" s="181" t="s">
        <v>706</v>
      </c>
      <c r="J104" s="114">
        <v>300000</v>
      </c>
      <c r="K104" s="247">
        <v>0</v>
      </c>
      <c r="L104" s="247">
        <v>0</v>
      </c>
    </row>
    <row r="105" spans="1:12" s="248" customFormat="1" x14ac:dyDescent="0.3">
      <c r="A105" s="249">
        <v>28</v>
      </c>
      <c r="B105" s="199" t="s">
        <v>86</v>
      </c>
      <c r="C105" s="199" t="s">
        <v>294</v>
      </c>
      <c r="D105" s="199" t="s">
        <v>292</v>
      </c>
      <c r="E105" s="199" t="s">
        <v>308</v>
      </c>
      <c r="F105" s="199" t="s">
        <v>289</v>
      </c>
      <c r="G105" s="199" t="s">
        <v>1014</v>
      </c>
      <c r="H105" s="225">
        <v>200</v>
      </c>
      <c r="I105" s="181" t="s">
        <v>718</v>
      </c>
      <c r="J105" s="114">
        <v>-40000</v>
      </c>
      <c r="K105" s="247">
        <v>0</v>
      </c>
      <c r="L105" s="247">
        <v>0</v>
      </c>
    </row>
    <row r="106" spans="1:12" hidden="1" x14ac:dyDescent="0.3">
      <c r="A106" s="206"/>
      <c r="B106" s="199"/>
      <c r="C106" s="199"/>
      <c r="D106" s="199"/>
      <c r="E106" s="199"/>
      <c r="F106" s="199"/>
      <c r="G106" s="199"/>
      <c r="H106" s="225"/>
      <c r="I106" s="200"/>
      <c r="J106" s="114"/>
      <c r="K106" s="128"/>
      <c r="L106" s="128"/>
    </row>
    <row r="107" spans="1:12" hidden="1" x14ac:dyDescent="0.3">
      <c r="A107" s="206"/>
      <c r="B107" s="199"/>
      <c r="C107" s="199"/>
      <c r="D107" s="199"/>
      <c r="E107" s="199"/>
      <c r="F107" s="199"/>
      <c r="G107" s="250"/>
      <c r="H107" s="225"/>
      <c r="I107" s="200"/>
      <c r="J107" s="114"/>
      <c r="K107" s="128"/>
      <c r="L107" s="128"/>
    </row>
    <row r="108" spans="1:12" hidden="1" x14ac:dyDescent="0.3">
      <c r="A108" s="126"/>
      <c r="B108" s="199"/>
      <c r="C108" s="199"/>
      <c r="D108" s="199"/>
      <c r="E108" s="199"/>
      <c r="F108" s="199"/>
      <c r="G108" s="225"/>
      <c r="H108" s="225"/>
      <c r="I108" s="200"/>
      <c r="J108" s="114"/>
      <c r="K108" s="128"/>
      <c r="L108" s="128"/>
    </row>
    <row r="109" spans="1:12" x14ac:dyDescent="0.3">
      <c r="A109" s="126"/>
      <c r="B109" s="1185" t="s">
        <v>948</v>
      </c>
      <c r="C109" s="1186"/>
      <c r="D109" s="1186"/>
      <c r="E109" s="1186"/>
      <c r="F109" s="1186"/>
      <c r="G109" s="1186"/>
      <c r="H109" s="1186"/>
      <c r="I109" s="1187"/>
      <c r="J109" s="116">
        <f>J110</f>
        <v>0</v>
      </c>
      <c r="K109" s="116">
        <f>K110</f>
        <v>0</v>
      </c>
      <c r="L109" s="116">
        <f>L110</f>
        <v>0</v>
      </c>
    </row>
    <row r="110" spans="1:12" hidden="1" x14ac:dyDescent="0.3">
      <c r="A110" s="206"/>
      <c r="B110" s="199"/>
      <c r="C110" s="199"/>
      <c r="D110" s="199"/>
      <c r="E110" s="199"/>
      <c r="F110" s="199"/>
      <c r="G110" s="199"/>
      <c r="H110" s="225"/>
      <c r="I110" s="200"/>
      <c r="J110" s="204"/>
      <c r="K110" s="247"/>
      <c r="L110" s="247"/>
    </row>
    <row r="111" spans="1:12" hidden="1" x14ac:dyDescent="0.3">
      <c r="A111" s="126"/>
      <c r="B111" s="251"/>
      <c r="C111" s="99"/>
      <c r="D111" s="99"/>
      <c r="E111" s="99"/>
      <c r="F111" s="99"/>
      <c r="G111" s="99"/>
      <c r="H111" s="147"/>
      <c r="I111" s="99"/>
      <c r="J111" s="114"/>
      <c r="K111" s="128"/>
      <c r="L111" s="128"/>
    </row>
    <row r="112" spans="1:12" x14ac:dyDescent="0.3">
      <c r="A112" s="221"/>
      <c r="B112" s="1194" t="s">
        <v>949</v>
      </c>
      <c r="C112" s="1194"/>
      <c r="D112" s="1194"/>
      <c r="E112" s="1194"/>
      <c r="F112" s="1194"/>
      <c r="G112" s="1194"/>
      <c r="H112" s="1194"/>
      <c r="I112" s="1194"/>
      <c r="J112" s="222">
        <f>SUM(J113:J151)</f>
        <v>1947105.0799999998</v>
      </c>
      <c r="K112" s="222">
        <f>SUM(K114:K151)</f>
        <v>0</v>
      </c>
      <c r="L112" s="222">
        <f>SUM(L114:L151)</f>
        <v>0</v>
      </c>
    </row>
    <row r="113" spans="1:13" ht="31.2" x14ac:dyDescent="0.3">
      <c r="A113" s="198">
        <v>29</v>
      </c>
      <c r="B113" s="199" t="s">
        <v>86</v>
      </c>
      <c r="C113" s="199" t="s">
        <v>339</v>
      </c>
      <c r="D113" s="199" t="s">
        <v>339</v>
      </c>
      <c r="E113" s="199" t="s">
        <v>296</v>
      </c>
      <c r="F113" s="199" t="s">
        <v>289</v>
      </c>
      <c r="G113" s="199" t="s">
        <v>1020</v>
      </c>
      <c r="H113" s="199" t="s">
        <v>586</v>
      </c>
      <c r="I113" s="181" t="s">
        <v>728</v>
      </c>
      <c r="J113" s="114">
        <v>-53000</v>
      </c>
      <c r="K113" s="240">
        <v>0</v>
      </c>
      <c r="L113" s="240">
        <v>0</v>
      </c>
    </row>
    <row r="114" spans="1:13" x14ac:dyDescent="0.3">
      <c r="A114" s="198">
        <v>30</v>
      </c>
      <c r="B114" s="199" t="s">
        <v>86</v>
      </c>
      <c r="C114" s="199" t="s">
        <v>339</v>
      </c>
      <c r="D114" s="199" t="s">
        <v>316</v>
      </c>
      <c r="E114" s="199" t="s">
        <v>304</v>
      </c>
      <c r="F114" s="199" t="s">
        <v>289</v>
      </c>
      <c r="G114" s="199" t="s">
        <v>1022</v>
      </c>
      <c r="H114" s="199" t="s">
        <v>586</v>
      </c>
      <c r="I114" s="181" t="s">
        <v>725</v>
      </c>
      <c r="J114" s="114">
        <v>2000000</v>
      </c>
      <c r="K114" s="128">
        <v>0</v>
      </c>
      <c r="L114" s="128">
        <v>0</v>
      </c>
    </row>
    <row r="115" spans="1:13" ht="140.4" x14ac:dyDescent="0.3">
      <c r="A115" s="198">
        <v>31</v>
      </c>
      <c r="B115" s="199" t="s">
        <v>121</v>
      </c>
      <c r="C115" s="199" t="s">
        <v>339</v>
      </c>
      <c r="D115" s="199" t="s">
        <v>316</v>
      </c>
      <c r="E115" s="199" t="s">
        <v>304</v>
      </c>
      <c r="F115" s="199" t="s">
        <v>318</v>
      </c>
      <c r="G115" s="199" t="s">
        <v>1044</v>
      </c>
      <c r="H115" s="199" t="s">
        <v>613</v>
      </c>
      <c r="I115" s="187" t="s">
        <v>1038</v>
      </c>
      <c r="J115" s="114">
        <v>49.17</v>
      </c>
      <c r="K115" s="128">
        <v>0</v>
      </c>
      <c r="L115" s="128">
        <v>0</v>
      </c>
    </row>
    <row r="116" spans="1:13" ht="46.8" x14ac:dyDescent="0.3">
      <c r="A116" s="198">
        <v>32</v>
      </c>
      <c r="B116" s="199" t="s">
        <v>121</v>
      </c>
      <c r="C116" s="199" t="s">
        <v>347</v>
      </c>
      <c r="D116" s="199" t="s">
        <v>335</v>
      </c>
      <c r="E116" s="199" t="s">
        <v>316</v>
      </c>
      <c r="F116" s="199" t="s">
        <v>318</v>
      </c>
      <c r="G116" s="199" t="s">
        <v>1045</v>
      </c>
      <c r="H116" s="199" t="s">
        <v>764</v>
      </c>
      <c r="I116" s="186" t="s">
        <v>895</v>
      </c>
      <c r="J116" s="114">
        <v>32</v>
      </c>
      <c r="K116" s="128">
        <v>0</v>
      </c>
      <c r="L116" s="128">
        <v>0</v>
      </c>
    </row>
    <row r="117" spans="1:13" ht="109.2" x14ac:dyDescent="0.3">
      <c r="A117" s="198">
        <v>33</v>
      </c>
      <c r="B117" s="199" t="s">
        <v>121</v>
      </c>
      <c r="C117" s="199" t="s">
        <v>339</v>
      </c>
      <c r="D117" s="199" t="s">
        <v>290</v>
      </c>
      <c r="E117" s="199" t="s">
        <v>304</v>
      </c>
      <c r="F117" s="199" t="s">
        <v>318</v>
      </c>
      <c r="G117" s="199" t="s">
        <v>1046</v>
      </c>
      <c r="H117" s="199" t="s">
        <v>613</v>
      </c>
      <c r="I117" s="187" t="s">
        <v>1039</v>
      </c>
      <c r="J117" s="114">
        <v>11.22</v>
      </c>
      <c r="K117" s="128">
        <v>0</v>
      </c>
      <c r="L117" s="128">
        <v>0</v>
      </c>
    </row>
    <row r="118" spans="1:13" ht="46.8" x14ac:dyDescent="0.3">
      <c r="A118" s="198">
        <v>34</v>
      </c>
      <c r="B118" s="199" t="s">
        <v>121</v>
      </c>
      <c r="C118" s="199" t="s">
        <v>347</v>
      </c>
      <c r="D118" s="199" t="s">
        <v>335</v>
      </c>
      <c r="E118" s="199" t="s">
        <v>316</v>
      </c>
      <c r="F118" s="199" t="s">
        <v>318</v>
      </c>
      <c r="G118" s="199" t="s">
        <v>1047</v>
      </c>
      <c r="H118" s="199" t="s">
        <v>764</v>
      </c>
      <c r="I118" s="181" t="s">
        <v>1041</v>
      </c>
      <c r="J118" s="114">
        <v>2.73</v>
      </c>
      <c r="K118" s="128">
        <v>0</v>
      </c>
      <c r="L118" s="128">
        <v>0</v>
      </c>
    </row>
    <row r="119" spans="1:13" ht="46.8" x14ac:dyDescent="0.3">
      <c r="A119" s="198">
        <v>35</v>
      </c>
      <c r="B119" s="199" t="s">
        <v>121</v>
      </c>
      <c r="C119" s="199" t="s">
        <v>347</v>
      </c>
      <c r="D119" s="199" t="s">
        <v>335</v>
      </c>
      <c r="E119" s="199" t="s">
        <v>316</v>
      </c>
      <c r="F119" s="199" t="s">
        <v>318</v>
      </c>
      <c r="G119" s="199" t="s">
        <v>1051</v>
      </c>
      <c r="H119" s="199" t="s">
        <v>764</v>
      </c>
      <c r="I119" s="181" t="s">
        <v>896</v>
      </c>
      <c r="J119" s="114">
        <v>9.9600000000000009</v>
      </c>
      <c r="K119" s="128">
        <v>0</v>
      </c>
      <c r="L119" s="128">
        <v>0</v>
      </c>
    </row>
    <row r="120" spans="1:13" ht="16.2" thickBot="1" x14ac:dyDescent="0.35">
      <c r="A120" s="198">
        <v>36</v>
      </c>
      <c r="B120" s="199" t="s">
        <v>121</v>
      </c>
      <c r="C120" s="199" t="s">
        <v>339</v>
      </c>
      <c r="D120" s="199" t="s">
        <v>290</v>
      </c>
      <c r="E120" s="199" t="s">
        <v>304</v>
      </c>
      <c r="F120" s="199" t="s">
        <v>289</v>
      </c>
      <c r="G120" s="199" t="s">
        <v>1065</v>
      </c>
      <c r="H120" s="199" t="s">
        <v>613</v>
      </c>
      <c r="I120" s="181" t="s">
        <v>817</v>
      </c>
      <c r="J120" s="114">
        <v>-80000</v>
      </c>
      <c r="K120" s="128">
        <v>0</v>
      </c>
      <c r="L120" s="128"/>
    </row>
    <row r="121" spans="1:13" ht="63" thickBot="1" x14ac:dyDescent="0.35">
      <c r="A121" s="198">
        <v>37</v>
      </c>
      <c r="B121" s="199" t="s">
        <v>121</v>
      </c>
      <c r="C121" s="199" t="s">
        <v>339</v>
      </c>
      <c r="D121" s="199" t="s">
        <v>290</v>
      </c>
      <c r="E121" s="199" t="s">
        <v>974</v>
      </c>
      <c r="F121" s="199" t="s">
        <v>1009</v>
      </c>
      <c r="G121" s="199" t="s">
        <v>1066</v>
      </c>
      <c r="H121" s="199" t="s">
        <v>613</v>
      </c>
      <c r="I121" s="317" t="s">
        <v>1068</v>
      </c>
      <c r="J121" s="114">
        <v>80000</v>
      </c>
      <c r="K121" s="128">
        <v>0</v>
      </c>
      <c r="L121" s="128">
        <v>0</v>
      </c>
      <c r="M121" s="6" t="s">
        <v>1067</v>
      </c>
    </row>
    <row r="122" spans="1:13" hidden="1" x14ac:dyDescent="0.3">
      <c r="A122" s="198"/>
      <c r="B122" s="199"/>
      <c r="C122" s="199"/>
      <c r="D122" s="199"/>
      <c r="E122" s="199"/>
      <c r="F122" s="199"/>
      <c r="G122" s="199"/>
      <c r="H122" s="199"/>
      <c r="I122" s="200"/>
      <c r="J122" s="114"/>
      <c r="K122" s="114"/>
      <c r="L122" s="114"/>
    </row>
    <row r="123" spans="1:13" hidden="1" x14ac:dyDescent="0.3">
      <c r="A123" s="198"/>
      <c r="B123" s="199"/>
      <c r="C123" s="199"/>
      <c r="D123" s="199"/>
      <c r="E123" s="199"/>
      <c r="F123" s="199"/>
      <c r="G123" s="199"/>
      <c r="H123" s="199"/>
      <c r="I123" s="200"/>
      <c r="J123" s="114"/>
      <c r="K123" s="114"/>
      <c r="L123" s="114"/>
    </row>
    <row r="124" spans="1:13" hidden="1" x14ac:dyDescent="0.3">
      <c r="A124" s="198"/>
      <c r="B124" s="199"/>
      <c r="C124" s="199"/>
      <c r="D124" s="199"/>
      <c r="E124" s="199"/>
      <c r="F124" s="199"/>
      <c r="G124" s="199"/>
      <c r="H124" s="199"/>
      <c r="I124" s="200"/>
      <c r="J124" s="114"/>
      <c r="K124" s="114"/>
      <c r="L124" s="114"/>
    </row>
    <row r="125" spans="1:13" hidden="1" x14ac:dyDescent="0.3">
      <c r="A125" s="198"/>
      <c r="B125" s="199"/>
      <c r="C125" s="199"/>
      <c r="D125" s="199"/>
      <c r="E125" s="199"/>
      <c r="F125" s="199"/>
      <c r="G125" s="199"/>
      <c r="H125" s="199"/>
      <c r="I125" s="200"/>
      <c r="J125" s="114"/>
      <c r="K125" s="114"/>
      <c r="L125" s="114"/>
    </row>
    <row r="126" spans="1:13" hidden="1" x14ac:dyDescent="0.3">
      <c r="A126" s="198"/>
      <c r="B126" s="199"/>
      <c r="C126" s="199"/>
      <c r="D126" s="199"/>
      <c r="E126" s="199"/>
      <c r="F126" s="199"/>
      <c r="G126" s="199"/>
      <c r="H126" s="199"/>
      <c r="I126" s="200"/>
      <c r="J126" s="114"/>
      <c r="K126" s="128"/>
      <c r="L126" s="128"/>
    </row>
    <row r="127" spans="1:13" hidden="1" x14ac:dyDescent="0.3">
      <c r="A127" s="252"/>
      <c r="B127" s="199"/>
      <c r="C127" s="199"/>
      <c r="D127" s="199"/>
      <c r="E127" s="199"/>
      <c r="F127" s="199"/>
      <c r="G127" s="199"/>
      <c r="H127" s="199"/>
      <c r="I127" s="200"/>
      <c r="J127" s="114"/>
      <c r="K127" s="128"/>
      <c r="L127" s="128"/>
    </row>
    <row r="128" spans="1:13" hidden="1" x14ac:dyDescent="0.3">
      <c r="A128" s="206"/>
      <c r="B128" s="199"/>
      <c r="C128" s="199"/>
      <c r="D128" s="199"/>
      <c r="E128" s="199"/>
      <c r="F128" s="199"/>
      <c r="G128" s="199"/>
      <c r="H128" s="199"/>
      <c r="I128" s="200"/>
      <c r="J128" s="114"/>
      <c r="K128" s="128"/>
      <c r="L128" s="128"/>
    </row>
    <row r="129" spans="1:12" hidden="1" x14ac:dyDescent="0.3">
      <c r="A129" s="206"/>
      <c r="B129" s="199"/>
      <c r="C129" s="199"/>
      <c r="D129" s="199"/>
      <c r="E129" s="199"/>
      <c r="F129" s="199"/>
      <c r="G129" s="199"/>
      <c r="H129" s="199"/>
      <c r="I129" s="200"/>
      <c r="J129" s="114"/>
      <c r="K129" s="247"/>
      <c r="L129" s="247"/>
    </row>
    <row r="130" spans="1:12" hidden="1" x14ac:dyDescent="0.3">
      <c r="A130" s="206"/>
      <c r="B130" s="199"/>
      <c r="C130" s="199"/>
      <c r="D130" s="199"/>
      <c r="E130" s="199"/>
      <c r="F130" s="199"/>
      <c r="G130" s="199"/>
      <c r="H130" s="199"/>
      <c r="I130" s="253"/>
      <c r="J130" s="114"/>
      <c r="K130" s="128"/>
      <c r="L130" s="128"/>
    </row>
    <row r="131" spans="1:12" hidden="1" x14ac:dyDescent="0.3">
      <c r="A131" s="198"/>
      <c r="B131" s="199"/>
      <c r="C131" s="199"/>
      <c r="D131" s="199"/>
      <c r="E131" s="199"/>
      <c r="F131" s="199"/>
      <c r="G131" s="199"/>
      <c r="H131" s="199"/>
      <c r="I131" s="200"/>
      <c r="J131" s="114"/>
      <c r="K131" s="247"/>
      <c r="L131" s="247"/>
    </row>
    <row r="132" spans="1:12" hidden="1" x14ac:dyDescent="0.3">
      <c r="A132" s="198"/>
      <c r="B132" s="199"/>
      <c r="C132" s="199"/>
      <c r="D132" s="199"/>
      <c r="E132" s="199"/>
      <c r="F132" s="199"/>
      <c r="G132" s="199"/>
      <c r="H132" s="199"/>
      <c r="I132" s="200"/>
      <c r="J132" s="114"/>
      <c r="K132" s="247"/>
      <c r="L132" s="247"/>
    </row>
    <row r="133" spans="1:12" hidden="1" x14ac:dyDescent="0.3">
      <c r="A133" s="198"/>
      <c r="B133" s="199"/>
      <c r="C133" s="199"/>
      <c r="D133" s="199"/>
      <c r="E133" s="199"/>
      <c r="F133" s="199"/>
      <c r="G133" s="199"/>
      <c r="H133" s="225"/>
      <c r="I133" s="200"/>
      <c r="J133" s="114"/>
      <c r="K133" s="128"/>
      <c r="L133" s="128"/>
    </row>
    <row r="134" spans="1:12" hidden="1" x14ac:dyDescent="0.3">
      <c r="A134" s="198"/>
      <c r="B134" s="199"/>
      <c r="C134" s="199"/>
      <c r="D134" s="199"/>
      <c r="E134" s="199"/>
      <c r="F134" s="199"/>
      <c r="G134" s="199"/>
      <c r="H134" s="199"/>
      <c r="I134" s="200"/>
      <c r="J134" s="114"/>
      <c r="K134" s="128"/>
      <c r="L134" s="128"/>
    </row>
    <row r="135" spans="1:12" hidden="1" x14ac:dyDescent="0.3">
      <c r="A135" s="198"/>
      <c r="B135" s="199"/>
      <c r="C135" s="199"/>
      <c r="D135" s="199"/>
      <c r="E135" s="199"/>
      <c r="F135" s="199"/>
      <c r="G135" s="199"/>
      <c r="H135" s="225"/>
      <c r="I135" s="200"/>
      <c r="J135" s="114"/>
      <c r="K135" s="128"/>
      <c r="L135" s="128"/>
    </row>
    <row r="136" spans="1:12" hidden="1" x14ac:dyDescent="0.3">
      <c r="A136" s="206"/>
      <c r="B136" s="199"/>
      <c r="C136" s="199"/>
      <c r="D136" s="199"/>
      <c r="E136" s="199"/>
      <c r="F136" s="199"/>
      <c r="G136" s="199"/>
      <c r="H136" s="199"/>
      <c r="I136" s="200"/>
      <c r="J136" s="114"/>
      <c r="K136" s="128"/>
      <c r="L136" s="128"/>
    </row>
    <row r="137" spans="1:12" hidden="1" x14ac:dyDescent="0.3">
      <c r="A137" s="198"/>
      <c r="B137" s="199"/>
      <c r="C137" s="199"/>
      <c r="D137" s="199"/>
      <c r="E137" s="199"/>
      <c r="F137" s="199"/>
      <c r="G137" s="199"/>
      <c r="H137" s="199"/>
      <c r="I137" s="200"/>
      <c r="J137" s="114"/>
      <c r="K137" s="128"/>
      <c r="L137" s="128"/>
    </row>
    <row r="138" spans="1:12" hidden="1" x14ac:dyDescent="0.3">
      <c r="A138" s="198"/>
      <c r="B138" s="199"/>
      <c r="C138" s="199"/>
      <c r="D138" s="199"/>
      <c r="E138" s="199"/>
      <c r="F138" s="199"/>
      <c r="G138" s="199"/>
      <c r="H138" s="199"/>
      <c r="I138" s="200"/>
      <c r="J138" s="114"/>
      <c r="K138" s="128"/>
      <c r="L138" s="128"/>
    </row>
    <row r="139" spans="1:12" hidden="1" x14ac:dyDescent="0.3">
      <c r="A139" s="198"/>
      <c r="B139" s="199"/>
      <c r="C139" s="199"/>
      <c r="D139" s="199"/>
      <c r="E139" s="199"/>
      <c r="F139" s="199"/>
      <c r="G139" s="199"/>
      <c r="H139" s="199"/>
      <c r="I139" s="200"/>
      <c r="J139" s="114"/>
      <c r="K139" s="128"/>
      <c r="L139" s="128"/>
    </row>
    <row r="140" spans="1:12" hidden="1" x14ac:dyDescent="0.3">
      <c r="A140" s="198"/>
      <c r="B140" s="199"/>
      <c r="C140" s="199"/>
      <c r="D140" s="199"/>
      <c r="E140" s="199"/>
      <c r="F140" s="199"/>
      <c r="G140" s="199"/>
      <c r="H140" s="199"/>
      <c r="I140" s="200"/>
      <c r="J140" s="114"/>
      <c r="K140" s="128"/>
      <c r="L140" s="128"/>
    </row>
    <row r="141" spans="1:12" hidden="1" x14ac:dyDescent="0.3">
      <c r="A141" s="198"/>
      <c r="B141" s="199"/>
      <c r="C141" s="199"/>
      <c r="D141" s="199"/>
      <c r="E141" s="199"/>
      <c r="F141" s="199"/>
      <c r="G141" s="199"/>
      <c r="H141" s="199"/>
      <c r="I141" s="200"/>
      <c r="J141" s="114"/>
      <c r="K141" s="128"/>
      <c r="L141" s="128"/>
    </row>
    <row r="142" spans="1:12" hidden="1" x14ac:dyDescent="0.3">
      <c r="A142" s="198"/>
      <c r="B142" s="199"/>
      <c r="C142" s="199"/>
      <c r="D142" s="199"/>
      <c r="E142" s="199"/>
      <c r="F142" s="199"/>
      <c r="G142" s="199"/>
      <c r="H142" s="199"/>
      <c r="I142" s="200"/>
      <c r="J142" s="114"/>
      <c r="K142" s="128"/>
      <c r="L142" s="128"/>
    </row>
    <row r="143" spans="1:12" hidden="1" x14ac:dyDescent="0.3">
      <c r="A143" s="206"/>
      <c r="B143" s="199"/>
      <c r="C143" s="199"/>
      <c r="D143" s="199"/>
      <c r="E143" s="199"/>
      <c r="F143" s="199"/>
      <c r="G143" s="199"/>
      <c r="H143" s="199"/>
      <c r="I143" s="200"/>
      <c r="J143" s="114"/>
      <c r="K143" s="128"/>
      <c r="L143" s="128"/>
    </row>
    <row r="144" spans="1:12" hidden="1" x14ac:dyDescent="0.3">
      <c r="A144" s="206"/>
      <c r="B144" s="199"/>
      <c r="C144" s="199"/>
      <c r="D144" s="199"/>
      <c r="E144" s="199"/>
      <c r="F144" s="199"/>
      <c r="G144" s="199"/>
      <c r="H144" s="199"/>
      <c r="I144" s="200"/>
      <c r="J144" s="114"/>
      <c r="K144" s="128"/>
      <c r="L144" s="128"/>
    </row>
    <row r="145" spans="1:12" hidden="1" x14ac:dyDescent="0.3">
      <c r="A145" s="206"/>
      <c r="B145" s="199"/>
      <c r="C145" s="199"/>
      <c r="D145" s="199"/>
      <c r="E145" s="199"/>
      <c r="F145" s="199"/>
      <c r="G145" s="199"/>
      <c r="H145" s="199"/>
      <c r="I145" s="200"/>
      <c r="J145" s="114"/>
      <c r="K145" s="128"/>
      <c r="L145" s="128"/>
    </row>
    <row r="146" spans="1:12" hidden="1" x14ac:dyDescent="0.3">
      <c r="A146" s="206"/>
      <c r="B146" s="199"/>
      <c r="C146" s="199"/>
      <c r="D146" s="199"/>
      <c r="E146" s="199"/>
      <c r="F146" s="199"/>
      <c r="G146" s="199"/>
      <c r="H146" s="199"/>
      <c r="I146" s="200"/>
      <c r="J146" s="114"/>
      <c r="K146" s="128"/>
      <c r="L146" s="128"/>
    </row>
    <row r="147" spans="1:12" hidden="1" x14ac:dyDescent="0.3">
      <c r="A147" s="206"/>
      <c r="B147" s="199"/>
      <c r="C147" s="199"/>
      <c r="D147" s="199"/>
      <c r="E147" s="199"/>
      <c r="F147" s="199"/>
      <c r="G147" s="199"/>
      <c r="H147" s="199"/>
      <c r="I147" s="200"/>
      <c r="J147" s="114"/>
      <c r="K147" s="128"/>
      <c r="L147" s="128"/>
    </row>
    <row r="148" spans="1:12" hidden="1" x14ac:dyDescent="0.3">
      <c r="A148" s="198"/>
      <c r="B148" s="199"/>
      <c r="C148" s="199"/>
      <c r="D148" s="199"/>
      <c r="E148" s="199"/>
      <c r="F148" s="199"/>
      <c r="G148" s="199"/>
      <c r="H148" s="199"/>
      <c r="I148" s="200"/>
      <c r="J148" s="114"/>
      <c r="K148" s="128"/>
      <c r="L148" s="128"/>
    </row>
    <row r="149" spans="1:12" hidden="1" x14ac:dyDescent="0.3">
      <c r="A149" s="198"/>
      <c r="B149" s="199"/>
      <c r="C149" s="199"/>
      <c r="D149" s="199"/>
      <c r="E149" s="199"/>
      <c r="F149" s="199"/>
      <c r="G149" s="199"/>
      <c r="H149" s="250"/>
      <c r="I149" s="200"/>
      <c r="J149" s="114"/>
      <c r="K149" s="128"/>
      <c r="L149" s="128"/>
    </row>
    <row r="150" spans="1:12" hidden="1" x14ac:dyDescent="0.3">
      <c r="A150" s="198"/>
      <c r="B150" s="199"/>
      <c r="C150" s="199"/>
      <c r="D150" s="199"/>
      <c r="E150" s="199"/>
      <c r="F150" s="199"/>
      <c r="G150" s="199"/>
      <c r="H150" s="199"/>
      <c r="I150" s="200"/>
      <c r="J150" s="114"/>
      <c r="K150" s="128"/>
      <c r="L150" s="128"/>
    </row>
    <row r="151" spans="1:12" hidden="1" x14ac:dyDescent="0.3">
      <c r="A151" s="198"/>
      <c r="B151" s="199"/>
      <c r="C151" s="199"/>
      <c r="D151" s="199"/>
      <c r="E151" s="199"/>
      <c r="F151" s="199"/>
      <c r="G151" s="199"/>
      <c r="H151" s="250"/>
      <c r="I151" s="200"/>
      <c r="J151" s="114"/>
      <c r="K151" s="128"/>
      <c r="L151" s="128"/>
    </row>
    <row r="152" spans="1:12" x14ac:dyDescent="0.3">
      <c r="A152" s="126"/>
      <c r="B152" s="1195" t="s">
        <v>950</v>
      </c>
      <c r="C152" s="1196"/>
      <c r="D152" s="1196"/>
      <c r="E152" s="1196"/>
      <c r="F152" s="1196"/>
      <c r="G152" s="1196"/>
      <c r="H152" s="1196"/>
      <c r="I152" s="1197"/>
      <c r="J152" s="116">
        <f>J162+J163</f>
        <v>-100000</v>
      </c>
      <c r="K152" s="116">
        <f>K153+K154+K155+K156+K157+K160+K158+K159</f>
        <v>0</v>
      </c>
      <c r="L152" s="116">
        <f>L153+L154+L155+L156+L157+L160+L158+L159</f>
        <v>0</v>
      </c>
    </row>
    <row r="153" spans="1:12" hidden="1" x14ac:dyDescent="0.3">
      <c r="A153" s="206"/>
      <c r="B153" s="199"/>
      <c r="C153" s="199"/>
      <c r="D153" s="199"/>
      <c r="E153" s="199"/>
      <c r="F153" s="199"/>
      <c r="G153" s="199"/>
      <c r="H153" s="199"/>
      <c r="I153" s="200"/>
      <c r="J153" s="114"/>
      <c r="K153" s="128"/>
      <c r="L153" s="128"/>
    </row>
    <row r="154" spans="1:12" hidden="1" x14ac:dyDescent="0.3">
      <c r="A154" s="206"/>
      <c r="B154" s="199"/>
      <c r="C154" s="199"/>
      <c r="D154" s="199"/>
      <c r="E154" s="199"/>
      <c r="F154" s="199"/>
      <c r="G154" s="199"/>
      <c r="H154" s="199"/>
      <c r="I154" s="200"/>
      <c r="J154" s="114"/>
      <c r="K154" s="128"/>
      <c r="L154" s="128"/>
    </row>
    <row r="155" spans="1:12" hidden="1" x14ac:dyDescent="0.3">
      <c r="A155" s="206"/>
      <c r="B155" s="199"/>
      <c r="C155" s="199"/>
      <c r="D155" s="199"/>
      <c r="E155" s="199"/>
      <c r="F155" s="199"/>
      <c r="G155" s="199"/>
      <c r="H155" s="199"/>
      <c r="I155" s="200"/>
      <c r="J155" s="114"/>
      <c r="K155" s="128"/>
      <c r="L155" s="128"/>
    </row>
    <row r="156" spans="1:12" hidden="1" x14ac:dyDescent="0.3">
      <c r="A156" s="206"/>
      <c r="B156" s="199"/>
      <c r="C156" s="199"/>
      <c r="D156" s="199"/>
      <c r="E156" s="199"/>
      <c r="F156" s="199"/>
      <c r="G156" s="199"/>
      <c r="H156" s="225"/>
      <c r="I156" s="200"/>
      <c r="J156" s="114"/>
      <c r="K156" s="128"/>
      <c r="L156" s="128"/>
    </row>
    <row r="157" spans="1:12" hidden="1" x14ac:dyDescent="0.3">
      <c r="A157" s="122"/>
      <c r="B157" s="199"/>
      <c r="C157" s="199"/>
      <c r="D157" s="199"/>
      <c r="E157" s="199"/>
      <c r="F157" s="199"/>
      <c r="G157" s="199"/>
      <c r="H157" s="254"/>
      <c r="I157" s="200"/>
      <c r="J157" s="114"/>
      <c r="K157" s="128"/>
      <c r="L157" s="128"/>
    </row>
    <row r="158" spans="1:12" hidden="1" x14ac:dyDescent="0.3">
      <c r="A158" s="126"/>
      <c r="B158" s="255"/>
      <c r="C158" s="256"/>
      <c r="D158" s="256"/>
      <c r="E158" s="256"/>
      <c r="F158" s="256"/>
      <c r="G158" s="257"/>
      <c r="H158" s="257"/>
      <c r="I158" s="208"/>
      <c r="J158" s="114"/>
      <c r="K158" s="128"/>
      <c r="L158" s="128"/>
    </row>
    <row r="159" spans="1:12" hidden="1" x14ac:dyDescent="0.3">
      <c r="A159" s="126"/>
      <c r="B159" s="255"/>
      <c r="C159" s="256"/>
      <c r="D159" s="256"/>
      <c r="E159" s="256"/>
      <c r="F159" s="256"/>
      <c r="G159" s="257"/>
      <c r="H159" s="257"/>
      <c r="I159" s="208"/>
      <c r="J159" s="114"/>
      <c r="K159" s="128"/>
      <c r="L159" s="128"/>
    </row>
    <row r="160" spans="1:12" hidden="1" x14ac:dyDescent="0.3">
      <c r="A160" s="126"/>
      <c r="B160" s="258"/>
      <c r="C160" s="259"/>
      <c r="D160" s="259"/>
      <c r="E160" s="259"/>
      <c r="F160" s="259"/>
      <c r="G160" s="260"/>
      <c r="H160" s="260"/>
      <c r="I160" s="112"/>
      <c r="J160" s="114"/>
      <c r="K160" s="128"/>
      <c r="L160" s="128"/>
    </row>
    <row r="161" spans="1:12" hidden="1" x14ac:dyDescent="0.3">
      <c r="A161" s="126"/>
      <c r="B161" s="259"/>
      <c r="C161" s="259"/>
      <c r="D161" s="259"/>
      <c r="E161" s="259"/>
      <c r="F161" s="259"/>
      <c r="G161" s="260"/>
      <c r="H161" s="260"/>
      <c r="I161" s="112"/>
      <c r="J161" s="114"/>
      <c r="K161" s="128"/>
      <c r="L161" s="128"/>
    </row>
    <row r="162" spans="1:12" ht="31.2" x14ac:dyDescent="0.3">
      <c r="A162" s="126">
        <v>38</v>
      </c>
      <c r="B162" s="290" t="s">
        <v>86</v>
      </c>
      <c r="C162" s="290" t="s">
        <v>298</v>
      </c>
      <c r="D162" s="290" t="s">
        <v>290</v>
      </c>
      <c r="E162" s="290" t="s">
        <v>292</v>
      </c>
      <c r="F162" s="290" t="s">
        <v>995</v>
      </c>
      <c r="G162" s="260" t="s">
        <v>1019</v>
      </c>
      <c r="H162" s="260" t="s">
        <v>586</v>
      </c>
      <c r="I162" s="181" t="s">
        <v>748</v>
      </c>
      <c r="J162" s="114">
        <v>-100000</v>
      </c>
      <c r="K162" s="128">
        <v>0</v>
      </c>
      <c r="L162" s="128">
        <v>0</v>
      </c>
    </row>
    <row r="163" spans="1:12" x14ac:dyDescent="0.3">
      <c r="A163" s="126"/>
      <c r="B163" s="290"/>
      <c r="C163" s="290"/>
      <c r="D163" s="290"/>
      <c r="E163" s="290"/>
      <c r="F163" s="290"/>
      <c r="G163" s="260"/>
      <c r="H163" s="260"/>
      <c r="I163" s="112"/>
      <c r="J163" s="114"/>
      <c r="K163" s="128"/>
      <c r="L163" s="128"/>
    </row>
    <row r="164" spans="1:12" x14ac:dyDescent="0.3">
      <c r="A164" s="126"/>
      <c r="B164" s="290"/>
      <c r="C164" s="290"/>
      <c r="D164" s="290"/>
      <c r="E164" s="290"/>
      <c r="F164" s="290"/>
      <c r="G164" s="260"/>
      <c r="H164" s="260"/>
      <c r="I164" s="112"/>
      <c r="J164" s="114"/>
      <c r="K164" s="128"/>
      <c r="L164" s="128"/>
    </row>
    <row r="165" spans="1:12" x14ac:dyDescent="0.3">
      <c r="A165" s="126"/>
      <c r="B165" s="290"/>
      <c r="C165" s="290"/>
      <c r="D165" s="290"/>
      <c r="E165" s="290"/>
      <c r="F165" s="290"/>
      <c r="G165" s="260"/>
      <c r="H165" s="260"/>
      <c r="I165" s="112"/>
      <c r="J165" s="114"/>
      <c r="K165" s="128"/>
      <c r="L165" s="128"/>
    </row>
    <row r="166" spans="1:12" x14ac:dyDescent="0.3">
      <c r="A166" s="126"/>
      <c r="B166" s="1198" t="s">
        <v>951</v>
      </c>
      <c r="C166" s="1199"/>
      <c r="D166" s="1199"/>
      <c r="E166" s="1199"/>
      <c r="F166" s="1199"/>
      <c r="G166" s="1199"/>
      <c r="H166" s="1199"/>
      <c r="I166" s="1200"/>
      <c r="J166" s="116">
        <f>J167+J168+J169</f>
        <v>0</v>
      </c>
      <c r="K166" s="116">
        <f>K167+K168+K169</f>
        <v>0</v>
      </c>
      <c r="L166" s="116">
        <f>L167+L168+L169</f>
        <v>0</v>
      </c>
    </row>
    <row r="167" spans="1:12" hidden="1" x14ac:dyDescent="0.3">
      <c r="A167" s="122"/>
      <c r="B167" s="199"/>
      <c r="C167" s="199"/>
      <c r="D167" s="199"/>
      <c r="E167" s="199"/>
      <c r="F167" s="199"/>
      <c r="G167" s="250"/>
      <c r="H167" s="224"/>
      <c r="I167" s="200"/>
      <c r="J167" s="114"/>
      <c r="K167" s="128"/>
      <c r="L167" s="128"/>
    </row>
    <row r="168" spans="1:12" hidden="1" x14ac:dyDescent="0.3">
      <c r="A168" s="261"/>
      <c r="B168" s="199"/>
      <c r="C168" s="199"/>
      <c r="D168" s="199"/>
      <c r="E168" s="199"/>
      <c r="F168" s="199"/>
      <c r="G168" s="250"/>
      <c r="H168" s="225"/>
      <c r="I168" s="200"/>
      <c r="J168" s="114"/>
      <c r="K168" s="128"/>
      <c r="L168" s="128"/>
    </row>
    <row r="169" spans="1:12" hidden="1" x14ac:dyDescent="0.3">
      <c r="A169" s="122"/>
      <c r="B169" s="199"/>
      <c r="C169" s="199"/>
      <c r="D169" s="199"/>
      <c r="E169" s="199"/>
      <c r="F169" s="199"/>
      <c r="G169" s="250"/>
      <c r="H169" s="225"/>
      <c r="I169" s="200"/>
      <c r="J169" s="114"/>
      <c r="K169" s="128"/>
      <c r="L169" s="128"/>
    </row>
    <row r="170" spans="1:12" hidden="1" x14ac:dyDescent="0.3">
      <c r="A170" s="122"/>
      <c r="B170" s="199"/>
      <c r="C170" s="199"/>
      <c r="D170" s="199"/>
      <c r="E170" s="199"/>
      <c r="F170" s="199"/>
      <c r="G170" s="199"/>
      <c r="H170" s="199"/>
      <c r="I170" s="200"/>
      <c r="J170" s="114"/>
      <c r="K170" s="128"/>
      <c r="L170" s="128"/>
    </row>
    <row r="171" spans="1:12" hidden="1" x14ac:dyDescent="0.3">
      <c r="A171" s="126"/>
      <c r="B171" s="262"/>
      <c r="C171" s="260"/>
      <c r="D171" s="260"/>
      <c r="E171" s="260"/>
      <c r="F171" s="260"/>
      <c r="G171" s="260"/>
      <c r="H171" s="260"/>
      <c r="I171" s="112"/>
      <c r="J171" s="114"/>
      <c r="K171" s="128"/>
      <c r="L171" s="128"/>
    </row>
    <row r="172" spans="1:12" hidden="1" x14ac:dyDescent="0.3">
      <c r="A172" s="126"/>
      <c r="B172" s="262"/>
      <c r="C172" s="260"/>
      <c r="D172" s="260"/>
      <c r="E172" s="260"/>
      <c r="F172" s="260"/>
      <c r="G172" s="260"/>
      <c r="H172" s="260"/>
      <c r="I172" s="112"/>
      <c r="J172" s="114"/>
      <c r="K172" s="128"/>
      <c r="L172" s="128"/>
    </row>
    <row r="173" spans="1:12" x14ac:dyDescent="0.3">
      <c r="A173" s="126"/>
      <c r="B173" s="1195" t="s">
        <v>952</v>
      </c>
      <c r="C173" s="1196"/>
      <c r="D173" s="1196"/>
      <c r="E173" s="1196"/>
      <c r="F173" s="1196"/>
      <c r="G173" s="1196"/>
      <c r="H173" s="1196"/>
      <c r="I173" s="1197"/>
      <c r="J173" s="116">
        <f>J174+J175+J176+J177+J178+J179+J180+J181</f>
        <v>249981.35999999987</v>
      </c>
      <c r="K173" s="116">
        <f>K175+K176+K177+K181</f>
        <v>0</v>
      </c>
      <c r="L173" s="116">
        <f>L175+L176+L177+L181</f>
        <v>0</v>
      </c>
    </row>
    <row r="174" spans="1:12" ht="31.2" x14ac:dyDescent="0.3">
      <c r="A174" s="126">
        <v>39</v>
      </c>
      <c r="B174" s="292" t="s">
        <v>86</v>
      </c>
      <c r="C174" s="292" t="s">
        <v>347</v>
      </c>
      <c r="D174" s="292" t="s">
        <v>292</v>
      </c>
      <c r="E174" s="292" t="s">
        <v>339</v>
      </c>
      <c r="F174" s="292" t="s">
        <v>1030</v>
      </c>
      <c r="G174" s="292" t="s">
        <v>1031</v>
      </c>
      <c r="H174" s="292" t="s">
        <v>586</v>
      </c>
      <c r="I174" s="304" t="s">
        <v>1032</v>
      </c>
      <c r="J174" s="114">
        <v>300000</v>
      </c>
      <c r="K174" s="114">
        <v>0</v>
      </c>
      <c r="L174" s="114">
        <v>0</v>
      </c>
    </row>
    <row r="175" spans="1:12" ht="78" x14ac:dyDescent="0.3">
      <c r="A175" s="126">
        <v>40</v>
      </c>
      <c r="B175" s="298" t="s">
        <v>86</v>
      </c>
      <c r="C175" s="298" t="s">
        <v>347</v>
      </c>
      <c r="D175" s="298" t="s">
        <v>335</v>
      </c>
      <c r="E175" s="298" t="s">
        <v>339</v>
      </c>
      <c r="F175" s="298" t="s">
        <v>995</v>
      </c>
      <c r="G175" s="298" t="s">
        <v>996</v>
      </c>
      <c r="H175" s="302" t="s">
        <v>764</v>
      </c>
      <c r="I175" s="303" t="s">
        <v>997</v>
      </c>
      <c r="J175" s="234">
        <v>-6534000</v>
      </c>
      <c r="K175" s="300">
        <v>-6534000</v>
      </c>
      <c r="L175" s="300">
        <v>-6534000</v>
      </c>
    </row>
    <row r="176" spans="1:12" ht="78" x14ac:dyDescent="0.3">
      <c r="A176" s="126">
        <v>41</v>
      </c>
      <c r="B176" s="199" t="s">
        <v>86</v>
      </c>
      <c r="C176" s="199" t="s">
        <v>347</v>
      </c>
      <c r="D176" s="199" t="s">
        <v>335</v>
      </c>
      <c r="E176" s="199" t="s">
        <v>339</v>
      </c>
      <c r="F176" s="199" t="s">
        <v>995</v>
      </c>
      <c r="G176" s="199" t="s">
        <v>996</v>
      </c>
      <c r="H176" s="199" t="s">
        <v>700</v>
      </c>
      <c r="I176" s="186" t="s">
        <v>997</v>
      </c>
      <c r="J176" s="114">
        <v>6534000</v>
      </c>
      <c r="K176" s="154">
        <v>6534000</v>
      </c>
      <c r="L176" s="154">
        <v>6534000</v>
      </c>
    </row>
    <row r="177" spans="1:12" ht="62.4" x14ac:dyDescent="0.3">
      <c r="A177" s="126">
        <v>42</v>
      </c>
      <c r="B177" s="199" t="s">
        <v>86</v>
      </c>
      <c r="C177" s="199" t="s">
        <v>347</v>
      </c>
      <c r="D177" s="199" t="s">
        <v>335</v>
      </c>
      <c r="E177" s="199" t="s">
        <v>339</v>
      </c>
      <c r="F177" s="199" t="s">
        <v>995</v>
      </c>
      <c r="G177" s="199" t="s">
        <v>998</v>
      </c>
      <c r="H177" s="224" t="s">
        <v>764</v>
      </c>
      <c r="I177" s="295" t="s">
        <v>1003</v>
      </c>
      <c r="J177" s="114">
        <v>-4356000</v>
      </c>
      <c r="K177" s="128">
        <v>-4356000</v>
      </c>
      <c r="L177" s="128">
        <v>-4356000</v>
      </c>
    </row>
    <row r="178" spans="1:12" ht="46.8" x14ac:dyDescent="0.3">
      <c r="A178" s="126">
        <v>43</v>
      </c>
      <c r="B178" s="199" t="s">
        <v>86</v>
      </c>
      <c r="C178" s="199" t="s">
        <v>347</v>
      </c>
      <c r="D178" s="199" t="s">
        <v>292</v>
      </c>
      <c r="E178" s="199" t="s">
        <v>347</v>
      </c>
      <c r="F178" s="199" t="s">
        <v>1009</v>
      </c>
      <c r="G178" s="199" t="s">
        <v>1021</v>
      </c>
      <c r="H178" s="224" t="s">
        <v>586</v>
      </c>
      <c r="I178" s="181" t="s">
        <v>771</v>
      </c>
      <c r="J178" s="114">
        <v>-50000</v>
      </c>
      <c r="K178" s="128">
        <v>0</v>
      </c>
      <c r="L178" s="128">
        <v>0</v>
      </c>
    </row>
    <row r="179" spans="1:12" ht="31.2" x14ac:dyDescent="0.3">
      <c r="A179" s="126">
        <v>44</v>
      </c>
      <c r="B179" s="199" t="s">
        <v>121</v>
      </c>
      <c r="C179" s="199" t="s">
        <v>347</v>
      </c>
      <c r="D179" s="199" t="s">
        <v>335</v>
      </c>
      <c r="E179" s="199" t="s">
        <v>316</v>
      </c>
      <c r="F179" s="199" t="s">
        <v>318</v>
      </c>
      <c r="G179" s="199" t="s">
        <v>1052</v>
      </c>
      <c r="H179" s="224" t="s">
        <v>586</v>
      </c>
      <c r="I179" s="181" t="s">
        <v>1042</v>
      </c>
      <c r="J179" s="114">
        <v>-8.85</v>
      </c>
      <c r="K179" s="128">
        <v>0</v>
      </c>
      <c r="L179" s="128">
        <v>0</v>
      </c>
    </row>
    <row r="180" spans="1:12" ht="78" x14ac:dyDescent="0.3">
      <c r="A180" s="126">
        <v>45</v>
      </c>
      <c r="B180" s="199" t="s">
        <v>121</v>
      </c>
      <c r="C180" s="199" t="s">
        <v>347</v>
      </c>
      <c r="D180" s="199" t="s">
        <v>335</v>
      </c>
      <c r="E180" s="199" t="s">
        <v>304</v>
      </c>
      <c r="F180" s="199" t="s">
        <v>318</v>
      </c>
      <c r="G180" s="199" t="s">
        <v>1054</v>
      </c>
      <c r="H180" s="224" t="s">
        <v>764</v>
      </c>
      <c r="I180" s="306" t="s">
        <v>1036</v>
      </c>
      <c r="J180" s="114">
        <v>-9.7899999999999991</v>
      </c>
      <c r="K180" s="128">
        <v>0</v>
      </c>
      <c r="L180" s="128">
        <v>0</v>
      </c>
    </row>
    <row r="181" spans="1:12" s="1" customFormat="1" ht="62.4" x14ac:dyDescent="0.3">
      <c r="A181" s="227">
        <v>46</v>
      </c>
      <c r="B181" s="199" t="s">
        <v>86</v>
      </c>
      <c r="C181" s="199" t="s">
        <v>347</v>
      </c>
      <c r="D181" s="199" t="s">
        <v>335</v>
      </c>
      <c r="E181" s="199" t="s">
        <v>339</v>
      </c>
      <c r="F181" s="199" t="s">
        <v>995</v>
      </c>
      <c r="G181" s="199" t="s">
        <v>998</v>
      </c>
      <c r="H181" s="199" t="s">
        <v>700</v>
      </c>
      <c r="I181" s="295" t="s">
        <v>1003</v>
      </c>
      <c r="J181" s="114">
        <v>4356000</v>
      </c>
      <c r="K181" s="128">
        <v>4356000</v>
      </c>
      <c r="L181" s="128">
        <v>4356000</v>
      </c>
    </row>
    <row r="182" spans="1:12" s="1" customFormat="1" hidden="1" x14ac:dyDescent="0.3">
      <c r="A182" s="263"/>
      <c r="B182" s="199"/>
      <c r="C182" s="199"/>
      <c r="D182" s="199"/>
      <c r="E182" s="199"/>
      <c r="F182" s="199"/>
      <c r="G182" s="199"/>
      <c r="H182" s="199"/>
      <c r="I182" s="200"/>
      <c r="J182" s="114"/>
      <c r="K182" s="128"/>
      <c r="L182" s="128"/>
    </row>
    <row r="183" spans="1:12" hidden="1" x14ac:dyDescent="0.3">
      <c r="A183" s="122"/>
      <c r="B183" s="199"/>
      <c r="C183" s="199"/>
      <c r="D183" s="199"/>
      <c r="E183" s="199"/>
      <c r="F183" s="199"/>
      <c r="G183" s="199"/>
      <c r="H183" s="199"/>
      <c r="I183" s="200"/>
      <c r="J183" s="114"/>
      <c r="K183" s="128"/>
      <c r="L183" s="128"/>
    </row>
    <row r="184" spans="1:12" hidden="1" x14ac:dyDescent="0.3">
      <c r="A184" s="122"/>
      <c r="B184" s="199"/>
      <c r="C184" s="199"/>
      <c r="D184" s="199"/>
      <c r="E184" s="199"/>
      <c r="F184" s="199"/>
      <c r="G184" s="199"/>
      <c r="H184" s="199"/>
      <c r="I184" s="200"/>
      <c r="J184" s="114"/>
      <c r="K184" s="128"/>
      <c r="L184" s="128"/>
    </row>
    <row r="185" spans="1:12" hidden="1" x14ac:dyDescent="0.3">
      <c r="A185" s="126"/>
      <c r="B185" s="255"/>
      <c r="C185" s="256"/>
      <c r="D185" s="256"/>
      <c r="E185" s="256"/>
      <c r="F185" s="256"/>
      <c r="G185" s="257"/>
      <c r="H185" s="257"/>
      <c r="I185" s="208"/>
      <c r="J185" s="114"/>
      <c r="K185" s="128"/>
      <c r="L185" s="128"/>
    </row>
    <row r="186" spans="1:12" hidden="1" x14ac:dyDescent="0.3">
      <c r="A186" s="126"/>
      <c r="B186" s="255"/>
      <c r="C186" s="256"/>
      <c r="D186" s="256"/>
      <c r="E186" s="256"/>
      <c r="F186" s="256"/>
      <c r="G186" s="257"/>
      <c r="H186" s="257"/>
      <c r="I186" s="208"/>
      <c r="J186" s="114"/>
      <c r="K186" s="128"/>
      <c r="L186" s="128"/>
    </row>
    <row r="187" spans="1:12" hidden="1" x14ac:dyDescent="0.3">
      <c r="A187" s="126"/>
      <c r="B187" s="255"/>
      <c r="C187" s="256"/>
      <c r="D187" s="256"/>
      <c r="E187" s="256"/>
      <c r="F187" s="256"/>
      <c r="G187" s="257"/>
      <c r="H187" s="257"/>
      <c r="I187" s="208"/>
      <c r="J187" s="114"/>
      <c r="K187" s="128"/>
      <c r="L187" s="128"/>
    </row>
    <row r="188" spans="1:12" hidden="1" x14ac:dyDescent="0.3">
      <c r="A188" s="126"/>
      <c r="B188" s="255"/>
      <c r="C188" s="256"/>
      <c r="D188" s="256"/>
      <c r="E188" s="256"/>
      <c r="F188" s="256"/>
      <c r="G188" s="257"/>
      <c r="H188" s="257"/>
      <c r="I188" s="208"/>
      <c r="J188" s="114"/>
      <c r="K188" s="128"/>
      <c r="L188" s="128"/>
    </row>
    <row r="189" spans="1:12" x14ac:dyDescent="0.3">
      <c r="A189" s="126"/>
      <c r="B189" s="1185" t="s">
        <v>953</v>
      </c>
      <c r="C189" s="1186"/>
      <c r="D189" s="1186"/>
      <c r="E189" s="1186"/>
      <c r="F189" s="1186"/>
      <c r="G189" s="1186"/>
      <c r="H189" s="1186"/>
      <c r="I189" s="1187"/>
      <c r="J189" s="116">
        <f>J193+J192+J191+J190</f>
        <v>-450000</v>
      </c>
      <c r="K189" s="116">
        <f>K193+K192+K191+K190</f>
        <v>0</v>
      </c>
      <c r="L189" s="116">
        <f>L193+L192+L191+L190</f>
        <v>0</v>
      </c>
    </row>
    <row r="190" spans="1:12" ht="31.2" x14ac:dyDescent="0.3">
      <c r="A190" s="206">
        <v>47</v>
      </c>
      <c r="B190" s="199" t="s">
        <v>86</v>
      </c>
      <c r="C190" s="199" t="s">
        <v>302</v>
      </c>
      <c r="D190" s="199" t="s">
        <v>316</v>
      </c>
      <c r="E190" s="199" t="s">
        <v>300</v>
      </c>
      <c r="F190" s="199" t="s">
        <v>289</v>
      </c>
      <c r="G190" s="199" t="s">
        <v>1016</v>
      </c>
      <c r="H190" s="199" t="s">
        <v>586</v>
      </c>
      <c r="I190" s="181" t="s">
        <v>793</v>
      </c>
      <c r="J190" s="114">
        <v>-400000</v>
      </c>
      <c r="K190" s="128">
        <v>0</v>
      </c>
      <c r="L190" s="128">
        <v>0</v>
      </c>
    </row>
    <row r="191" spans="1:12" ht="31.2" x14ac:dyDescent="0.3">
      <c r="A191" s="206">
        <v>48</v>
      </c>
      <c r="B191" s="199" t="s">
        <v>86</v>
      </c>
      <c r="C191" s="199" t="s">
        <v>302</v>
      </c>
      <c r="D191" s="199" t="s">
        <v>290</v>
      </c>
      <c r="E191" s="199" t="s">
        <v>300</v>
      </c>
      <c r="F191" s="199" t="s">
        <v>289</v>
      </c>
      <c r="G191" s="199" t="s">
        <v>1017</v>
      </c>
      <c r="H191" s="199" t="s">
        <v>586</v>
      </c>
      <c r="I191" s="181" t="s">
        <v>784</v>
      </c>
      <c r="J191" s="114">
        <v>-50000</v>
      </c>
      <c r="K191" s="128">
        <v>0</v>
      </c>
      <c r="L191" s="128">
        <v>0</v>
      </c>
    </row>
    <row r="192" spans="1:12" ht="15" customHeight="1" x14ac:dyDescent="0.3">
      <c r="A192" s="126"/>
      <c r="B192" s="199"/>
      <c r="C192" s="199"/>
      <c r="D192" s="199"/>
      <c r="E192" s="199"/>
      <c r="F192" s="199"/>
      <c r="G192" s="199"/>
      <c r="H192" s="199"/>
      <c r="I192" s="200"/>
      <c r="J192" s="114"/>
      <c r="K192" s="128"/>
      <c r="L192" s="128"/>
    </row>
    <row r="193" spans="1:12" hidden="1" x14ac:dyDescent="0.3">
      <c r="A193" s="126"/>
      <c r="B193" s="258"/>
      <c r="C193" s="259"/>
      <c r="D193" s="259"/>
      <c r="E193" s="259"/>
      <c r="F193" s="259"/>
      <c r="G193" s="260"/>
      <c r="H193" s="260"/>
      <c r="I193" s="112"/>
      <c r="J193" s="114"/>
      <c r="K193" s="128"/>
      <c r="L193" s="128"/>
    </row>
    <row r="194" spans="1:12" x14ac:dyDescent="0.3">
      <c r="A194" s="126"/>
      <c r="B194" s="1185" t="s">
        <v>954</v>
      </c>
      <c r="C194" s="1186"/>
      <c r="D194" s="1186"/>
      <c r="E194" s="1186"/>
      <c r="F194" s="1186"/>
      <c r="G194" s="1186"/>
      <c r="H194" s="1186"/>
      <c r="I194" s="1187"/>
      <c r="J194" s="116">
        <f>J196+J197</f>
        <v>0</v>
      </c>
      <c r="K194" s="116">
        <f>K195</f>
        <v>0</v>
      </c>
      <c r="L194" s="116">
        <f>L195</f>
        <v>0</v>
      </c>
    </row>
    <row r="195" spans="1:12" hidden="1" x14ac:dyDescent="0.3">
      <c r="A195" s="206"/>
      <c r="B195" s="199"/>
      <c r="C195" s="199"/>
      <c r="D195" s="199"/>
      <c r="E195" s="199"/>
      <c r="F195" s="199"/>
      <c r="G195" s="199"/>
      <c r="H195" s="199"/>
      <c r="I195" s="200"/>
      <c r="J195" s="114"/>
      <c r="K195" s="128"/>
      <c r="L195" s="128"/>
    </row>
    <row r="196" spans="1:12" x14ac:dyDescent="0.3">
      <c r="A196" s="206"/>
      <c r="B196" s="243"/>
      <c r="C196" s="243"/>
      <c r="D196" s="243"/>
      <c r="E196" s="243"/>
      <c r="F196" s="243"/>
      <c r="G196" s="243"/>
      <c r="H196" s="243"/>
      <c r="I196" s="245"/>
      <c r="J196" s="246"/>
      <c r="K196" s="128">
        <v>0</v>
      </c>
      <c r="L196" s="128">
        <v>0</v>
      </c>
    </row>
    <row r="197" spans="1:12" x14ac:dyDescent="0.3">
      <c r="A197" s="206"/>
      <c r="B197" s="199"/>
      <c r="C197" s="199"/>
      <c r="D197" s="199"/>
      <c r="E197" s="199"/>
      <c r="F197" s="199"/>
      <c r="G197" s="199"/>
      <c r="H197" s="199"/>
      <c r="I197" s="200"/>
      <c r="J197" s="114"/>
      <c r="K197" s="128"/>
      <c r="L197" s="128"/>
    </row>
    <row r="198" spans="1:12" s="1" customFormat="1" ht="15" customHeight="1" x14ac:dyDescent="0.3">
      <c r="A198" s="99"/>
      <c r="B198" s="1180" t="s">
        <v>955</v>
      </c>
      <c r="C198" s="1181"/>
      <c r="D198" s="1181"/>
      <c r="E198" s="1181"/>
      <c r="F198" s="1181"/>
      <c r="G198" s="1181"/>
      <c r="H198" s="1181"/>
      <c r="I198" s="1182"/>
      <c r="J198" s="116">
        <f>SUM(J199:J207)</f>
        <v>0</v>
      </c>
      <c r="K198" s="116">
        <f>SUM(K199:K207)</f>
        <v>0</v>
      </c>
      <c r="L198" s="116">
        <f>SUM(L199:L207)</f>
        <v>0</v>
      </c>
    </row>
    <row r="199" spans="1:12" s="1" customFormat="1" x14ac:dyDescent="0.3">
      <c r="A199" s="227"/>
      <c r="B199" s="199"/>
      <c r="C199" s="199"/>
      <c r="D199" s="199"/>
      <c r="E199" s="199"/>
      <c r="F199" s="199"/>
      <c r="G199" s="199"/>
      <c r="H199" s="199"/>
      <c r="I199" s="200"/>
      <c r="J199" s="204"/>
      <c r="K199" s="154"/>
      <c r="L199" s="154"/>
    </row>
    <row r="200" spans="1:12" s="1" customFormat="1" x14ac:dyDescent="0.3">
      <c r="A200" s="227"/>
      <c r="B200" s="199"/>
      <c r="C200" s="199"/>
      <c r="D200" s="199"/>
      <c r="E200" s="199"/>
      <c r="F200" s="199"/>
      <c r="G200" s="199"/>
      <c r="H200" s="199"/>
      <c r="I200" s="200"/>
      <c r="J200" s="154"/>
      <c r="K200" s="264"/>
      <c r="L200" s="154"/>
    </row>
    <row r="201" spans="1:12" s="1" customFormat="1" hidden="1" x14ac:dyDescent="0.3">
      <c r="A201" s="230"/>
      <c r="B201" s="199"/>
      <c r="C201" s="199"/>
      <c r="D201" s="199"/>
      <c r="E201" s="199"/>
      <c r="F201" s="199"/>
      <c r="G201" s="199"/>
      <c r="H201" s="199"/>
      <c r="I201" s="112"/>
      <c r="J201" s="114"/>
      <c r="K201" s="154"/>
      <c r="L201" s="154"/>
    </row>
    <row r="202" spans="1:12" hidden="1" x14ac:dyDescent="0.3">
      <c r="A202" s="230"/>
      <c r="B202" s="199"/>
      <c r="C202" s="199"/>
      <c r="D202" s="199"/>
      <c r="E202" s="199"/>
      <c r="F202" s="199"/>
      <c r="G202" s="199"/>
      <c r="H202" s="199"/>
      <c r="I202" s="200"/>
      <c r="J202" s="114"/>
      <c r="K202" s="128"/>
      <c r="L202" s="128"/>
    </row>
    <row r="203" spans="1:12" hidden="1" x14ac:dyDescent="0.3">
      <c r="A203" s="122"/>
      <c r="B203" s="199"/>
      <c r="C203" s="199"/>
      <c r="D203" s="199"/>
      <c r="E203" s="199"/>
      <c r="F203" s="199"/>
      <c r="G203" s="199"/>
      <c r="H203" s="199"/>
      <c r="I203" s="265"/>
      <c r="J203" s="114"/>
      <c r="K203" s="128"/>
      <c r="L203" s="128"/>
    </row>
    <row r="204" spans="1:12" hidden="1" x14ac:dyDescent="0.3">
      <c r="A204" s="122"/>
      <c r="B204" s="199"/>
      <c r="C204" s="199"/>
      <c r="D204" s="199"/>
      <c r="E204" s="199"/>
      <c r="F204" s="199"/>
      <c r="G204" s="199"/>
      <c r="H204" s="199"/>
      <c r="I204" s="200"/>
      <c r="J204" s="114"/>
      <c r="K204" s="128"/>
      <c r="L204" s="128"/>
    </row>
    <row r="205" spans="1:12" hidden="1" x14ac:dyDescent="0.3">
      <c r="A205" s="122"/>
      <c r="B205" s="199"/>
      <c r="C205" s="199"/>
      <c r="D205" s="199"/>
      <c r="E205" s="199"/>
      <c r="F205" s="199"/>
      <c r="G205" s="199"/>
      <c r="H205" s="199"/>
      <c r="I205" s="200"/>
      <c r="J205" s="114"/>
      <c r="K205" s="128"/>
      <c r="L205" s="128"/>
    </row>
    <row r="206" spans="1:12" x14ac:dyDescent="0.3">
      <c r="A206" s="122"/>
      <c r="B206" s="199"/>
      <c r="C206" s="199"/>
      <c r="D206" s="199"/>
      <c r="E206" s="199"/>
      <c r="F206" s="199"/>
      <c r="G206" s="199"/>
      <c r="H206" s="199"/>
      <c r="I206" s="200"/>
      <c r="J206" s="114"/>
      <c r="K206" s="128"/>
      <c r="L206" s="128"/>
    </row>
    <row r="207" spans="1:12" x14ac:dyDescent="0.3">
      <c r="A207" s="266"/>
      <c r="B207" s="267"/>
      <c r="C207" s="267"/>
      <c r="D207" s="267"/>
      <c r="E207" s="267"/>
      <c r="F207" s="267"/>
      <c r="G207" s="267"/>
      <c r="H207" s="267"/>
      <c r="I207" s="268"/>
      <c r="J207" s="269"/>
      <c r="K207" s="270"/>
      <c r="L207" s="270"/>
    </row>
    <row r="208" spans="1:12" hidden="1" x14ac:dyDescent="0.3">
      <c r="A208" s="122"/>
      <c r="B208" s="199"/>
      <c r="C208" s="199"/>
      <c r="D208" s="199"/>
      <c r="E208" s="199"/>
      <c r="F208" s="199"/>
      <c r="G208" s="199"/>
      <c r="H208" s="199"/>
      <c r="I208" s="200"/>
      <c r="J208" s="114"/>
      <c r="K208" s="128"/>
      <c r="L208" s="128"/>
    </row>
    <row r="209" spans="1:12" x14ac:dyDescent="0.3">
      <c r="A209" s="126"/>
      <c r="B209" s="1176" t="s">
        <v>956</v>
      </c>
      <c r="C209" s="1177"/>
      <c r="D209" s="1177"/>
      <c r="E209" s="1177"/>
      <c r="F209" s="1177"/>
      <c r="G209" s="1177"/>
      <c r="H209" s="1177"/>
      <c r="I209" s="1178"/>
      <c r="J209" s="116">
        <f>J198+J173+J166+J152+J112+J95+J71+J54+J109+J189+J194+J74+J208</f>
        <v>1454157.5399999996</v>
      </c>
      <c r="K209" s="116">
        <f>K198+K173+K166+K152+K112+K95+K71+K54+K109+K189+K194+K74+K208</f>
        <v>1000000</v>
      </c>
      <c r="L209" s="116">
        <f>L198+L173+L166+L152+L112+L95+L71+L54+L109+L189+L194+L74+L208</f>
        <v>1000000</v>
      </c>
    </row>
    <row r="210" spans="1:12" x14ac:dyDescent="0.3">
      <c r="I210" s="95"/>
      <c r="J210" s="118"/>
    </row>
    <row r="211" spans="1:12" x14ac:dyDescent="0.3">
      <c r="I211" s="95" t="s">
        <v>1057</v>
      </c>
      <c r="J211" s="118" t="e">
        <f>(#REF!-'п3 доходы'!D50)/'п3 доходы'!D51*100</f>
        <v>#REF!</v>
      </c>
      <c r="K211" s="118" t="e">
        <f>(#REF!-'п3 доходы'!E50)/'п3 доходы'!E51*100</f>
        <v>#REF!</v>
      </c>
      <c r="L211" s="118" t="e">
        <f>(#REF!-'п3 доходы'!F50)/'п3 доходы'!F51*100</f>
        <v>#REF!</v>
      </c>
    </row>
    <row r="212" spans="1:12" x14ac:dyDescent="0.3">
      <c r="I212" s="95"/>
      <c r="J212" s="118"/>
    </row>
    <row r="213" spans="1:12" s="1" customFormat="1" ht="34.5" customHeight="1" x14ac:dyDescent="0.3">
      <c r="A213" s="1152" t="s">
        <v>957</v>
      </c>
      <c r="B213" s="1152"/>
      <c r="C213" s="1152"/>
      <c r="D213" s="1152"/>
      <c r="E213" s="1152"/>
      <c r="F213" s="1152"/>
      <c r="G213" s="1152"/>
      <c r="H213" s="1152"/>
      <c r="I213" s="1162" t="s">
        <v>958</v>
      </c>
      <c r="J213" s="1162"/>
    </row>
    <row r="217" spans="1:12" x14ac:dyDescent="0.3">
      <c r="A217" s="1" t="s">
        <v>959</v>
      </c>
    </row>
    <row r="218" spans="1:12" ht="15" customHeight="1" x14ac:dyDescent="0.3">
      <c r="A218" s="1179" t="s">
        <v>960</v>
      </c>
      <c r="B218" s="1179"/>
      <c r="C218" s="120"/>
      <c r="D218" s="120"/>
      <c r="E218" s="120"/>
      <c r="F218" s="120"/>
      <c r="G218" s="120"/>
      <c r="H218" s="120"/>
      <c r="I218" s="120"/>
      <c r="J218" s="120"/>
    </row>
    <row r="219" spans="1:12" ht="45" hidden="1" customHeight="1" x14ac:dyDescent="0.3">
      <c r="B219" s="1175" t="s">
        <v>937</v>
      </c>
      <c r="C219" s="1175"/>
      <c r="D219" s="1175"/>
      <c r="E219" s="1175"/>
      <c r="F219" s="1175"/>
      <c r="G219" s="1175"/>
      <c r="H219" s="1175"/>
      <c r="I219" s="1175"/>
      <c r="J219" s="271"/>
    </row>
    <row r="220" spans="1:12" hidden="1" x14ac:dyDescent="0.3">
      <c r="B220" s="1162" t="s">
        <v>961</v>
      </c>
      <c r="C220" s="1162"/>
      <c r="D220" s="1162"/>
      <c r="E220" s="1162"/>
      <c r="F220" s="1162"/>
      <c r="G220" s="1162"/>
      <c r="H220" s="1162"/>
      <c r="I220" s="1162"/>
      <c r="J220" s="8">
        <f>J221+J222+J223+J224</f>
        <v>0</v>
      </c>
      <c r="K220" s="8">
        <f>K34</f>
        <v>0</v>
      </c>
      <c r="L220" s="8">
        <f>L34</f>
        <v>0</v>
      </c>
    </row>
    <row r="221" spans="1:12" hidden="1" x14ac:dyDescent="0.3">
      <c r="B221" s="195"/>
      <c r="C221" s="195"/>
      <c r="D221" s="195"/>
      <c r="E221" s="195"/>
      <c r="F221" s="195"/>
      <c r="G221" s="195"/>
      <c r="H221" s="195"/>
      <c r="I221" s="272" t="s">
        <v>86</v>
      </c>
      <c r="J221" s="8"/>
      <c r="K221" s="8"/>
      <c r="L221" s="8"/>
    </row>
    <row r="222" spans="1:12" hidden="1" x14ac:dyDescent="0.3">
      <c r="B222" s="195"/>
      <c r="C222" s="195"/>
      <c r="D222" s="195"/>
      <c r="E222" s="195"/>
      <c r="F222" s="195"/>
      <c r="G222" s="195"/>
      <c r="H222" s="195"/>
      <c r="I222" s="272" t="s">
        <v>93</v>
      </c>
      <c r="J222" s="8"/>
      <c r="K222" s="8"/>
      <c r="L222" s="8"/>
    </row>
    <row r="223" spans="1:12" hidden="1" x14ac:dyDescent="0.3">
      <c r="B223" s="195"/>
      <c r="C223" s="195"/>
      <c r="D223" s="195"/>
      <c r="E223" s="195"/>
      <c r="F223" s="195"/>
      <c r="G223" s="195"/>
      <c r="H223" s="195"/>
      <c r="I223" s="272" t="s">
        <v>121</v>
      </c>
      <c r="J223" s="8"/>
      <c r="K223" s="8"/>
      <c r="L223" s="8"/>
    </row>
    <row r="224" spans="1:12" hidden="1" x14ac:dyDescent="0.3">
      <c r="B224" s="195"/>
      <c r="C224" s="195"/>
      <c r="D224" s="195"/>
      <c r="E224" s="195"/>
      <c r="F224" s="195"/>
      <c r="G224" s="195"/>
      <c r="H224" s="195"/>
      <c r="I224" s="272" t="s">
        <v>124</v>
      </c>
      <c r="J224" s="8"/>
      <c r="K224" s="8"/>
      <c r="L224" s="8"/>
    </row>
    <row r="225" spans="2:12" hidden="1" x14ac:dyDescent="0.3">
      <c r="B225" s="1162" t="s">
        <v>962</v>
      </c>
      <c r="C225" s="1162"/>
      <c r="D225" s="1162"/>
      <c r="E225" s="1162"/>
      <c r="F225" s="1162"/>
      <c r="G225" s="1162"/>
      <c r="H225" s="1162"/>
      <c r="I225" s="1162"/>
      <c r="J225" s="8">
        <f>J226+J227+J228+J229</f>
        <v>299990.21000000002</v>
      </c>
      <c r="K225" s="8">
        <f>K7+K17+K18+K19+K20+K21+K22+K23+K24+K25+K26+K27+K28+K29</f>
        <v>0</v>
      </c>
      <c r="L225" s="8">
        <f>L7+L17+L18+L19+L20+L21+L22+L23+L24+L25+L26+L27+L28+L29</f>
        <v>0</v>
      </c>
    </row>
    <row r="226" spans="2:12" hidden="1" x14ac:dyDescent="0.3">
      <c r="B226" s="195"/>
      <c r="C226" s="195"/>
      <c r="D226" s="195"/>
      <c r="E226" s="195"/>
      <c r="F226" s="195"/>
      <c r="G226" s="195"/>
      <c r="H226" s="195"/>
      <c r="I226" s="272" t="s">
        <v>86</v>
      </c>
      <c r="J226" s="8">
        <f>J7+J17</f>
        <v>299990.21000000002</v>
      </c>
      <c r="K226" s="8"/>
      <c r="L226" s="8"/>
    </row>
    <row r="227" spans="2:12" hidden="1" x14ac:dyDescent="0.3">
      <c r="B227" s="195"/>
      <c r="C227" s="195"/>
      <c r="D227" s="195"/>
      <c r="E227" s="195"/>
      <c r="F227" s="195"/>
      <c r="G227" s="195"/>
      <c r="H227" s="195"/>
      <c r="I227" s="272" t="s">
        <v>93</v>
      </c>
      <c r="J227" s="8">
        <f>J37</f>
        <v>0</v>
      </c>
      <c r="K227" s="8"/>
      <c r="L227" s="8"/>
    </row>
    <row r="228" spans="2:12" hidden="1" x14ac:dyDescent="0.3">
      <c r="B228" s="195"/>
      <c r="C228" s="195"/>
      <c r="D228" s="195"/>
      <c r="E228" s="195"/>
      <c r="F228" s="195"/>
      <c r="G228" s="195"/>
      <c r="H228" s="195"/>
      <c r="I228" s="272" t="s">
        <v>121</v>
      </c>
      <c r="J228" s="8">
        <v>0</v>
      </c>
      <c r="K228" s="8"/>
      <c r="L228" s="8"/>
    </row>
    <row r="229" spans="2:12" hidden="1" x14ac:dyDescent="0.3">
      <c r="B229" s="195"/>
      <c r="C229" s="195"/>
      <c r="D229" s="195"/>
      <c r="E229" s="195"/>
      <c r="F229" s="195"/>
      <c r="G229" s="195"/>
      <c r="H229" s="195"/>
      <c r="I229" s="272" t="s">
        <v>124</v>
      </c>
      <c r="J229" s="8">
        <v>0</v>
      </c>
      <c r="K229" s="8"/>
      <c r="L229" s="8"/>
    </row>
    <row r="230" spans="2:12" hidden="1" x14ac:dyDescent="0.3">
      <c r="B230" s="1162" t="s">
        <v>547</v>
      </c>
      <c r="C230" s="1162"/>
      <c r="D230" s="1162"/>
      <c r="E230" s="1162"/>
      <c r="F230" s="1162"/>
      <c r="G230" s="1162"/>
      <c r="H230" s="1162"/>
      <c r="I230" s="1162"/>
      <c r="J230" s="8">
        <f>SUM(J220:J225)</f>
        <v>299990.21000000002</v>
      </c>
      <c r="K230" s="8">
        <f>SUM(K220:K225)</f>
        <v>0</v>
      </c>
      <c r="L230" s="8">
        <f>SUM(L220:L225)</f>
        <v>0</v>
      </c>
    </row>
    <row r="231" spans="2:12" hidden="1" x14ac:dyDescent="0.3">
      <c r="B231" s="1175" t="s">
        <v>940</v>
      </c>
      <c r="C231" s="1175"/>
      <c r="D231" s="1175"/>
      <c r="E231" s="1175"/>
      <c r="F231" s="1175"/>
      <c r="G231" s="1175"/>
      <c r="H231" s="1175"/>
      <c r="I231" s="1175"/>
      <c r="J231" s="271"/>
    </row>
    <row r="232" spans="2:12" hidden="1" x14ac:dyDescent="0.3">
      <c r="B232" s="1162" t="s">
        <v>963</v>
      </c>
      <c r="C232" s="1162"/>
      <c r="D232" s="1162"/>
      <c r="E232" s="1162"/>
      <c r="F232" s="1162"/>
      <c r="G232" s="1162"/>
      <c r="H232" s="1162"/>
      <c r="I232" s="1162"/>
      <c r="J232" s="8">
        <v>0</v>
      </c>
      <c r="K232" s="8">
        <f>K43+K45</f>
        <v>0</v>
      </c>
      <c r="L232" s="8">
        <f>L43+L45</f>
        <v>0</v>
      </c>
    </row>
    <row r="233" spans="2:12" hidden="1" x14ac:dyDescent="0.3">
      <c r="B233" s="1162" t="s">
        <v>964</v>
      </c>
      <c r="C233" s="1162"/>
      <c r="D233" s="1162"/>
      <c r="E233" s="1162"/>
      <c r="F233" s="1162"/>
      <c r="G233" s="1162"/>
      <c r="H233" s="1162"/>
      <c r="I233" s="1162"/>
      <c r="J233" s="8">
        <f>J43</f>
        <v>0</v>
      </c>
      <c r="K233" s="8"/>
      <c r="L233" s="8"/>
    </row>
    <row r="234" spans="2:12" hidden="1" x14ac:dyDescent="0.3">
      <c r="B234" s="1162" t="s">
        <v>965</v>
      </c>
      <c r="C234" s="1162"/>
      <c r="D234" s="1162"/>
      <c r="E234" s="1162"/>
      <c r="F234" s="1162"/>
      <c r="G234" s="1162"/>
      <c r="H234" s="1162"/>
      <c r="I234" s="1162"/>
      <c r="J234" s="8">
        <f>J44</f>
        <v>0</v>
      </c>
      <c r="K234" s="8">
        <f>K44</f>
        <v>0</v>
      </c>
      <c r="L234" s="8">
        <f>L44</f>
        <v>0</v>
      </c>
    </row>
    <row r="235" spans="2:12" hidden="1" x14ac:dyDescent="0.3">
      <c r="B235" s="1162" t="s">
        <v>547</v>
      </c>
      <c r="C235" s="1162"/>
      <c r="D235" s="1162"/>
      <c r="E235" s="1162"/>
      <c r="F235" s="1162"/>
      <c r="G235" s="1162"/>
      <c r="H235" s="1162"/>
      <c r="I235" s="1162"/>
      <c r="J235" s="8">
        <f>SUM(J232:J234)</f>
        <v>0</v>
      </c>
      <c r="K235" s="8">
        <f>SUM(K232:K234)</f>
        <v>0</v>
      </c>
      <c r="L235" s="8">
        <f>SUM(L232:L234)</f>
        <v>0</v>
      </c>
    </row>
    <row r="236" spans="2:12" hidden="1" x14ac:dyDescent="0.3">
      <c r="B236" s="1175" t="s">
        <v>942</v>
      </c>
      <c r="C236" s="1175"/>
      <c r="D236" s="1175"/>
      <c r="E236" s="1175"/>
      <c r="F236" s="1175"/>
      <c r="G236" s="1175"/>
      <c r="H236" s="1175"/>
      <c r="I236" s="1175"/>
      <c r="J236" s="271"/>
    </row>
    <row r="237" spans="2:12" hidden="1" x14ac:dyDescent="0.3">
      <c r="B237" s="1162" t="s">
        <v>966</v>
      </c>
      <c r="C237" s="1162"/>
      <c r="D237" s="1162"/>
      <c r="E237" s="1162"/>
      <c r="F237" s="1162"/>
      <c r="G237" s="1162"/>
      <c r="H237" s="1162"/>
      <c r="I237" s="1162"/>
      <c r="J237" s="118">
        <f>J55+J56+J60+J62+J63+J64+J76+J77+J190+J191+J192+J67+J68+J69+J96+J97+J70+J181+J105+J85</f>
        <v>4570021.099999994</v>
      </c>
      <c r="K237" s="118">
        <f>K60+K62+K63+K64+K72+K76+K77+K85+K96+K97</f>
        <v>1000000</v>
      </c>
      <c r="L237" s="118">
        <f>L60+L62+L63+L64+L72+L76+L77+L85+L96+L97</f>
        <v>1000000</v>
      </c>
    </row>
    <row r="238" spans="2:12" hidden="1" x14ac:dyDescent="0.3">
      <c r="B238" s="1162" t="s">
        <v>967</v>
      </c>
      <c r="C238" s="1162"/>
      <c r="D238" s="1162"/>
      <c r="E238" s="1162"/>
      <c r="F238" s="1162"/>
      <c r="G238" s="1162"/>
      <c r="H238" s="1162"/>
      <c r="I238" s="1162"/>
      <c r="J238" s="118">
        <f>J194</f>
        <v>0</v>
      </c>
      <c r="K238" s="118">
        <f>K208+K199</f>
        <v>0</v>
      </c>
      <c r="L238" s="118">
        <f>L208+L199</f>
        <v>0</v>
      </c>
    </row>
    <row r="239" spans="2:12" hidden="1" x14ac:dyDescent="0.3">
      <c r="B239" s="1162" t="s">
        <v>968</v>
      </c>
      <c r="C239" s="1162"/>
      <c r="D239" s="1162"/>
      <c r="E239" s="1162"/>
      <c r="F239" s="1162"/>
      <c r="G239" s="1162"/>
      <c r="H239" s="1162"/>
      <c r="I239" s="1162"/>
      <c r="J239" s="118">
        <f>J113+J114+J121</f>
        <v>2027000</v>
      </c>
      <c r="K239" s="118">
        <f>K122+K121+K114+K125+K126+K127+K128+K129+K130+K131+K132+K133+K135+K136+K137+K138+K139+K140+K141+K142</f>
        <v>0</v>
      </c>
      <c r="L239" s="118">
        <f>L122+L121+L114+L125+L126+L127+L128+L129+L130+L131+L132+L133+L135+L136+L137+L138+L139+L140+L141+L142</f>
        <v>0</v>
      </c>
    </row>
    <row r="240" spans="2:12" hidden="1" x14ac:dyDescent="0.3">
      <c r="B240" s="1162" t="s">
        <v>969</v>
      </c>
      <c r="C240" s="1162"/>
      <c r="D240" s="1162"/>
      <c r="E240" s="1162"/>
      <c r="F240" s="1162"/>
      <c r="G240" s="1162"/>
      <c r="H240" s="1162"/>
      <c r="I240" s="1162"/>
      <c r="J240" s="118">
        <f>J59+J61</f>
        <v>200050</v>
      </c>
      <c r="K240" s="118">
        <f>K123+K62</f>
        <v>0</v>
      </c>
      <c r="L240" s="118">
        <f>L123+L62</f>
        <v>0</v>
      </c>
    </row>
    <row r="241" spans="2:12" hidden="1" x14ac:dyDescent="0.3">
      <c r="B241" s="1162" t="s">
        <v>547</v>
      </c>
      <c r="C241" s="1162"/>
      <c r="D241" s="1162"/>
      <c r="E241" s="1162"/>
      <c r="F241" s="1162"/>
      <c r="G241" s="1162"/>
      <c r="H241" s="1162"/>
      <c r="I241" s="1162"/>
      <c r="J241" s="118">
        <f>SUM(J237:J240)</f>
        <v>6797071.099999994</v>
      </c>
      <c r="K241" s="118">
        <f>SUM(K237:K240)</f>
        <v>1000000</v>
      </c>
      <c r="L241" s="118">
        <f>SUM(L237:L240)</f>
        <v>1000000</v>
      </c>
    </row>
    <row r="242" spans="2:12" hidden="1" x14ac:dyDescent="0.3">
      <c r="B242" s="1175" t="s">
        <v>970</v>
      </c>
      <c r="C242" s="1175"/>
      <c r="D242" s="1175"/>
      <c r="E242" s="1175"/>
      <c r="F242" s="1175"/>
      <c r="G242" s="1175"/>
      <c r="H242" s="1175"/>
      <c r="I242" s="1175"/>
      <c r="J242" s="273">
        <f>J230-(J241-J235)</f>
        <v>-6497080.8899999941</v>
      </c>
      <c r="K242" s="273">
        <f>K230-(K241-K235)</f>
        <v>-1000000</v>
      </c>
      <c r="L242" s="273">
        <f>L230-(L241-L235)</f>
        <v>-1000000</v>
      </c>
    </row>
    <row r="244" spans="2:12" x14ac:dyDescent="0.3">
      <c r="I244" s="195"/>
    </row>
  </sheetData>
  <mergeCells count="60">
    <mergeCell ref="A1:L1"/>
    <mergeCell ref="A2:L2"/>
    <mergeCell ref="A4:L4"/>
    <mergeCell ref="A5:A6"/>
    <mergeCell ref="B5:H6"/>
    <mergeCell ref="I5:I6"/>
    <mergeCell ref="J5:L5"/>
    <mergeCell ref="B48:I48"/>
    <mergeCell ref="B38:I38"/>
    <mergeCell ref="B40:J40"/>
    <mergeCell ref="A41:A42"/>
    <mergeCell ref="B41:H42"/>
    <mergeCell ref="I41:I42"/>
    <mergeCell ref="J41:L41"/>
    <mergeCell ref="B43:H43"/>
    <mergeCell ref="B44:H44"/>
    <mergeCell ref="B45:H45"/>
    <mergeCell ref="B46:H46"/>
    <mergeCell ref="B47:H47"/>
    <mergeCell ref="B51:J51"/>
    <mergeCell ref="A52:A53"/>
    <mergeCell ref="B52:B53"/>
    <mergeCell ref="C52:C53"/>
    <mergeCell ref="D52:D53"/>
    <mergeCell ref="E52:G53"/>
    <mergeCell ref="H52:H53"/>
    <mergeCell ref="I52:I53"/>
    <mergeCell ref="J52:L52"/>
    <mergeCell ref="B198:I198"/>
    <mergeCell ref="B54:I54"/>
    <mergeCell ref="B71:I71"/>
    <mergeCell ref="B74:I74"/>
    <mergeCell ref="B95:I95"/>
    <mergeCell ref="B109:I109"/>
    <mergeCell ref="B112:I112"/>
    <mergeCell ref="B152:I152"/>
    <mergeCell ref="B166:I166"/>
    <mergeCell ref="B173:I173"/>
    <mergeCell ref="B189:I189"/>
    <mergeCell ref="B194:I194"/>
    <mergeCell ref="B234:I234"/>
    <mergeCell ref="B209:I209"/>
    <mergeCell ref="A213:H213"/>
    <mergeCell ref="I213:J213"/>
    <mergeCell ref="A218:B218"/>
    <mergeCell ref="B219:I219"/>
    <mergeCell ref="B220:I220"/>
    <mergeCell ref="B225:I225"/>
    <mergeCell ref="B230:I230"/>
    <mergeCell ref="B231:I231"/>
    <mergeCell ref="B232:I232"/>
    <mergeCell ref="B233:I233"/>
    <mergeCell ref="B241:I241"/>
    <mergeCell ref="B242:I242"/>
    <mergeCell ref="B235:I235"/>
    <mergeCell ref="B236:I236"/>
    <mergeCell ref="B237:I237"/>
    <mergeCell ref="B238:I238"/>
    <mergeCell ref="B239:I239"/>
    <mergeCell ref="B240:I240"/>
  </mergeCells>
  <pageMargins left="0.70866141732283472" right="0.70866141732283472" top="0.74803149606299213" bottom="0" header="0.31496062992125984" footer="0.31496062992125984"/>
  <pageSetup paperSize="9" scale="5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28</vt:i4>
      </vt:variant>
      <vt:variant>
        <vt:lpstr>Именованные диапазоны</vt:lpstr>
      </vt:variant>
      <vt:variant>
        <vt:i4>9</vt:i4>
      </vt:variant>
    </vt:vector>
  </HeadingPairs>
  <TitlesOfParts>
    <vt:vector size="37" baseType="lpstr">
      <vt:lpstr>П1_ГАД(АД)</vt:lpstr>
      <vt:lpstr>п2 источники</vt:lpstr>
      <vt:lpstr>п3 доходы</vt:lpstr>
      <vt:lpstr>п4 распределение</vt:lpstr>
      <vt:lpstr>П3_Доходы</vt:lpstr>
      <vt:lpstr>п6  программы</vt:lpstr>
      <vt:lpstr>п7 распределение</vt:lpstr>
      <vt:lpstr>п8</vt:lpstr>
      <vt:lpstr>информация</vt:lpstr>
      <vt:lpstr>доп. информация</vt:lpstr>
      <vt:lpstr>прогноз конс.бюдж.</vt:lpstr>
      <vt:lpstr>ожидаемое исполнение</vt:lpstr>
      <vt:lpstr>верхн.пред.долга</vt:lpstr>
      <vt:lpstr>мун.заим.</vt:lpstr>
      <vt:lpstr>проект предост.бюдж.кред.</vt:lpstr>
      <vt:lpstr>Лист10</vt:lpstr>
      <vt:lpstr>на 01.02.16</vt:lpstr>
      <vt:lpstr>на 01.03.16</vt:lpstr>
      <vt:lpstr>на 01.04.16</vt:lpstr>
      <vt:lpstr>на 01.05.16</vt:lpstr>
      <vt:lpstr>на 01.06.16</vt:lpstr>
      <vt:lpstr>на 01.07.16</vt:lpstr>
      <vt:lpstr>на 01.08.2016</vt:lpstr>
      <vt:lpstr>на 01.09.16</vt:lpstr>
      <vt:lpstr>на 01.10.16</vt:lpstr>
      <vt:lpstr>на 01.11.16</vt:lpstr>
      <vt:lpstr>на 01.12.16</vt:lpstr>
      <vt:lpstr>01.01.2017</vt:lpstr>
      <vt:lpstr>'ожидаемое исполнение'!Заголовки_для_печати</vt:lpstr>
      <vt:lpstr>П3_Доходы!Заголовки_для_печати</vt:lpstr>
      <vt:lpstr>'01.01.2017'!Область_печати</vt:lpstr>
      <vt:lpstr>'на 01.02.16'!Область_печати</vt:lpstr>
      <vt:lpstr>'на 01.03.16'!Область_печати</vt:lpstr>
      <vt:lpstr>'на 01.04.16'!Область_печати</vt:lpstr>
      <vt:lpstr>'на 01.10.16'!Область_печати</vt:lpstr>
      <vt:lpstr>'на 01.11.16'!Область_печати</vt:lpstr>
      <vt:lpstr>'на 01.12.16'!Область_печати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2017-05-30T07:57:21Z</dcterms:modified>
</cp:coreProperties>
</file>