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т_1" sheetId="1" r:id="rId1"/>
    <sheet name="т_2" sheetId="2" r:id="rId2"/>
    <sheet name="Лист3" sheetId="3" r:id="rId3"/>
    <sheet name="грбс" sheetId="4" r:id="rId4"/>
  </sheets>
  <calcPr calcId="152511"/>
</workbook>
</file>

<file path=xl/calcChain.xml><?xml version="1.0" encoding="utf-8"?>
<calcChain xmlns="http://schemas.openxmlformats.org/spreadsheetml/2006/main">
  <c r="F19" i="1" l="1"/>
  <c r="F18" i="1"/>
  <c r="F17" i="1"/>
  <c r="F16" i="1"/>
  <c r="F14" i="1"/>
  <c r="D20" i="1"/>
  <c r="D13" i="1"/>
  <c r="D11" i="1"/>
  <c r="D9" i="1"/>
  <c r="D8" i="1"/>
  <c r="D7" i="1"/>
  <c r="D5" i="1"/>
  <c r="D4" i="1"/>
  <c r="D3" i="1"/>
  <c r="D2" i="1" s="1"/>
  <c r="D23" i="1" l="1"/>
  <c r="F26" i="3"/>
  <c r="E50" i="3"/>
  <c r="E12" i="3"/>
  <c r="I747" i="4" l="1"/>
  <c r="H747" i="4"/>
  <c r="I746" i="4"/>
  <c r="H746" i="4"/>
  <c r="G746" i="4"/>
  <c r="I745" i="4"/>
  <c r="H745" i="4"/>
  <c r="G745" i="4"/>
  <c r="I740" i="4"/>
  <c r="H740" i="4"/>
  <c r="G740" i="4"/>
  <c r="I739" i="4"/>
  <c r="H739" i="4"/>
  <c r="G739" i="4"/>
  <c r="H738" i="4"/>
  <c r="I737" i="4"/>
  <c r="H737" i="4"/>
  <c r="G737" i="4"/>
  <c r="I730" i="4"/>
  <c r="H730" i="4"/>
  <c r="G730" i="4"/>
  <c r="I729" i="4"/>
  <c r="H729" i="4"/>
  <c r="G729" i="4"/>
  <c r="I720" i="4"/>
  <c r="H720" i="4"/>
  <c r="G720" i="4"/>
  <c r="I715" i="4"/>
  <c r="H715" i="4"/>
  <c r="J693" i="4"/>
  <c r="I692" i="4"/>
  <c r="H692" i="4"/>
  <c r="G692" i="4"/>
  <c r="J691" i="4"/>
  <c r="I690" i="4"/>
  <c r="H690" i="4"/>
  <c r="G690" i="4"/>
  <c r="J689" i="4"/>
  <c r="I688" i="4"/>
  <c r="H688" i="4"/>
  <c r="H687" i="4" s="1"/>
  <c r="H686" i="4" s="1"/>
  <c r="G688" i="4"/>
  <c r="J681" i="4"/>
  <c r="I680" i="4"/>
  <c r="I679" i="4" s="1"/>
  <c r="I678" i="4" s="1"/>
  <c r="H680" i="4"/>
  <c r="G680" i="4"/>
  <c r="G679" i="4"/>
  <c r="G678" i="4" s="1"/>
  <c r="J677" i="4"/>
  <c r="I676" i="4"/>
  <c r="I675" i="4" s="1"/>
  <c r="I674" i="4" s="1"/>
  <c r="H676" i="4"/>
  <c r="G676" i="4"/>
  <c r="G675" i="4"/>
  <c r="G674" i="4" s="1"/>
  <c r="J670" i="4"/>
  <c r="J669" i="4"/>
  <c r="I668" i="4"/>
  <c r="H668" i="4"/>
  <c r="G668" i="4"/>
  <c r="J667" i="4"/>
  <c r="J666" i="4"/>
  <c r="J665" i="4"/>
  <c r="I664" i="4"/>
  <c r="H664" i="4"/>
  <c r="G664" i="4"/>
  <c r="J660" i="4"/>
  <c r="J659" i="4"/>
  <c r="H658" i="4"/>
  <c r="G658" i="4"/>
  <c r="J657" i="4"/>
  <c r="J656" i="4"/>
  <c r="J655" i="4"/>
  <c r="I654" i="4"/>
  <c r="H654" i="4"/>
  <c r="G654" i="4"/>
  <c r="J653" i="4"/>
  <c r="I651" i="4"/>
  <c r="H651" i="4"/>
  <c r="J651" i="4" s="1"/>
  <c r="G651" i="4"/>
  <c r="J650" i="4"/>
  <c r="J649" i="4"/>
  <c r="I648" i="4"/>
  <c r="H648" i="4"/>
  <c r="G648" i="4"/>
  <c r="J647" i="4"/>
  <c r="J646" i="4"/>
  <c r="I645" i="4"/>
  <c r="H645" i="4"/>
  <c r="G645" i="4"/>
  <c r="J644" i="4"/>
  <c r="I643" i="4"/>
  <c r="H643" i="4"/>
  <c r="G643" i="4"/>
  <c r="I642" i="4"/>
  <c r="I637" i="4" s="1"/>
  <c r="J641" i="4"/>
  <c r="J640" i="4"/>
  <c r="I639" i="4"/>
  <c r="I638" i="4" s="1"/>
  <c r="H639" i="4"/>
  <c r="H638" i="4" s="1"/>
  <c r="J638" i="4" s="1"/>
  <c r="G639" i="4"/>
  <c r="G638" i="4" s="1"/>
  <c r="J631" i="4"/>
  <c r="I631" i="4"/>
  <c r="I630" i="4" s="1"/>
  <c r="H630" i="4"/>
  <c r="G630" i="4"/>
  <c r="J629" i="4"/>
  <c r="J628" i="4"/>
  <c r="J627" i="4"/>
  <c r="I626" i="4"/>
  <c r="H626" i="4"/>
  <c r="G626" i="4"/>
  <c r="J625" i="4"/>
  <c r="J624" i="4"/>
  <c r="J623" i="4"/>
  <c r="I622" i="4"/>
  <c r="I621" i="4" s="1"/>
  <c r="H622" i="4"/>
  <c r="G622" i="4"/>
  <c r="J620" i="4"/>
  <c r="J619" i="4"/>
  <c r="J618" i="4"/>
  <c r="I617" i="4"/>
  <c r="H617" i="4"/>
  <c r="G617" i="4"/>
  <c r="I615" i="4"/>
  <c r="H615" i="4"/>
  <c r="G615" i="4"/>
  <c r="J613" i="4"/>
  <c r="J612" i="4"/>
  <c r="I611" i="4"/>
  <c r="H611" i="4"/>
  <c r="G611" i="4"/>
  <c r="G610" i="4" s="1"/>
  <c r="J585" i="4"/>
  <c r="I584" i="4"/>
  <c r="H584" i="4"/>
  <c r="G584" i="4"/>
  <c r="J583" i="4"/>
  <c r="I582" i="4"/>
  <c r="H582" i="4"/>
  <c r="G582" i="4"/>
  <c r="J581" i="4"/>
  <c r="H580" i="4"/>
  <c r="G580" i="4"/>
  <c r="J579" i="4"/>
  <c r="I578" i="4"/>
  <c r="H578" i="4"/>
  <c r="G578" i="4"/>
  <c r="J577" i="4"/>
  <c r="H576" i="4"/>
  <c r="G576" i="4"/>
  <c r="J575" i="4"/>
  <c r="H574" i="4"/>
  <c r="G574" i="4"/>
  <c r="J573" i="4"/>
  <c r="H572" i="4"/>
  <c r="G572" i="4"/>
  <c r="J571" i="4"/>
  <c r="I570" i="4"/>
  <c r="H570" i="4"/>
  <c r="G570" i="4"/>
  <c r="J569" i="4"/>
  <c r="I568" i="4"/>
  <c r="H568" i="4"/>
  <c r="G568" i="4"/>
  <c r="J567" i="4"/>
  <c r="I566" i="4"/>
  <c r="H566" i="4"/>
  <c r="G566" i="4"/>
  <c r="J563" i="4"/>
  <c r="I562" i="4"/>
  <c r="H562" i="4"/>
  <c r="G562" i="4"/>
  <c r="J561" i="4"/>
  <c r="I560" i="4"/>
  <c r="H560" i="4"/>
  <c r="G560" i="4"/>
  <c r="J559" i="4"/>
  <c r="I558" i="4"/>
  <c r="H558" i="4"/>
  <c r="G558" i="4"/>
  <c r="J557" i="4"/>
  <c r="I556" i="4"/>
  <c r="H556" i="4"/>
  <c r="G556" i="4"/>
  <c r="J555" i="4"/>
  <c r="I554" i="4"/>
  <c r="H554" i="4"/>
  <c r="G554" i="4"/>
  <c r="J552" i="4"/>
  <c r="I552" i="4"/>
  <c r="I551" i="4" s="1"/>
  <c r="H551" i="4"/>
  <c r="G551" i="4"/>
  <c r="J550" i="4"/>
  <c r="I549" i="4"/>
  <c r="H549" i="4"/>
  <c r="G549" i="4"/>
  <c r="J548" i="4"/>
  <c r="H547" i="4"/>
  <c r="G547" i="4"/>
  <c r="J547" i="4" s="1"/>
  <c r="J546" i="4"/>
  <c r="H545" i="4"/>
  <c r="G545" i="4"/>
  <c r="J544" i="4"/>
  <c r="I543" i="4"/>
  <c r="H543" i="4"/>
  <c r="J543" i="4" s="1"/>
  <c r="G543" i="4"/>
  <c r="J542" i="4"/>
  <c r="I541" i="4"/>
  <c r="H541" i="4"/>
  <c r="G541" i="4"/>
  <c r="J540" i="4"/>
  <c r="I539" i="4"/>
  <c r="H539" i="4"/>
  <c r="J539" i="4" s="1"/>
  <c r="G539" i="4"/>
  <c r="J538" i="4"/>
  <c r="I537" i="4"/>
  <c r="H537" i="4"/>
  <c r="J537" i="4" s="1"/>
  <c r="G537" i="4"/>
  <c r="J536" i="4"/>
  <c r="I535" i="4"/>
  <c r="H535" i="4"/>
  <c r="J535" i="4" s="1"/>
  <c r="G535" i="4"/>
  <c r="J534" i="4"/>
  <c r="I533" i="4"/>
  <c r="H533" i="4"/>
  <c r="J533" i="4" s="1"/>
  <c r="G533" i="4"/>
  <c r="J532" i="4"/>
  <c r="I531" i="4"/>
  <c r="H531" i="4"/>
  <c r="G531" i="4"/>
  <c r="J530" i="4"/>
  <c r="I529" i="4"/>
  <c r="H529" i="4"/>
  <c r="J529" i="4" s="1"/>
  <c r="G529" i="4"/>
  <c r="J528" i="4"/>
  <c r="I527" i="4"/>
  <c r="H527" i="4"/>
  <c r="J527" i="4" s="1"/>
  <c r="G527" i="4"/>
  <c r="J526" i="4"/>
  <c r="I525" i="4"/>
  <c r="H525" i="4"/>
  <c r="J525" i="4" s="1"/>
  <c r="G525" i="4"/>
  <c r="J524" i="4"/>
  <c r="I523" i="4"/>
  <c r="H523" i="4"/>
  <c r="G523" i="4"/>
  <c r="J522" i="4"/>
  <c r="I521" i="4"/>
  <c r="H521" i="4"/>
  <c r="J521" i="4" s="1"/>
  <c r="G521" i="4"/>
  <c r="J520" i="4"/>
  <c r="I519" i="4"/>
  <c r="H519" i="4"/>
  <c r="J519" i="4" s="1"/>
  <c r="G519" i="4"/>
  <c r="J518" i="4"/>
  <c r="I517" i="4"/>
  <c r="H517" i="4"/>
  <c r="J517" i="4" s="1"/>
  <c r="G517" i="4"/>
  <c r="J515" i="4"/>
  <c r="H514" i="4"/>
  <c r="G514" i="4"/>
  <c r="J513" i="4"/>
  <c r="I512" i="4"/>
  <c r="H512" i="4"/>
  <c r="G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I499" i="4"/>
  <c r="H499" i="4"/>
  <c r="G499" i="4"/>
  <c r="H498" i="4"/>
  <c r="G498" i="4"/>
  <c r="I497" i="4"/>
  <c r="H497" i="4"/>
  <c r="J496" i="4"/>
  <c r="I495" i="4"/>
  <c r="H495" i="4"/>
  <c r="G495" i="4"/>
  <c r="I493" i="4"/>
  <c r="H493" i="4"/>
  <c r="G493" i="4"/>
  <c r="J492" i="4"/>
  <c r="I491" i="4"/>
  <c r="H491" i="4"/>
  <c r="G491" i="4"/>
  <c r="J490" i="4"/>
  <c r="I489" i="4"/>
  <c r="H489" i="4"/>
  <c r="G489" i="4"/>
  <c r="J488" i="4"/>
  <c r="I487" i="4"/>
  <c r="H487" i="4"/>
  <c r="G487" i="4"/>
  <c r="J486" i="4"/>
  <c r="I486" i="4"/>
  <c r="I485" i="4" s="1"/>
  <c r="H485" i="4"/>
  <c r="G485" i="4"/>
  <c r="J484" i="4"/>
  <c r="I483" i="4"/>
  <c r="H483" i="4"/>
  <c r="G483" i="4"/>
  <c r="J482" i="4"/>
  <c r="H481" i="4"/>
  <c r="G481" i="4"/>
  <c r="J480" i="4"/>
  <c r="H479" i="4"/>
  <c r="G479" i="4"/>
  <c r="J478" i="4"/>
  <c r="I477" i="4"/>
  <c r="H477" i="4"/>
  <c r="G477" i="4"/>
  <c r="J476" i="4"/>
  <c r="I475" i="4"/>
  <c r="H475" i="4"/>
  <c r="G475" i="4"/>
  <c r="J474" i="4"/>
  <c r="I473" i="4"/>
  <c r="I471" i="4" s="1"/>
  <c r="H473" i="4"/>
  <c r="H471" i="4" s="1"/>
  <c r="G473" i="4"/>
  <c r="G471" i="4" s="1"/>
  <c r="J472" i="4"/>
  <c r="J470" i="4"/>
  <c r="I469" i="4"/>
  <c r="H469" i="4"/>
  <c r="G469" i="4"/>
  <c r="J468" i="4"/>
  <c r="I467" i="4"/>
  <c r="H467" i="4"/>
  <c r="G467" i="4"/>
  <c r="J466" i="4"/>
  <c r="I465" i="4"/>
  <c r="H465" i="4"/>
  <c r="G465" i="4"/>
  <c r="J464" i="4"/>
  <c r="I463" i="4"/>
  <c r="H463" i="4"/>
  <c r="G463" i="4"/>
  <c r="I402" i="4"/>
  <c r="H402" i="4"/>
  <c r="G402" i="4"/>
  <c r="J401" i="4"/>
  <c r="I400" i="4"/>
  <c r="I399" i="4" s="1"/>
  <c r="H400" i="4"/>
  <c r="G400" i="4"/>
  <c r="G399" i="4"/>
  <c r="J397" i="4"/>
  <c r="I396" i="4"/>
  <c r="H396" i="4"/>
  <c r="G396" i="4"/>
  <c r="I394" i="4"/>
  <c r="I393" i="4" s="1"/>
  <c r="I392" i="4" s="1"/>
  <c r="H394" i="4"/>
  <c r="G394" i="4"/>
  <c r="J391" i="4"/>
  <c r="H389" i="4"/>
  <c r="G389" i="4"/>
  <c r="G388" i="4"/>
  <c r="G387" i="4" s="1"/>
  <c r="J380" i="4"/>
  <c r="J379" i="4"/>
  <c r="J378" i="4"/>
  <c r="J377" i="4"/>
  <c r="J376" i="4"/>
  <c r="J375" i="4"/>
  <c r="J374" i="4"/>
  <c r="J373" i="4"/>
  <c r="J372" i="4"/>
  <c r="H370" i="4"/>
  <c r="G370" i="4"/>
  <c r="G369" i="4"/>
  <c r="J368" i="4"/>
  <c r="J367" i="4"/>
  <c r="J366" i="4"/>
  <c r="J364" i="4"/>
  <c r="J363" i="4"/>
  <c r="J362" i="4"/>
  <c r="J361" i="4"/>
  <c r="J360" i="4"/>
  <c r="J359" i="4"/>
  <c r="J358" i="4"/>
  <c r="J357" i="4"/>
  <c r="H355" i="4"/>
  <c r="H354" i="4" s="1"/>
  <c r="G355" i="4"/>
  <c r="G354" i="4" s="1"/>
  <c r="J352" i="4"/>
  <c r="J351" i="4"/>
  <c r="H349" i="4"/>
  <c r="G349" i="4"/>
  <c r="G348" i="4" s="1"/>
  <c r="J347" i="4"/>
  <c r="J346" i="4"/>
  <c r="J345" i="4"/>
  <c r="J344" i="4"/>
  <c r="J343" i="4"/>
  <c r="H341" i="4"/>
  <c r="H340" i="4" s="1"/>
  <c r="G341" i="4"/>
  <c r="G340" i="4" s="1"/>
  <c r="J338" i="4"/>
  <c r="J337" i="4"/>
  <c r="J336" i="4"/>
  <c r="H334" i="4"/>
  <c r="G334" i="4"/>
  <c r="G333" i="4" s="1"/>
  <c r="H333" i="4"/>
  <c r="J332" i="4"/>
  <c r="H330" i="4"/>
  <c r="G330" i="4"/>
  <c r="G328" i="4"/>
  <c r="J326" i="4"/>
  <c r="H324" i="4"/>
  <c r="G324" i="4"/>
  <c r="G323" i="4" s="1"/>
  <c r="G322" i="4" s="1"/>
  <c r="H323" i="4"/>
  <c r="I320" i="4"/>
  <c r="I319" i="4" s="1"/>
  <c r="H320" i="4"/>
  <c r="H319" i="4" s="1"/>
  <c r="G320" i="4"/>
  <c r="G319" i="4" s="1"/>
  <c r="J318" i="4"/>
  <c r="J317" i="4"/>
  <c r="J316" i="4"/>
  <c r="J315" i="4"/>
  <c r="J314" i="4"/>
  <c r="I313" i="4"/>
  <c r="H313" i="4"/>
  <c r="G313" i="4"/>
  <c r="J312" i="4"/>
  <c r="J311" i="4"/>
  <c r="J310" i="4"/>
  <c r="I309" i="4"/>
  <c r="I718" i="4" s="1"/>
  <c r="H309" i="4"/>
  <c r="G309" i="4"/>
  <c r="I305" i="4"/>
  <c r="I304" i="4" s="1"/>
  <c r="H305" i="4"/>
  <c r="G305" i="4"/>
  <c r="G304" i="4"/>
  <c r="I301" i="4"/>
  <c r="I300" i="4" s="1"/>
  <c r="H301" i="4"/>
  <c r="G301" i="4"/>
  <c r="G300" i="4"/>
  <c r="J299" i="4"/>
  <c r="H298" i="4"/>
  <c r="G298" i="4"/>
  <c r="J297" i="4"/>
  <c r="I296" i="4"/>
  <c r="H296" i="4"/>
  <c r="G296" i="4"/>
  <c r="J295" i="4"/>
  <c r="I294" i="4"/>
  <c r="I293" i="4" s="1"/>
  <c r="H294" i="4"/>
  <c r="J294" i="4" s="1"/>
  <c r="G294" i="4"/>
  <c r="H291" i="4"/>
  <c r="G291" i="4"/>
  <c r="J290" i="4"/>
  <c r="I289" i="4"/>
  <c r="I288" i="4" s="1"/>
  <c r="H289" i="4"/>
  <c r="H288" i="4" s="1"/>
  <c r="G289" i="4"/>
  <c r="J286" i="4"/>
  <c r="J285" i="4"/>
  <c r="I285" i="4"/>
  <c r="I284" i="4" s="1"/>
  <c r="H284" i="4"/>
  <c r="G284" i="4"/>
  <c r="J283" i="4"/>
  <c r="I282" i="4"/>
  <c r="H282" i="4"/>
  <c r="G282" i="4"/>
  <c r="H281" i="4"/>
  <c r="J276" i="4"/>
  <c r="I275" i="4"/>
  <c r="H275" i="4"/>
  <c r="G275" i="4"/>
  <c r="J274" i="4"/>
  <c r="J273" i="4"/>
  <c r="I272" i="4"/>
  <c r="H272" i="4"/>
  <c r="G272" i="4"/>
  <c r="I270" i="4"/>
  <c r="H270" i="4"/>
  <c r="G270" i="4"/>
  <c r="J269" i="4"/>
  <c r="H268" i="4"/>
  <c r="G268" i="4"/>
  <c r="J267" i="4"/>
  <c r="H266" i="4"/>
  <c r="G266" i="4"/>
  <c r="J265" i="4"/>
  <c r="I264" i="4"/>
  <c r="H264" i="4"/>
  <c r="G264" i="4"/>
  <c r="J263" i="4"/>
  <c r="I262" i="4"/>
  <c r="H262" i="4"/>
  <c r="G262" i="4"/>
  <c r="J260" i="4"/>
  <c r="H259" i="4"/>
  <c r="G259" i="4"/>
  <c r="J258" i="4"/>
  <c r="I257" i="4"/>
  <c r="I256" i="4" s="1"/>
  <c r="H257" i="4"/>
  <c r="G257" i="4"/>
  <c r="G256" i="4" s="1"/>
  <c r="J254" i="4"/>
  <c r="J253" i="4"/>
  <c r="I252" i="4"/>
  <c r="I251" i="4" s="1"/>
  <c r="H252" i="4"/>
  <c r="G252" i="4"/>
  <c r="G251" i="4"/>
  <c r="I250" i="4"/>
  <c r="I249" i="4" s="1"/>
  <c r="I248" i="4" s="1"/>
  <c r="H250" i="4"/>
  <c r="G250" i="4"/>
  <c r="G249" i="4"/>
  <c r="G248" i="4" s="1"/>
  <c r="J246" i="4"/>
  <c r="I245" i="4"/>
  <c r="H245" i="4"/>
  <c r="G245" i="4"/>
  <c r="I243" i="4"/>
  <c r="H243" i="4"/>
  <c r="G243" i="4"/>
  <c r="I241" i="4"/>
  <c r="H241" i="4"/>
  <c r="G241" i="4"/>
  <c r="I237" i="4"/>
  <c r="H237" i="4"/>
  <c r="G237" i="4"/>
  <c r="J236" i="4"/>
  <c r="I235" i="4"/>
  <c r="H235" i="4"/>
  <c r="G235" i="4"/>
  <c r="J234" i="4"/>
  <c r="I233" i="4"/>
  <c r="H233" i="4"/>
  <c r="G233" i="4"/>
  <c r="I231" i="4"/>
  <c r="H231" i="4"/>
  <c r="G231" i="4"/>
  <c r="J228" i="4"/>
  <c r="J227" i="4"/>
  <c r="I226" i="4"/>
  <c r="I225" i="4" s="1"/>
  <c r="H226" i="4"/>
  <c r="G226" i="4"/>
  <c r="G225" i="4" s="1"/>
  <c r="J222" i="4"/>
  <c r="I221" i="4"/>
  <c r="H221" i="4"/>
  <c r="G221" i="4"/>
  <c r="J220" i="4"/>
  <c r="I219" i="4"/>
  <c r="H219" i="4"/>
  <c r="G219" i="4"/>
  <c r="J218" i="4"/>
  <c r="I217" i="4"/>
  <c r="H217" i="4"/>
  <c r="G217" i="4"/>
  <c r="J216" i="4"/>
  <c r="I215" i="4"/>
  <c r="H215" i="4"/>
  <c r="G215" i="4"/>
  <c r="I213" i="4"/>
  <c r="H213" i="4"/>
  <c r="G213" i="4"/>
  <c r="J212" i="4"/>
  <c r="I211" i="4"/>
  <c r="H211" i="4"/>
  <c r="J211" i="4" s="1"/>
  <c r="G211" i="4"/>
  <c r="J210" i="4"/>
  <c r="I209" i="4"/>
  <c r="H209" i="4"/>
  <c r="G209" i="4"/>
  <c r="I207" i="4"/>
  <c r="H207" i="4"/>
  <c r="G207" i="4"/>
  <c r="J206" i="4"/>
  <c r="I205" i="4"/>
  <c r="H205" i="4"/>
  <c r="G205" i="4"/>
  <c r="H200" i="4"/>
  <c r="G200" i="4"/>
  <c r="G199" i="4" s="1"/>
  <c r="I199" i="4"/>
  <c r="H199" i="4"/>
  <c r="I196" i="4"/>
  <c r="H196" i="4"/>
  <c r="G196" i="4"/>
  <c r="I192" i="4"/>
  <c r="I191" i="4" s="1"/>
  <c r="H192" i="4"/>
  <c r="H191" i="4" s="1"/>
  <c r="G192" i="4"/>
  <c r="G191" i="4"/>
  <c r="J190" i="4"/>
  <c r="H189" i="4"/>
  <c r="G189" i="4"/>
  <c r="J189" i="4" s="1"/>
  <c r="H187" i="4"/>
  <c r="G187" i="4"/>
  <c r="J186" i="4"/>
  <c r="I185" i="4"/>
  <c r="H185" i="4"/>
  <c r="G185" i="4"/>
  <c r="J184" i="4"/>
  <c r="I183" i="4"/>
  <c r="H183" i="4"/>
  <c r="G183" i="4"/>
  <c r="J182" i="4"/>
  <c r="I181" i="4"/>
  <c r="H181" i="4"/>
  <c r="G181" i="4"/>
  <c r="H179" i="4"/>
  <c r="G179" i="4"/>
  <c r="J179" i="4" s="1"/>
  <c r="J178" i="4"/>
  <c r="I177" i="4"/>
  <c r="H177" i="4"/>
  <c r="G177" i="4"/>
  <c r="I175" i="4"/>
  <c r="H175" i="4"/>
  <c r="G175" i="4"/>
  <c r="J174" i="4"/>
  <c r="H173" i="4"/>
  <c r="G173" i="4"/>
  <c r="J172" i="4"/>
  <c r="I171" i="4"/>
  <c r="H171" i="4"/>
  <c r="G171" i="4"/>
  <c r="J169" i="4"/>
  <c r="H168" i="4"/>
  <c r="G168" i="4"/>
  <c r="J167" i="4"/>
  <c r="I166" i="4"/>
  <c r="H166" i="4"/>
  <c r="G166" i="4"/>
  <c r="J165" i="4"/>
  <c r="J164" i="4"/>
  <c r="I163" i="4"/>
  <c r="H163" i="4"/>
  <c r="G163" i="4"/>
  <c r="J162" i="4"/>
  <c r="I161" i="4"/>
  <c r="H161" i="4"/>
  <c r="G161" i="4"/>
  <c r="G155" i="4"/>
  <c r="G715" i="4" s="1"/>
  <c r="I154" i="4"/>
  <c r="H154" i="4"/>
  <c r="J153" i="4"/>
  <c r="I152" i="4"/>
  <c r="H152" i="4"/>
  <c r="G152" i="4"/>
  <c r="J151" i="4"/>
  <c r="I150" i="4"/>
  <c r="H150" i="4"/>
  <c r="G150" i="4"/>
  <c r="J149" i="4"/>
  <c r="I148" i="4"/>
  <c r="H148" i="4"/>
  <c r="G148" i="4"/>
  <c r="I146" i="4"/>
  <c r="H146" i="4"/>
  <c r="G146" i="4"/>
  <c r="J143" i="4"/>
  <c r="I142" i="4"/>
  <c r="H142" i="4"/>
  <c r="J142" i="4" s="1"/>
  <c r="G142" i="4"/>
  <c r="I140" i="4"/>
  <c r="H140" i="4"/>
  <c r="G140" i="4"/>
  <c r="J139" i="4"/>
  <c r="I138" i="4"/>
  <c r="H138" i="4"/>
  <c r="G138" i="4"/>
  <c r="G137" i="4" s="1"/>
  <c r="J136" i="4"/>
  <c r="H135" i="4"/>
  <c r="G135" i="4"/>
  <c r="H131" i="4"/>
  <c r="H130" i="4" s="1"/>
  <c r="G131" i="4"/>
  <c r="G130" i="4"/>
  <c r="J129" i="4"/>
  <c r="I128" i="4"/>
  <c r="H128" i="4"/>
  <c r="G128" i="4"/>
  <c r="I127" i="4"/>
  <c r="I126" i="4" s="1"/>
  <c r="H127" i="4"/>
  <c r="H741" i="4" s="1"/>
  <c r="G127" i="4"/>
  <c r="G741" i="4" s="1"/>
  <c r="H126" i="4"/>
  <c r="J125" i="4"/>
  <c r="J124" i="4"/>
  <c r="I122" i="4"/>
  <c r="H122" i="4"/>
  <c r="G122" i="4"/>
  <c r="J121" i="4"/>
  <c r="I120" i="4"/>
  <c r="H120" i="4"/>
  <c r="G120" i="4"/>
  <c r="J118" i="4"/>
  <c r="H117" i="4"/>
  <c r="G117" i="4"/>
  <c r="H115" i="4"/>
  <c r="H102" i="4" s="1"/>
  <c r="G115" i="4"/>
  <c r="H113" i="4"/>
  <c r="G113" i="4"/>
  <c r="J112" i="4"/>
  <c r="H111" i="4"/>
  <c r="J111" i="4" s="1"/>
  <c r="G111" i="4"/>
  <c r="J110" i="4"/>
  <c r="I109" i="4"/>
  <c r="H109" i="4"/>
  <c r="J109" i="4" s="1"/>
  <c r="G109" i="4"/>
  <c r="J108" i="4"/>
  <c r="I107" i="4"/>
  <c r="H107" i="4"/>
  <c r="J107" i="4" s="1"/>
  <c r="G107" i="4"/>
  <c r="J106" i="4"/>
  <c r="I105" i="4"/>
  <c r="H105" i="4"/>
  <c r="J105" i="4" s="1"/>
  <c r="G105" i="4"/>
  <c r="J104" i="4"/>
  <c r="I103" i="4"/>
  <c r="H103" i="4"/>
  <c r="J103" i="4" s="1"/>
  <c r="G103" i="4"/>
  <c r="J101" i="4"/>
  <c r="I100" i="4"/>
  <c r="H100" i="4"/>
  <c r="G100" i="4"/>
  <c r="G97" i="4" s="1"/>
  <c r="I98" i="4"/>
  <c r="H98" i="4"/>
  <c r="G98" i="4"/>
  <c r="H97" i="4"/>
  <c r="J97" i="4" s="1"/>
  <c r="H95" i="4"/>
  <c r="G95" i="4"/>
  <c r="H93" i="4"/>
  <c r="G93" i="4"/>
  <c r="H92" i="4"/>
  <c r="H91" i="4" s="1"/>
  <c r="G91" i="4"/>
  <c r="H89" i="4"/>
  <c r="G89" i="4"/>
  <c r="I87" i="4"/>
  <c r="H87" i="4"/>
  <c r="G87" i="4"/>
  <c r="I85" i="4"/>
  <c r="H85" i="4"/>
  <c r="G85" i="4"/>
  <c r="I83" i="4"/>
  <c r="H83" i="4"/>
  <c r="G83" i="4"/>
  <c r="J82" i="4"/>
  <c r="I81" i="4"/>
  <c r="H81" i="4"/>
  <c r="G81" i="4"/>
  <c r="I79" i="4"/>
  <c r="H79" i="4"/>
  <c r="G79" i="4"/>
  <c r="J77" i="4"/>
  <c r="J76" i="4"/>
  <c r="I75" i="4"/>
  <c r="H75" i="4"/>
  <c r="G75" i="4"/>
  <c r="G74" i="4" s="1"/>
  <c r="I74" i="4"/>
  <c r="J72" i="4"/>
  <c r="I71" i="4"/>
  <c r="I70" i="4" s="1"/>
  <c r="H71" i="4"/>
  <c r="G71" i="4"/>
  <c r="G70" i="4" s="1"/>
  <c r="H70" i="4"/>
  <c r="J69" i="4"/>
  <c r="H68" i="4"/>
  <c r="G68" i="4"/>
  <c r="J67" i="4"/>
  <c r="H66" i="4"/>
  <c r="G66" i="4"/>
  <c r="J65" i="4"/>
  <c r="I64" i="4"/>
  <c r="I63" i="4" s="1"/>
  <c r="H64" i="4"/>
  <c r="G64" i="4"/>
  <c r="J60" i="4"/>
  <c r="I59" i="4"/>
  <c r="H59" i="4"/>
  <c r="G59" i="4"/>
  <c r="J58" i="4"/>
  <c r="H57" i="4"/>
  <c r="G57" i="4"/>
  <c r="J56" i="4"/>
  <c r="J55" i="4"/>
  <c r="I54" i="4"/>
  <c r="H54" i="4"/>
  <c r="G54" i="4"/>
  <c r="J53" i="4"/>
  <c r="I52" i="4"/>
  <c r="H52" i="4"/>
  <c r="H39" i="4" s="1"/>
  <c r="G52" i="4"/>
  <c r="J51" i="4"/>
  <c r="H50" i="4"/>
  <c r="G50" i="4"/>
  <c r="J49" i="4"/>
  <c r="I48" i="4"/>
  <c r="H48" i="4"/>
  <c r="G48" i="4"/>
  <c r="J47" i="4"/>
  <c r="H46" i="4"/>
  <c r="G46" i="4"/>
  <c r="J45" i="4"/>
  <c r="J44" i="4"/>
  <c r="I43" i="4"/>
  <c r="H43" i="4"/>
  <c r="G43" i="4"/>
  <c r="J41" i="4"/>
  <c r="I40" i="4"/>
  <c r="H40" i="4"/>
  <c r="G40" i="4"/>
  <c r="J38" i="4"/>
  <c r="I37" i="4"/>
  <c r="I36" i="4" s="1"/>
  <c r="H37" i="4"/>
  <c r="H36" i="4" s="1"/>
  <c r="G37" i="4"/>
  <c r="G36" i="4" s="1"/>
  <c r="I33" i="4"/>
  <c r="J32" i="4"/>
  <c r="I31" i="4"/>
  <c r="I744" i="4" s="1"/>
  <c r="H31" i="4"/>
  <c r="H744" i="4" s="1"/>
  <c r="G31" i="4"/>
  <c r="G30" i="4" s="1"/>
  <c r="H30" i="4"/>
  <c r="J29" i="4"/>
  <c r="I28" i="4"/>
  <c r="I27" i="4" s="1"/>
  <c r="H28" i="4"/>
  <c r="G28" i="4"/>
  <c r="G27" i="4"/>
  <c r="J26" i="4"/>
  <c r="J25" i="4"/>
  <c r="I24" i="4"/>
  <c r="H24" i="4"/>
  <c r="J24" i="4" s="1"/>
  <c r="G24" i="4"/>
  <c r="J23" i="4"/>
  <c r="J22" i="4"/>
  <c r="J21" i="4"/>
  <c r="H20" i="4"/>
  <c r="G20" i="4"/>
  <c r="J19" i="4"/>
  <c r="I18" i="4"/>
  <c r="I17" i="4" s="1"/>
  <c r="H18" i="4"/>
  <c r="G18" i="4"/>
  <c r="J16" i="4"/>
  <c r="J15" i="4"/>
  <c r="J14" i="4"/>
  <c r="I13" i="4"/>
  <c r="H13" i="4"/>
  <c r="G13" i="4"/>
  <c r="G12" i="4"/>
  <c r="I11" i="4"/>
  <c r="H11" i="4"/>
  <c r="I10" i="4"/>
  <c r="J9" i="4"/>
  <c r="I8" i="4"/>
  <c r="I7" i="4" s="1"/>
  <c r="H8" i="4"/>
  <c r="H7" i="4" s="1"/>
  <c r="G8" i="4"/>
  <c r="C7" i="2"/>
  <c r="B7" i="2"/>
  <c r="C6" i="2"/>
  <c r="B6" i="2"/>
  <c r="C5" i="2"/>
  <c r="B5" i="2"/>
  <c r="G22" i="1"/>
  <c r="E22" i="1"/>
  <c r="F22" i="1" s="1"/>
  <c r="G21" i="1"/>
  <c r="E21" i="1"/>
  <c r="F21" i="1" s="1"/>
  <c r="G20" i="1"/>
  <c r="E20" i="1"/>
  <c r="F20" i="1" s="1"/>
  <c r="G15" i="1"/>
  <c r="E15" i="1"/>
  <c r="F15" i="1" s="1"/>
  <c r="G13" i="1"/>
  <c r="E13" i="1"/>
  <c r="F13" i="1" s="1"/>
  <c r="G12" i="1"/>
  <c r="E12" i="1"/>
  <c r="F12" i="1" s="1"/>
  <c r="G11" i="1"/>
  <c r="E11" i="1"/>
  <c r="F11" i="1" s="1"/>
  <c r="G10" i="1"/>
  <c r="E10" i="1"/>
  <c r="F10" i="1" s="1"/>
  <c r="G8" i="1"/>
  <c r="E8" i="1"/>
  <c r="F8" i="1" s="1"/>
  <c r="G9" i="1"/>
  <c r="E9" i="1"/>
  <c r="F9" i="1" s="1"/>
  <c r="G7" i="1"/>
  <c r="E7" i="1"/>
  <c r="F7" i="1" s="1"/>
  <c r="G6" i="1"/>
  <c r="E6" i="1"/>
  <c r="F6" i="1" s="1"/>
  <c r="G5" i="1"/>
  <c r="E5" i="1"/>
  <c r="F5" i="1" s="1"/>
  <c r="G4" i="1"/>
  <c r="E4" i="1"/>
  <c r="F4" i="1" s="1"/>
  <c r="G3" i="1"/>
  <c r="E3" i="1"/>
  <c r="F3" i="1" s="1"/>
  <c r="J166" i="4" l="1"/>
  <c r="F2" i="1"/>
  <c r="F23" i="1" s="1"/>
  <c r="I97" i="4"/>
  <c r="H145" i="4"/>
  <c r="J173" i="4"/>
  <c r="H170" i="4"/>
  <c r="J75" i="4"/>
  <c r="J81" i="4"/>
  <c r="J549" i="4"/>
  <c r="J551" i="4"/>
  <c r="G17" i="4"/>
  <c r="I137" i="4"/>
  <c r="G154" i="4"/>
  <c r="J155" i="4"/>
  <c r="J643" i="4"/>
  <c r="H642" i="4"/>
  <c r="H637" i="4" s="1"/>
  <c r="J658" i="4"/>
  <c r="H728" i="4"/>
  <c r="J692" i="4"/>
  <c r="J512" i="4"/>
  <c r="J514" i="4"/>
  <c r="J574" i="4"/>
  <c r="J578" i="4"/>
  <c r="I610" i="4"/>
  <c r="J481" i="4"/>
  <c r="J330" i="4"/>
  <c r="G353" i="4"/>
  <c r="J40" i="4"/>
  <c r="J46" i="4"/>
  <c r="J48" i="4"/>
  <c r="J50" i="4"/>
  <c r="J64" i="4"/>
  <c r="J68" i="4"/>
  <c r="I62" i="4"/>
  <c r="J128" i="4"/>
  <c r="G145" i="4"/>
  <c r="J145" i="4" s="1"/>
  <c r="I145" i="4"/>
  <c r="J235" i="4"/>
  <c r="G247" i="4"/>
  <c r="J268" i="4"/>
  <c r="J272" i="4"/>
  <c r="J282" i="4"/>
  <c r="J284" i="4"/>
  <c r="G7" i="4"/>
  <c r="H10" i="4"/>
  <c r="G747" i="4"/>
  <c r="J12" i="4"/>
  <c r="G11" i="4"/>
  <c r="G10" i="4" s="1"/>
  <c r="J10" i="4" s="1"/>
  <c r="J28" i="4"/>
  <c r="H27" i="4"/>
  <c r="J27" i="4" s="1"/>
  <c r="J30" i="4"/>
  <c r="J36" i="4"/>
  <c r="J70" i="4"/>
  <c r="G78" i="4"/>
  <c r="I78" i="4"/>
  <c r="I119" i="4"/>
  <c r="J226" i="4"/>
  <c r="H225" i="4"/>
  <c r="J225" i="4" s="1"/>
  <c r="J252" i="4"/>
  <c r="H251" i="4"/>
  <c r="J301" i="4"/>
  <c r="H300" i="4"/>
  <c r="J300" i="4" s="1"/>
  <c r="G718" i="4"/>
  <c r="G308" i="4"/>
  <c r="G307" i="4" s="1"/>
  <c r="J471" i="4"/>
  <c r="H462" i="4"/>
  <c r="I462" i="4"/>
  <c r="H621" i="4"/>
  <c r="G728" i="4"/>
  <c r="G663" i="4"/>
  <c r="J13" i="4"/>
  <c r="J18" i="4"/>
  <c r="J20" i="4"/>
  <c r="I30" i="4"/>
  <c r="J37" i="4"/>
  <c r="J52" i="4"/>
  <c r="J54" i="4"/>
  <c r="J57" i="4"/>
  <c r="J59" i="4"/>
  <c r="H63" i="4"/>
  <c r="G63" i="4"/>
  <c r="G62" i="4" s="1"/>
  <c r="J71" i="4"/>
  <c r="H74" i="4"/>
  <c r="J74" i="4" s="1"/>
  <c r="H78" i="4"/>
  <c r="J100" i="4"/>
  <c r="G102" i="4"/>
  <c r="J102" i="4" s="1"/>
  <c r="I102" i="4"/>
  <c r="J117" i="4"/>
  <c r="H119" i="4"/>
  <c r="J120" i="4"/>
  <c r="G126" i="4"/>
  <c r="G119" i="4" s="1"/>
  <c r="J119" i="4" s="1"/>
  <c r="J135" i="4"/>
  <c r="J138" i="4"/>
  <c r="H137" i="4"/>
  <c r="J137" i="4" s="1"/>
  <c r="J148" i="4"/>
  <c r="J150" i="4"/>
  <c r="J152" i="4"/>
  <c r="J154" i="4"/>
  <c r="H160" i="4"/>
  <c r="J161" i="4"/>
  <c r="J163" i="4"/>
  <c r="G160" i="4"/>
  <c r="I160" i="4"/>
  <c r="I144" i="4" s="1"/>
  <c r="I204" i="4"/>
  <c r="I195" i="4" s="1"/>
  <c r="G204" i="4"/>
  <c r="G195" i="4" s="1"/>
  <c r="J233" i="4"/>
  <c r="H230" i="4"/>
  <c r="H229" i="4" s="1"/>
  <c r="I247" i="4"/>
  <c r="J250" i="4"/>
  <c r="H249" i="4"/>
  <c r="H248" i="4" s="1"/>
  <c r="J248" i="4" s="1"/>
  <c r="G288" i="4"/>
  <c r="J288" i="4" s="1"/>
  <c r="I287" i="4"/>
  <c r="H293" i="4"/>
  <c r="J305" i="4"/>
  <c r="H304" i="4"/>
  <c r="J400" i="4"/>
  <c r="H399" i="4"/>
  <c r="G724" i="4"/>
  <c r="G497" i="4"/>
  <c r="J497" i="4" s="1"/>
  <c r="H516" i="4"/>
  <c r="J676" i="4"/>
  <c r="H675" i="4"/>
  <c r="J680" i="4"/>
  <c r="H679" i="4"/>
  <c r="H678" i="4" s="1"/>
  <c r="J678" i="4" s="1"/>
  <c r="J168" i="4"/>
  <c r="J171" i="4"/>
  <c r="G170" i="4"/>
  <c r="J170" i="4" s="1"/>
  <c r="I170" i="4"/>
  <c r="J177" i="4"/>
  <c r="J181" i="4"/>
  <c r="J183" i="4"/>
  <c r="J185" i="4"/>
  <c r="J205" i="4"/>
  <c r="H204" i="4"/>
  <c r="H195" i="4" s="1"/>
  <c r="J195" i="4" s="1"/>
  <c r="J215" i="4"/>
  <c r="J217" i="4"/>
  <c r="J219" i="4"/>
  <c r="J245" i="4"/>
  <c r="H261" i="4"/>
  <c r="J266" i="4"/>
  <c r="G281" i="4"/>
  <c r="J281" i="4" s="1"/>
  <c r="I281" i="4"/>
  <c r="J289" i="4"/>
  <c r="G293" i="4"/>
  <c r="J293" i="4" s="1"/>
  <c r="H308" i="4"/>
  <c r="G339" i="4"/>
  <c r="H393" i="4"/>
  <c r="H392" i="4" s="1"/>
  <c r="G719" i="4"/>
  <c r="I719" i="4"/>
  <c r="G398" i="4"/>
  <c r="I398" i="4"/>
  <c r="J463" i="4"/>
  <c r="J465" i="4"/>
  <c r="J467" i="4"/>
  <c r="J473" i="4"/>
  <c r="J475" i="4"/>
  <c r="J479" i="4"/>
  <c r="J483" i="4"/>
  <c r="J485" i="4"/>
  <c r="J489" i="4"/>
  <c r="J491" i="4"/>
  <c r="J545" i="4"/>
  <c r="J554" i="4"/>
  <c r="J558" i="4"/>
  <c r="J560" i="4"/>
  <c r="J562" i="4"/>
  <c r="J568" i="4"/>
  <c r="J570" i="4"/>
  <c r="J572" i="4"/>
  <c r="J576" i="4"/>
  <c r="J580" i="4"/>
  <c r="J582" i="4"/>
  <c r="J584" i="4"/>
  <c r="H610" i="4"/>
  <c r="J610" i="4" s="1"/>
  <c r="G621" i="4"/>
  <c r="J648" i="4"/>
  <c r="G642" i="4"/>
  <c r="H663" i="4"/>
  <c r="J663" i="4" s="1"/>
  <c r="G687" i="4"/>
  <c r="I687" i="4"/>
  <c r="I686" i="4" s="1"/>
  <c r="J78" i="4"/>
  <c r="I713" i="4"/>
  <c r="G736" i="4"/>
  <c r="I736" i="4"/>
  <c r="J66" i="4"/>
  <c r="J127" i="4"/>
  <c r="J199" i="4"/>
  <c r="J262" i="4"/>
  <c r="G261" i="4"/>
  <c r="G255" i="4" s="1"/>
  <c r="I261" i="4"/>
  <c r="I255" i="4" s="1"/>
  <c r="J296" i="4"/>
  <c r="J298" i="4"/>
  <c r="J323" i="4"/>
  <c r="H322" i="4"/>
  <c r="J322" i="4" s="1"/>
  <c r="J333" i="4"/>
  <c r="H328" i="4"/>
  <c r="J328" i="4" s="1"/>
  <c r="J341" i="4"/>
  <c r="J354" i="4"/>
  <c r="J370" i="4"/>
  <c r="H369" i="4"/>
  <c r="J369" i="4" s="1"/>
  <c r="J389" i="4"/>
  <c r="H388" i="4"/>
  <c r="H723" i="4"/>
  <c r="J626" i="4"/>
  <c r="J645" i="4"/>
  <c r="H714" i="4"/>
  <c r="I725" i="4"/>
  <c r="I735" i="4" s="1"/>
  <c r="I742" i="4" s="1"/>
  <c r="J7" i="4"/>
  <c r="J8" i="4"/>
  <c r="G744" i="4"/>
  <c r="G738" i="4"/>
  <c r="G714" i="4"/>
  <c r="H17" i="4"/>
  <c r="J31" i="4"/>
  <c r="G39" i="4"/>
  <c r="J39" i="4" s="1"/>
  <c r="I39" i="4"/>
  <c r="J43" i="4"/>
  <c r="I714" i="4"/>
  <c r="I741" i="4"/>
  <c r="J209" i="4"/>
  <c r="J221" i="4"/>
  <c r="G230" i="4"/>
  <c r="G229" i="4" s="1"/>
  <c r="I230" i="4"/>
  <c r="I229" i="4" s="1"/>
  <c r="J257" i="4"/>
  <c r="J259" i="4"/>
  <c r="H256" i="4"/>
  <c r="J264" i="4"/>
  <c r="J275" i="4"/>
  <c r="J304" i="4"/>
  <c r="I308" i="4"/>
  <c r="H718" i="4"/>
  <c r="J313" i="4"/>
  <c r="J324" i="4"/>
  <c r="J334" i="4"/>
  <c r="J340" i="4"/>
  <c r="J349" i="4"/>
  <c r="H348" i="4"/>
  <c r="J348" i="4" s="1"/>
  <c r="J355" i="4"/>
  <c r="G393" i="4"/>
  <c r="G392" i="4" s="1"/>
  <c r="J469" i="4"/>
  <c r="J477" i="4"/>
  <c r="J487" i="4"/>
  <c r="J495" i="4"/>
  <c r="H725" i="4"/>
  <c r="H735" i="4" s="1"/>
  <c r="H742" i="4" s="1"/>
  <c r="J498" i="4"/>
  <c r="J499" i="4"/>
  <c r="G516" i="4"/>
  <c r="I516" i="4"/>
  <c r="J523" i="4"/>
  <c r="J531" i="4"/>
  <c r="I723" i="4"/>
  <c r="G637" i="4"/>
  <c r="I728" i="4"/>
  <c r="I663" i="4"/>
  <c r="J688" i="4"/>
  <c r="H724" i="4"/>
  <c r="J309" i="4"/>
  <c r="H719" i="4"/>
  <c r="J396" i="4"/>
  <c r="J541" i="4"/>
  <c r="J556" i="4"/>
  <c r="J566" i="4"/>
  <c r="J611" i="4"/>
  <c r="J617" i="4"/>
  <c r="J630" i="4"/>
  <c r="I738" i="4"/>
  <c r="I724" i="4"/>
  <c r="J639" i="4"/>
  <c r="J654" i="4"/>
  <c r="J664" i="4"/>
  <c r="J668" i="4"/>
  <c r="J690" i="4"/>
  <c r="G725" i="4"/>
  <c r="G735" i="4" s="1"/>
  <c r="G742" i="4" s="1"/>
  <c r="J622" i="4"/>
  <c r="E52" i="3"/>
  <c r="E46" i="3"/>
  <c r="E42" i="3"/>
  <c r="E39" i="3"/>
  <c r="E37" i="3"/>
  <c r="E32" i="3"/>
  <c r="E30" i="3"/>
  <c r="E25" i="3"/>
  <c r="E18" i="3"/>
  <c r="E3" i="3"/>
  <c r="G144" i="4" l="1"/>
  <c r="H662" i="4"/>
  <c r="I733" i="4"/>
  <c r="G462" i="4"/>
  <c r="J462" i="4" s="1"/>
  <c r="J17" i="4"/>
  <c r="G723" i="4"/>
  <c r="J642" i="4"/>
  <c r="G287" i="4"/>
  <c r="I722" i="4"/>
  <c r="J249" i="4"/>
  <c r="I6" i="4"/>
  <c r="G734" i="4"/>
  <c r="H713" i="4"/>
  <c r="G303" i="4"/>
  <c r="E56" i="3"/>
  <c r="H717" i="4"/>
  <c r="J308" i="4"/>
  <c r="H733" i="4"/>
  <c r="H287" i="4"/>
  <c r="G743" i="4"/>
  <c r="H247" i="4"/>
  <c r="J247" i="4" s="1"/>
  <c r="H736" i="4"/>
  <c r="H743" i="4" s="1"/>
  <c r="I734" i="4"/>
  <c r="J229" i="4"/>
  <c r="H73" i="4"/>
  <c r="J73" i="4"/>
  <c r="G686" i="4"/>
  <c r="J686" i="4" s="1"/>
  <c r="J687" i="4"/>
  <c r="J675" i="4"/>
  <c r="H674" i="4"/>
  <c r="J674" i="4" s="1"/>
  <c r="J399" i="4"/>
  <c r="H398" i="4"/>
  <c r="J398" i="4" s="1"/>
  <c r="J160" i="4"/>
  <c r="H144" i="4"/>
  <c r="G727" i="4"/>
  <c r="J621" i="4"/>
  <c r="H722" i="4"/>
  <c r="H461" i="4"/>
  <c r="G73" i="4"/>
  <c r="J11" i="4"/>
  <c r="G713" i="4"/>
  <c r="J679" i="4"/>
  <c r="H727" i="4"/>
  <c r="G662" i="4"/>
  <c r="J516" i="4"/>
  <c r="H307" i="4"/>
  <c r="H303" i="4" s="1"/>
  <c r="J251" i="4"/>
  <c r="G6" i="4"/>
  <c r="G5" i="4" s="1"/>
  <c r="J204" i="4"/>
  <c r="J144" i="4"/>
  <c r="J63" i="4"/>
  <c r="H62" i="4"/>
  <c r="J62" i="4" s="1"/>
  <c r="J126" i="4"/>
  <c r="I73" i="4"/>
  <c r="I5" i="4" s="1"/>
  <c r="H339" i="4"/>
  <c r="J339" i="4" s="1"/>
  <c r="J256" i="4"/>
  <c r="H255" i="4"/>
  <c r="J255" i="4" s="1"/>
  <c r="I711" i="4"/>
  <c r="H712" i="4"/>
  <c r="J637" i="4"/>
  <c r="G717" i="4"/>
  <c r="G712" i="4"/>
  <c r="I461" i="4"/>
  <c r="H734" i="4"/>
  <c r="I727" i="4"/>
  <c r="I662" i="4"/>
  <c r="G461" i="4"/>
  <c r="G460" i="4" s="1"/>
  <c r="I307" i="4"/>
  <c r="I717" i="4"/>
  <c r="J388" i="4"/>
  <c r="H387" i="4"/>
  <c r="J387" i="4" s="1"/>
  <c r="H353" i="4"/>
  <c r="J353" i="4" s="1"/>
  <c r="G716" i="4"/>
  <c r="I743" i="4"/>
  <c r="I712" i="4"/>
  <c r="H6" i="4"/>
  <c r="J261" i="4"/>
  <c r="J230" i="4"/>
  <c r="H60" i="3"/>
  <c r="G59" i="3"/>
  <c r="F59" i="3"/>
  <c r="F52" i="3"/>
  <c r="F50" i="3"/>
  <c r="H49" i="3"/>
  <c r="G46" i="3"/>
  <c r="H47" i="3"/>
  <c r="H41" i="3"/>
  <c r="G39" i="3"/>
  <c r="G37" i="3"/>
  <c r="F30" i="3"/>
  <c r="G30" i="3"/>
  <c r="H29" i="3"/>
  <c r="G25" i="3"/>
  <c r="F25" i="3"/>
  <c r="H16" i="3"/>
  <c r="F12" i="3"/>
  <c r="H13" i="3"/>
  <c r="F3" i="3"/>
  <c r="D5" i="2"/>
  <c r="D6" i="2"/>
  <c r="D7" i="2"/>
  <c r="H5" i="4" l="1"/>
  <c r="J662" i="4"/>
  <c r="G661" i="4"/>
  <c r="G708" i="4" s="1"/>
  <c r="G722" i="4"/>
  <c r="J287" i="4"/>
  <c r="H721" i="4"/>
  <c r="H460" i="4"/>
  <c r="H661" i="4"/>
  <c r="J661" i="4" s="1"/>
  <c r="G711" i="4"/>
  <c r="J307" i="4"/>
  <c r="G733" i="4"/>
  <c r="G726" i="4"/>
  <c r="G731" i="4" s="1"/>
  <c r="H732" i="4"/>
  <c r="H716" i="4"/>
  <c r="H726" i="4"/>
  <c r="H711" i="4"/>
  <c r="J6" i="4"/>
  <c r="J5" i="4"/>
  <c r="I716" i="4"/>
  <c r="I303" i="4"/>
  <c r="J303" i="4"/>
  <c r="G721" i="4"/>
  <c r="J460" i="4"/>
  <c r="J461" i="4"/>
  <c r="I726" i="4"/>
  <c r="I661" i="4"/>
  <c r="G732" i="4"/>
  <c r="I732" i="4"/>
  <c r="I460" i="4"/>
  <c r="I721" i="4"/>
  <c r="H51" i="3"/>
  <c r="H36" i="3"/>
  <c r="G3" i="3"/>
  <c r="H3" i="3" s="1"/>
  <c r="G12" i="3"/>
  <c r="H53" i="3"/>
  <c r="F32" i="3"/>
  <c r="G42" i="3"/>
  <c r="F18" i="3"/>
  <c r="G52" i="3"/>
  <c r="H52" i="3" s="1"/>
  <c r="H21" i="3"/>
  <c r="G18" i="3"/>
  <c r="H54" i="3"/>
  <c r="G50" i="3"/>
  <c r="H50" i="3" s="1"/>
  <c r="H5" i="3"/>
  <c r="H23" i="3"/>
  <c r="H27" i="3"/>
  <c r="H25" i="3"/>
  <c r="H44" i="3"/>
  <c r="H4" i="3"/>
  <c r="H26" i="3"/>
  <c r="H6" i="3"/>
  <c r="H10" i="3"/>
  <c r="H20" i="3"/>
  <c r="H24" i="3"/>
  <c r="H33" i="3"/>
  <c r="H38" i="3"/>
  <c r="H43" i="3"/>
  <c r="H8" i="3"/>
  <c r="H11" i="3"/>
  <c r="H22" i="3"/>
  <c r="H14" i="3"/>
  <c r="H15" i="3"/>
  <c r="H34" i="3"/>
  <c r="H59" i="3"/>
  <c r="H12" i="3"/>
  <c r="H28" i="3"/>
  <c r="H35" i="3"/>
  <c r="H45" i="3"/>
  <c r="H48" i="3"/>
  <c r="G32" i="3"/>
  <c r="F37" i="3"/>
  <c r="F39" i="3"/>
  <c r="H39" i="3" s="1"/>
  <c r="F42" i="3"/>
  <c r="F46" i="3"/>
  <c r="H46" i="3" s="1"/>
  <c r="J22" i="1"/>
  <c r="J20" i="1"/>
  <c r="J19" i="1"/>
  <c r="J18" i="1"/>
  <c r="J17" i="1"/>
  <c r="J16" i="1"/>
  <c r="J15" i="1"/>
  <c r="J13" i="1"/>
  <c r="J12" i="1"/>
  <c r="J11" i="1"/>
  <c r="J10" i="1"/>
  <c r="J9" i="1"/>
  <c r="J8" i="1"/>
  <c r="J7" i="1"/>
  <c r="J6" i="1"/>
  <c r="J5" i="1"/>
  <c r="J4" i="1"/>
  <c r="J3" i="1"/>
  <c r="H20" i="1"/>
  <c r="H19" i="1"/>
  <c r="I19" i="1" s="1"/>
  <c r="H18" i="1"/>
  <c r="I18" i="1" s="1"/>
  <c r="H17" i="1"/>
  <c r="I17" i="1" s="1"/>
  <c r="H16" i="1"/>
  <c r="I16" i="1" s="1"/>
  <c r="H3" i="1"/>
  <c r="I3" i="1" s="1"/>
  <c r="H22" i="1"/>
  <c r="I22" i="1" s="1"/>
  <c r="H21" i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18" i="3" l="1"/>
  <c r="H32" i="3"/>
  <c r="H731" i="4"/>
  <c r="H708" i="4"/>
  <c r="J708" i="4" s="1"/>
  <c r="I731" i="4"/>
  <c r="I708" i="4"/>
  <c r="H2" i="1"/>
  <c r="H42" i="3"/>
  <c r="F56" i="3"/>
  <c r="G56" i="3"/>
  <c r="H37" i="3"/>
  <c r="C2" i="1"/>
  <c r="C23" i="1" s="1"/>
  <c r="G2" i="1"/>
  <c r="G23" i="1" s="1"/>
  <c r="E2" i="1"/>
  <c r="E23" i="1" s="1"/>
  <c r="H56" i="3" l="1"/>
  <c r="J2" i="1"/>
  <c r="I2" i="1"/>
  <c r="H23" i="1"/>
  <c r="I23" i="1" s="1"/>
  <c r="K21" i="1" l="1"/>
  <c r="K15" i="1"/>
  <c r="K13" i="1"/>
  <c r="K11" i="1"/>
  <c r="K9" i="1"/>
  <c r="K7" i="1"/>
  <c r="K5" i="1"/>
  <c r="K3" i="1"/>
  <c r="J23" i="1"/>
  <c r="K22" i="1"/>
  <c r="K20" i="1"/>
  <c r="K14" i="1"/>
  <c r="K12" i="1"/>
  <c r="K10" i="1"/>
  <c r="K8" i="1"/>
  <c r="K6" i="1"/>
  <c r="K4" i="1"/>
  <c r="K23" i="1" l="1"/>
  <c r="K2" i="1"/>
</calcChain>
</file>

<file path=xl/sharedStrings.xml><?xml version="1.0" encoding="utf-8"?>
<sst xmlns="http://schemas.openxmlformats.org/spreadsheetml/2006/main" count="3003" uniqueCount="705">
  <si>
    <t>Показатели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</si>
  <si>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</si>
  <si>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</si>
  <si>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</si>
  <si>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</si>
  <si>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</si>
  <si>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</si>
  <si>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</si>
  <si>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</si>
  <si>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</si>
  <si>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</si>
  <si>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</si>
  <si>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</si>
  <si>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</si>
  <si>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</si>
  <si>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</si>
  <si>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</si>
  <si>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</si>
  <si>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</si>
  <si>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Исполнено за 2014 год</t>
  </si>
  <si>
    <t>Исполнено за 2015 год</t>
  </si>
  <si>
    <t>Уровень исполнения, %</t>
  </si>
  <si>
    <t>Удельный вес в общем объеме, %</t>
  </si>
  <si>
    <t>Административные платежи и сборы</t>
  </si>
  <si>
    <t>Доходы от оказания платных услуг (работ) и компенсация затрат государства</t>
  </si>
  <si>
    <t>Прочие неналоговые доходы</t>
  </si>
  <si>
    <t>Наименование</t>
  </si>
  <si>
    <t>Бюджетные назначения</t>
  </si>
  <si>
    <t xml:space="preserve">Исполнено </t>
  </si>
  <si>
    <t>% исполнения</t>
  </si>
  <si>
    <t>Кредиты кредитных организаций в валюте РФ</t>
  </si>
  <si>
    <t>Бюджетные кредиты от других бюджетов бюджетной системы РФ в валюте РФ</t>
  </si>
  <si>
    <t>Изменение остатков средств на счетах по учету средств бюджетов</t>
  </si>
  <si>
    <t>Бюджетные кредиты предоставленные внутри страны в валюте РФ</t>
  </si>
  <si>
    <t>Источники внутреннего финансирования дефицита районного бюджета - всего</t>
  </si>
  <si>
    <t xml:space="preserve">Отклонение по отношению к предыдущему году </t>
  </si>
  <si>
    <t>Отклонение по отношению к предыдущему году, %</t>
  </si>
  <si>
    <t>РЗ</t>
  </si>
  <si>
    <t>ПРЗ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</si>
  <si>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</si>
  <si>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</si>
  <si>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</si>
  <si>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</si>
  <si>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</si>
  <si>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</si>
  <si>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</si>
  <si>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</si>
  <si>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</si>
  <si>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</si>
  <si>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</si>
  <si>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</si>
  <si>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</si>
  <si>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</si>
  <si>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</si>
  <si>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</si>
  <si>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</si>
  <si>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</si>
  <si>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</si>
  <si>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</si>
  <si>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</si>
  <si>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</si>
  <si>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</si>
  <si>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</si>
  <si>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</si>
  <si>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</si>
  <si>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</si>
  <si>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</si>
  <si>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</si>
  <si>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</si>
  <si>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</si>
  <si>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08</t>
  </si>
  <si>
    <t>Транспорт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</si>
  <si>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</si>
  <si>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</si>
  <si>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</si>
  <si>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</si>
  <si>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</si>
  <si>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</si>
  <si>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</si>
  <si>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</si>
  <si>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</si>
  <si>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</si>
  <si>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</si>
  <si>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</si>
  <si>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</si>
  <si>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</si>
  <si>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</si>
  <si>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</si>
  <si>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</si>
  <si>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</si>
  <si>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</si>
  <si>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</si>
  <si>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</si>
  <si>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</si>
  <si>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</si>
  <si>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</si>
  <si>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</si>
  <si>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</si>
  <si>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</si>
  <si>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</si>
  <si>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</si>
  <si>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</si>
  <si>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</si>
  <si>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</si>
  <si>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</si>
  <si>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96</t>
  </si>
  <si>
    <t>Расходы бюджета - ИТОГО</t>
  </si>
  <si>
    <t>в том числе:</t>
  </si>
  <si>
    <t>Денежное  содержание муниципальных служащих органов местного самоуправления; работников муниципальных учреждений</t>
  </si>
  <si>
    <t>Численность муниципальных служащих органов местного самоуправления; работников муниципальных учреждений</t>
  </si>
  <si>
    <t>Уточненные плановые назначения на 2016 год</t>
  </si>
  <si>
    <t>Исполнено за 2016 год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</si>
  <si>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</si>
  <si>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Ведомственная структура расходов районного бюджета за  2016 год</t>
  </si>
  <si>
    <t xml:space="preserve"> </t>
  </si>
  <si>
    <t>/руб. коп./</t>
  </si>
  <si>
    <t>ВЕД</t>
  </si>
  <si>
    <t>ВР</t>
  </si>
  <si>
    <t>Уточненный план на 2016 год</t>
  </si>
  <si>
    <t>Исполнено за  2016 год</t>
  </si>
  <si>
    <t>Администрация Сковородинского района</t>
  </si>
  <si>
    <t>001</t>
  </si>
  <si>
    <t>Расходы на оплату труда с учетом начислений и иные выплаты, предусмотренные законодательством главе муниципального образования по непрограммным расходам органов местного самоуправления</t>
  </si>
  <si>
    <t>99 1 01 01110</t>
  </si>
  <si>
    <t>Расходы на оплату труда с учетом начислений и иные выплаты, предусмотренные законодательством главе муниципального образования по непрограммным расходам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</si>
  <si>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</si>
  <si>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оплату труда с учетом начислений и иные выплаты,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</t>
  </si>
  <si>
    <t>Расходы на оплату труда с учетом начислений и иные выплаты,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</si>
  <si>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99 1 01 01120</t>
  </si>
  <si>
    <t>Расходы на обеспечение функций представительных органов местного самоуправления по непрограммным расходам органов местного самоуправления</t>
  </si>
  <si>
    <t>99 1 01 01130</t>
  </si>
  <si>
    <t>Расходы на обеспечение функций представительных органов местного самоуправления по непрограммным расходам органов местного самоуправления (Закупка товаров, работ и услуг для государственных (муниципальных) нужд)</t>
  </si>
  <si>
    <t>200</t>
  </si>
  <si>
    <t>Расходы на обеспечение функций представительных органов местного самоуправления по непрограммным расходам органов местного самоуправления (Иные бюджетные ассигнования)</t>
  </si>
  <si>
    <t>800</t>
  </si>
  <si>
    <t>Расходы на обеспечение деятельности (оказание услуг) муниципальных учреждений в рамках подпроограммы "Архивное дело" муниципальной программы "Развитие и сохранение культуры и искусства Сковородинского района на 2015-2020годы"</t>
  </si>
  <si>
    <t>03  2 02 03010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</si>
  <si>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 нужд)</t>
  </si>
  <si>
    <t>Расходы на обеспечение функций исполнительных органов местного самоуправления в рамках продпрограммы "Повышение эффективности деятельности админнистрации района" муниципальной программы "Повышение эффективности деятельности органов местного самоуправления Сковородинского района в 2015-2020 годы"</t>
  </si>
  <si>
    <t>10 4 04 01140</t>
  </si>
  <si>
    <t>Расходы на обеспечение функций исполнительных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</si>
  <si>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исполнительных органов местного самоуправления (Закупка товаров, работ и услуг для государственных (муниципальных) нужд)</t>
  </si>
  <si>
    <t>Расходы на обеспечение функций исполнительных органов местного самоуправления (Иные бюджетные ассигнования)</t>
  </si>
  <si>
    <t>Расходы на проведение  профессиональной подготовки, переподготовки и повышения квалификации  муниципальных служащих по прочим непрограммным расходам</t>
  </si>
  <si>
    <t>99 3 03 01970</t>
  </si>
  <si>
    <t>Расходы на проведение профессиональной подготовки, переподготовки и повышения квалификации муниципальных служащих по прочим непрограммным расходам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</si>
  <si>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проведение профессиональной подготовки, переподготовки и повышения квалификации муниципальных служащих по прочим непрограммным расходам (Закупка товаров, работ и услуг для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</si>
  <si>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</si>
  <si>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10 6 01 51200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</si>
  <si>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</si>
  <si>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Расходы на обеспечение функций контрольно-счетной палаты района по непрограммным расходам органов местного самоуправления</t>
  </si>
  <si>
    <t>99 1 01 01150</t>
  </si>
  <si>
    <t>Расходы на обеспечение функций контрольно-счетной палаты района по непрограммным расходам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</si>
  <si>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Сковородинского района в рамках подпрограммы "Эффективное управление расходами администрации района" муниципальной программы "Повышение эффективнности деятельности органов местного самоуправления Сковородинского районна в 2015-2020 годы"</t>
  </si>
  <si>
    <t>10 4 04 01910</t>
  </si>
  <si>
    <t>Резервный фонд администрации Сковородинского района (Иные бюджетные ассигнования)</t>
  </si>
  <si>
    <t>Модернизация учреждений здравохранения в сельской местности в рамках подпрограммы "Устойчивое развитие сельских территорий" муниципальной программы "Развитие сельского хозяйства в Сковородинском районе на 2015-2020 годы"</t>
  </si>
  <si>
    <t>01 2 02 01140</t>
  </si>
  <si>
    <t>Модернизация учреждений здравохранения в сельской местности в рамках подпрограммы "Устойчивое развитие сельских территорий" (Закупка товаров, работ и услуг для государственных (муниципальных) нужд)</t>
  </si>
  <si>
    <t xml:space="preserve">Мероприятия на проведение Всероссийской сельскозхозяйственной переписи </t>
  </si>
  <si>
    <t>01 9 02 53910</t>
  </si>
  <si>
    <t>Мероприятия на проведение Всероссийской сельскозхозяйственной переписи  (Закупка товаров, работ и услуг для государственных (муниципальных) нужд)</t>
  </si>
  <si>
    <t>Оценка, содержание муниципального имущества, в том числе земельных участков и оформление правоустанавливающих документов на объекты собственности Сковородинского района  в рамках подпрограммы "Повышение эффективности использования муниципального имущества" муниципальной программы "Повышение эффективности деятельности органов местного самоуправления Сковородинского района в 2015-2020 годы"</t>
  </si>
  <si>
    <t>10 2 02 10040</t>
  </si>
  <si>
    <t>Оценка, содержание муниципального имущества, в том числе земельных участков и оформление правоустанавливающих документов на объекты собственности Сковородинского района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</si>
  <si>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по обеспечению, содержанию и обслуживанию административных зданий, служебных помещений в рамках подпрограмм "Повышение эффективности деятельности администрации района муниципальной программы "Повышение эффективности деятельности органов местного самоуправления Сковородинского района в 2015-2020 годы"</t>
  </si>
  <si>
    <t>10 4 04 01410</t>
  </si>
  <si>
    <t>Расходы на обеспечение деятельности (оказание услуг) муниципальных учреждений по обеспечению, содержанию и обслуживанию административных зданий, служебных помещений (Предоставление субсидий бюджетным, автономным учреждениям и иным некоммерческим организациям)</t>
  </si>
  <si>
    <t>600</t>
  </si>
  <si>
    <t xml:space="preserve">Расходы районного бюджета на финансовое обеспечение исковых требований, предъявляемых к администрации Сковородинского района по решениям судов, государственная пошлина по судебным решениям, подлежащих выплате в денежном выражении </t>
  </si>
  <si>
    <t>10 4 04 01810</t>
  </si>
  <si>
    <t>Расходы районного бюджета на финансовое обеспечение исковых требований, предъявляемых к администрации Сковородинского района по решениям судов, государственная пошлина по судебным решениям, подлежащих выплате в денежном выражении в рамках подпрограммы "Повышение эффективности деятельности администрации района" муниципальной программы "Повышение эффективности деятельности органов местного самоуправления Сковородинского района в 2015-2020 годы"</t>
  </si>
  <si>
    <t xml:space="preserve">Расходы районного бюджета на исполненние мировых соглашений, подлежащих выплате в денежном выражении </t>
  </si>
  <si>
    <t>10 4 04 01840</t>
  </si>
  <si>
    <t>Расходы районного бюджета на исполнение мировых соглашений, подлежащих выплате в денежном выражении по прочим программным расходам в рамках подпрограммы "Повышение эффективности деятельности администрации района" муниципальной программы "Повышение эффективности деятельности органов местного самоуправления Сковородинского района в 2015-2020 годы"</t>
  </si>
  <si>
    <t>Выполнение государственных функций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«Повышение эффективности деятельности органов государственной власти и управления Амурской области на 2014 – 2020 годы»</t>
  </si>
  <si>
    <t>10 6 01 88430</t>
  </si>
  <si>
    <t>Выполнение государственных функций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«Повышение эффективности деятельности органов государственной власти и управления Амурской области на 2014 – 2020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</si>
  <si>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государственных функций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«Повышение эффективности деятельности органов государственной власти и управления Амурской области на 2014 – 2020 годы» (Закупка товаров, работ и услуг для государственных (муниципальных) нужд)</t>
  </si>
  <si>
    <t>Прочиее расходы по содержанию муниципального имущества, находящегося в собствености муниципального ообразования Сковоородинский райоон по прочим непрограммным мероприятияи</t>
  </si>
  <si>
    <t>99 3 03 01910</t>
  </si>
  <si>
    <t>(Закупка товаров, работ и услуг для государственных (муниципальных) нужд)</t>
  </si>
  <si>
    <t xml:space="preserve">Расходы на приобретение объектов недвижимого имущества в муниципальную собственность </t>
  </si>
  <si>
    <t>99 9 09 21010</t>
  </si>
  <si>
    <t>(Капитальные вложения в объекты недвижимого имущества (государственной) муниципальной собственности</t>
  </si>
  <si>
    <t>400</t>
  </si>
  <si>
    <t>Создание, хранение,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"Развитие системы гражданской обороны, защиты населения и территорий от чрезвычайных ситуаций" муниципальной программы "Сниженние рисков и смягчение последствий чрезвычайных ситуаций природного и техногенного характера, а также обеспечение безопасности населения района на 2015-2020 годы"</t>
  </si>
  <si>
    <t>11 1 01 11010</t>
  </si>
  <si>
    <t>Создание, хранение, использование и восполнение резерва материальных ресурсов для ликвидации чрезвычайных ситуаций на территории Сковородинского района (Закупка товаров, работ и услуг для государственных (муниципальных) нужд)</t>
  </si>
  <si>
    <t>Развитие аппаратно-программного комплекса «Безопасный город» в рамках подпрограммы "Профилактика правонарушений, терроризма и экстремизма в районе" муниципальной программы "Снижение рмсков и смягчение последствий чрезвычайных ситуаций природного и техногеного характера, а также обеспечение безопасности населения районна на 2015-2020 годы"</t>
  </si>
  <si>
    <t>11 2 02 11040</t>
  </si>
  <si>
    <t>Развитие аппаратно-программного комплекса «Безопасный город» (Закупка товаров, работ и услуг для государственных (муниципальных) нужд)</t>
  </si>
  <si>
    <t>Расходы на мероприятия по предупреждению и ликвидации последствий чрезвычайных ситуаций и стихийных бедствий, в том числе: на проведение мероприятий по предупреждению последствий чрезвычайных ситуаций природного и техногенного характера;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</t>
  </si>
  <si>
    <t>99 3 03 01920</t>
  </si>
  <si>
    <t>Расходы на мероприятия по предупреждению и ликвидации последствий чрезвычайных ситуаций и стихийных бедствий, в том числе: на проведение мероприятий по предупреждению последствий чрезвычайных ситуаций природного и техногенного характера;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(Закупка товаров, работ и услуг для государственных (муниципальных) нужд)</t>
  </si>
  <si>
    <t>Организация и прооведение мерооприятий по реализации муниципальной подпрограммы "Развитие лесного хозяйства" муниципальной программы "Охранна окружающей среды в Сковородинском районе в 2015-2020 годы"</t>
  </si>
  <si>
    <t>04 2 02 04080</t>
  </si>
  <si>
    <t xml:space="preserve">Организация и прведение мероприятий по реализации муниципальной подпрограммы "Развитие лесного хозяйства" муниципальной программы "Охрана оокружающей среды в Сковородинском районе в 2015-2020 годы" </t>
  </si>
  <si>
    <t>Осуществление государственных полномочий в сфере охраны труда в рамках подпрограммы «Улучшение условий и охраны труда» государственной программы «Повышение эффективности деятельности органов государственной власти и управления Амурской области на 2014 – 2020 годы»</t>
  </si>
  <si>
    <t>8707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</si>
  <si>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</si>
  <si>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</si>
  <si>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Возмещение части затрат по доставке кормов от производителя хозяйствам, расположенным на территории района в рамках подпрогрммы "Развитие подотраслей растеневодства и животноводства" муниципальной программы "Развитие сельского хозяйства в Сковородинском районе на 2015-2020 годы"</t>
  </si>
  <si>
    <t>01 1 01 01020</t>
  </si>
  <si>
    <t>Возмещение части затрат по доставке кормов от производителя хозяйствам, расположенным на территории района (Закупка товаров, работ и услуг для государственных (муниципальных) нужд)</t>
  </si>
  <si>
    <t>Возмещение части затрат по наращиванию или сохранению поголовья лошадей в рамках подпрограммы "Развитие подотраслей растеневодства и живодноводства" муниципальной программы "Развитие сельского хозяйства в Сковородинском районе на 2015-2020 годы"</t>
  </si>
  <si>
    <t>01 1 01 01050</t>
  </si>
  <si>
    <t xml:space="preserve">Возмещение части затрат по наращиванию или сохранению поголовья лошадей </t>
  </si>
  <si>
    <t>Финансовое обеспечение (возмещение) части затрат, связанных с приобретением сельскохозяйственной техники и оборудования в рамках подпрограммы "Развитие подотраслей растенееводства и живодноводства" муниципальной программы "Развитие сельского хозяйства в Сковородинском районне на 2015-2020 годы"</t>
  </si>
  <si>
    <t>01 1 01 01070</t>
  </si>
  <si>
    <t>Финансовое обеспечение (возмещение) части затрат, связанных с приобретением сельскохозяйственной техники и оборудования (Закупка товаров, работ и услуг для государственных (муниципальных) нужд)</t>
  </si>
  <si>
    <t>Организация и проведение мероприятий по развитию сельского хозяйства в рамках подпрограммы "Развитие подотраслей растеневодства и животноводства" муниципальной программы "Развитие сельского хозяйства в Сковородинском районе на 2015-2020 годы"</t>
  </si>
  <si>
    <t>01 1 01 01080</t>
  </si>
  <si>
    <t>Организация и проведение мероприятий по развитию сельского хозяйства (Закупка товаров, работ и услуг для государственных (муниципальных) нужд)</t>
  </si>
  <si>
    <t>Улучшение жилищных условий граждан, проживающих в сельской местности в рамках подпрограммы "Устойчивое развитие сельских территорий" муниципальной программы "Развитие сельского хозяйства в Сковородинском районе на 2015-2020 годы"</t>
  </si>
  <si>
    <t>01 2 02 01090</t>
  </si>
  <si>
    <t>Улучшение жилищных условий граждан, проживающих в сельской местности (Закупка товаров, работ и услуг для государственных (муниципальных) нужд)</t>
  </si>
  <si>
    <t>Улучшение жилищных условий молодых семей и молодых специалистов, проживающих в сельской местности в рамках подпрограммы "Устойчивое развитие сельских территорий" муниципальной программы "Развитие сельского хозяйства в Сковородиннском районе на 2015-2020 годы"</t>
  </si>
  <si>
    <t>01 2 02 01100</t>
  </si>
  <si>
    <t>Улучшение жилищных условий молодых семей и молодых специалистов, проживающих в сельской местности (Закупка товаров, работ и услуг для государственных (муниципальных) нужд)</t>
  </si>
  <si>
    <t>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</t>
  </si>
  <si>
    <t>01 5 01 69700</t>
  </si>
  <si>
    <t>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(Закупка товаров, работ и услуг для государственных (муниципальных) нужд)</t>
  </si>
  <si>
    <t>Субсидии субъектам малого и среднего предпринимательства по возмещению затрат на производство хлеба и хлебобулочных изделий в рамках подпрограммы  «Развитие субъектов малого и среднего предпринимательства» муниципальной  программы «Экономическое развитие Сковородинского района в 2015-2020 годы»</t>
  </si>
  <si>
    <t>08 1 01 08050</t>
  </si>
  <si>
    <t xml:space="preserve">Субсидии субъектам малого и среднего предпринимательства по возмещению затрат на производство хлеба и хлебобулочных изделий </t>
  </si>
  <si>
    <t>Субсидии организациям инфраструктуры поддержки  субъектов малого и среднего предпринимательства на возмещение части затрат, связанных с оказанием субъектам малого и среднего предпринимательства консультационных услуг в рамках подпрограммы «Развитие субъектов малого и среднего предпринимательства» муниципальной программы «Экономическое развитие Сковородинского района в 2015-2020 годы»</t>
  </si>
  <si>
    <t>08 1 01 08060</t>
  </si>
  <si>
    <t>Субсидии организациям инфраструктуры поддержки  субъектов малого и среднего предпринимательства на возмещение части затрат, связанных с оказанием субъектам малого и среднего предпринимательства консультационныхв рамках подпрограммы «Развитие субъектов малого и среднего предпринимательства» муниципальной программы «Экономическое развитие Сковородинского района в 2015-2020 годы»</t>
  </si>
  <si>
    <t>Приобретение циклонов на котельные в рамках подпрограммы "Развитие водохозяйственного комплекса и охрана окружающей среды" муниципальной программы "Охрана окружающей среды в Сковородинском районе в 2015-2020 годы"</t>
  </si>
  <si>
    <t>04 1 01 04010</t>
  </si>
  <si>
    <t>Приобретение циклонов на котельные (Закупка товаров, работ и услуг для государственных (муниципальных) нужд)</t>
  </si>
  <si>
    <t>Капитальный ремонт защитной дамбы от паводковых вод в п. Уруша в рамках подпрограммы "Развитие водохозяйственного комплекса и охрана окружающей среды" муниципальной программы "Охрана окружающей среды в Сковородинском районе в 2015-2020 годы"</t>
  </si>
  <si>
    <t>04 1 01 04020</t>
  </si>
  <si>
    <t>Капитальный ремонт защитной дамбы от паводковых вод в п. Уруша (Закупка товаров, работ и услуг для государственных (муниципальных) нужд)</t>
  </si>
  <si>
    <t>Приобретение автобусов для развития перевозок в рамках подпрограммы «Развитие транспортного комплекса» муниципальной программы «Развитие транспортной системы Сковородинского района на 2015-2020 годы»</t>
  </si>
  <si>
    <t>13 1 01 13010</t>
  </si>
  <si>
    <t>Приобретение автобусов для развития перевозок (Закупка товаров, работ и услуг для государственных (муниципальных) нужд)</t>
  </si>
  <si>
    <t>Модернизация подвижного состава для осуществления перевозок в рамках подрограммы "Развитие транспортного комплекса" муниципальной программы "Развитие транспортной системы Сковородинского района на 2015-2020 годы"</t>
  </si>
  <si>
    <t>13 1 01 13020</t>
  </si>
  <si>
    <t>Модернизация подвижного состава для осуществления перевозок (Закупка товаров, работ и услуг для государственных (муниципальных) нужд)</t>
  </si>
  <si>
    <t>Внедрение автоматизированных систем управления автомобильным пассажирским транспортом в рамках подпрограммы "Развитие транспортного комплекса" муниципальной программы "Развитие транспортной системы Сковородинского района на 2015-2020 годы"</t>
  </si>
  <si>
    <t>13 1 01 13030</t>
  </si>
  <si>
    <t>Внедрение автоматизированных систем управления автомобильным пассажирским транспортом (Закупка товаров, работ и услуг для государственных (муниципальных) нужд)</t>
  </si>
  <si>
    <t>Приобретение билетной продукции для пассажирского автотранспорта общего пользования</t>
  </si>
  <si>
    <t>13 1 01 13040</t>
  </si>
  <si>
    <t>Приобретение билетной продукции для пассажирского автотранспорта общего пользования (Закупка товаров, работ и услуг для государственных (муниципальных) нужд)</t>
  </si>
  <si>
    <t>Приобретение автобусных остановок в рамках подпрограммы "Развитие транспортного комплекса" муниципальной программы "Развитие транспортной системы Сковородинского района на 2015-2020 годы"</t>
  </si>
  <si>
    <t>13 1 01 13050</t>
  </si>
  <si>
    <t>Приобретение автобусных остановок (Закупка товаров, работ и услуг для государственных (муниципальных) нужд)</t>
  </si>
  <si>
    <t>Компенсация выпадающих доходов при обслуживании населения на социально-значимых маршрутах в рамках подпрограммы "Развитие транспортного комплекса" муниципальной программы "Развитие транспортной системы Сковородинского района на 2015-2020 годы"</t>
  </si>
  <si>
    <t>13 1 01 13060</t>
  </si>
  <si>
    <t xml:space="preserve">Компенсация выпадающих доходов при обслуживании населения на социально-значимых маршрутах </t>
  </si>
  <si>
    <t>Совершенствование пешеходных переходов в рамках подпрограммы "Повышение безопасности дорожного движения на территории района" муниципальной программы "Развитие транспортной системы Сковородинского района на 2015-2020 годы"</t>
  </si>
  <si>
    <t>13 2 02 13100</t>
  </si>
  <si>
    <t>Совершенствование пешеходных переходов (Закупка товаров, работ и услуг для государственных (муниципальных) нужд)</t>
  </si>
  <si>
    <t>Создание системы маршрутного ориентирования участников дорожного движения (установка дорожных знаков), обустройство наиболее опасных участков дорожно-уличной сети дорожными ограждениями в рамках подпрограммы "Повышение безопасности дорожнного движения на территории района" муниципальной программы "Развитие траннспортной системы Сковородинского района на 2015-2020 годы"</t>
  </si>
  <si>
    <t>13 2 02 13110</t>
  </si>
  <si>
    <t>Создание системы маршрутного ориентирования участников дорожного движения (установка дорожных знаков), обустройство наиболее опасных участков дорожно-уличной сети дорожными ограждениями (Закупка товаров, работ и услуг для государственных (муниципальных) нужд)</t>
  </si>
  <si>
    <t>Обеспечение содержания, ремонта автомобильных дорог общего пользования местного значения в рамках подпрограммы "Развитие сети автомобильных дорог общего пользования" муниципальной программы "Развитие транспортной системы Сковородинского района нна 2015-2020 годы"</t>
  </si>
  <si>
    <t>13 3 03 13120</t>
  </si>
  <si>
    <t>Обеспечение содержания, ремонта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</si>
  <si>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"Развитие сети автомобильных дорог общего пользования" муниципальной программы "Развитие транспортной системы Сковороднского района на 2015-2020 годы"</t>
  </si>
  <si>
    <t>13 3 03 13140</t>
  </si>
  <si>
    <t>Осуществление муниципальными образованиями района дорожной деятельности в отношении автомобильных дорог местного значения и сооружений на них (Закупка товаров, работ и услуг для государственных (муниципальных) нужд)</t>
  </si>
  <si>
    <t>Финансовое обеспечение дорожной деятельности  в отношении автомобильных дорог общего пользования, а так же капитальный ремонт  и ремонт дворовых территорий многоквартирных домов, проездов к дворовым территориям многоквартирных домов населенных пунктов</t>
  </si>
  <si>
    <t>0196</t>
  </si>
  <si>
    <t xml:space="preserve">04 </t>
  </si>
  <si>
    <t>Увеличение протяженности автомобильных дорог местного значения, соответствующих нормативным требованиям в рамках подпрограммы «Развитие сети  автомобильных дорог общего пользования в Сковородинском районе  в 2011-2017 годах» муниципальной программы «Развитие сети  автомобильных дорог общего пользования в Сковородинском районе  в 2011-2017 годах»</t>
  </si>
  <si>
    <t>0390</t>
  </si>
  <si>
    <t>Иные межбюджетные трансферты  бюджетам муниципального образования на осуществление дорожной деятельности в отношении автомобильных дорог местного значения и сооружений на них</t>
  </si>
  <si>
    <t>Иные межбюдетные трансферты</t>
  </si>
  <si>
    <t>13 2 03 87480</t>
  </si>
  <si>
    <t>г.Сковородино</t>
  </si>
  <si>
    <t>500</t>
  </si>
  <si>
    <t>Субсидии бюджетам муниципального образования на осуществление дорожной деятельности в отношении автомобильных дорог местного значения и сооружений на них (фонд софинансирования) средства ОБ</t>
  </si>
  <si>
    <t>Субсидии начинающим субъектам малого и среднего предпринимательства на создание собственного бизнеса в рамках подпрогрммы "Развитие субъектов малого и среднего предпринимательства" муниципальной программы "Экономическое развитие Сковородинского района в 2015-2020 годы"</t>
  </si>
  <si>
    <t>08 1 01 08010</t>
  </si>
  <si>
    <t xml:space="preserve">Субсидии начинающим субъектам малого и среднего предпринимательства на создание собственного бизнеса </t>
  </si>
  <si>
    <t>Субсидии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в рамках подпрограммы "Развитие субъектов малого и среднего предпринимательства" муниципальной программы "Экономическое развитие Сковородинского района в 2015-2020 годы"</t>
  </si>
  <si>
    <t>08 1 01 08020</t>
  </si>
  <si>
    <t>Субсидии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</t>
  </si>
  <si>
    <t>Организационная, информационная, консультационная поддержка субъектов малого и среднего предпринимательства в рамках подпрограммы "Развитие субъектов малого и среднего предпринимательства" муниципальнной программы "Экономическое развитие Сковородинского района в 2015-2020 годы"</t>
  </si>
  <si>
    <t>08 1 01 08040</t>
  </si>
  <si>
    <t>Организационная, информационная, консультационная поддержка субъектов малого и среднего предпринимательства (Закупка товаров, работ и услуг для государственных (муниципальных) нужд)</t>
  </si>
  <si>
    <t>Переселение граждан из аварийного жилищного фонда, в том числе с учетом необходимости развития малоэтажного жилищного строительства на территории района в рамках подпрограммы "Переселение граждан из аварийного жилищного фонда, в том числе с учетом необходимости развития малоэтажного строительства на территории района" муниципальной программы "Обеспечение доступным и качественым жильем населения Сковородинского района на 2015-2020 годы"</t>
  </si>
  <si>
    <t>07 2 02 07020</t>
  </si>
  <si>
    <t>Переселение граждан из аварийного жилищного фонда, в том числе с учетом необходимости развития малоэтажного жилищного строительства на территории района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</si>
  <si>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с учетом необходимости развития  малоэтажного жилищного строительства в рамках подпрограммы "Переселение граждан из аварийного жилищного фонда с учетом необходимости развития  малоэтажного жилищного строительства  на территории  области государственной программы  "Обеспечение доступным и качественным жильем населения Амурской области на 2014 - 2020 годы"(за счет средств ГК - Фонда содействия реформированию жилищно-коммунального хозяйства, остатки 2015 года)</t>
  </si>
  <si>
    <t>07 5 01 09502</t>
  </si>
  <si>
    <t>Капитальные вложения в объекты недвижимого имущества государственной (муниципальной) собственности</t>
  </si>
  <si>
    <t>Переселение граждан из аварийного жилищного фонда, в том числе с учетом необходимости развития малоэтажного жилищного строительства на территории района муниципальной программы "Обеспечение доступным и качественным жильем населения Сковородинского района на 2015-2020 годы" подпрограммы "Переселение граждан из аварийного жилищного фонда, в том числе с учетом необходимости развития малоэтажного строительства на территории района" мероприятия по софинансированию расходов местного бюджета</t>
  </si>
  <si>
    <t>07 2 02 S9602</t>
  </si>
  <si>
    <t>Расходы на уплату взносов  на капитальный ремонт многоквартирных домов по прочим непрограммным расходам</t>
  </si>
  <si>
    <t>99 3 03 01980</t>
  </si>
  <si>
    <t>Приобретение благоустроенных жилых помещений в многоквартирных домах в рамках подпрограммы «Переселение граждан   из  аварийного жилищного фонда с учетом необходимости развития малоэтажного жилищного строительства на территории Сковородинского района в 2013-2015 годах» муниципальной программы «Переселение граждан   из  аварийного жилищного фонда с учетом необходимости развития малоэтажного жилищного строительства на территории Сковородинского района в 2013-2015 годах»</t>
  </si>
  <si>
    <t>0366</t>
  </si>
  <si>
    <t>Развитие водоснабжения в сельской местности в рамках подпрограммы "Устойчивое развитие сельских территорий" муниципальной программы "Развитие сельского хозяйства в Сковородинском районе на 2015-2020 годы"</t>
  </si>
  <si>
    <t>01 2 02 01150</t>
  </si>
  <si>
    <t>Организация и проведение мероприятий по реализации муниципальной программы (Закупка товаров, работ и услуг для государственных (муниципальных) нужд)</t>
  </si>
  <si>
    <t>Расходы направленые на модернизацию коммунальной инфраструктуры</t>
  </si>
  <si>
    <t>05 1 01 05010</t>
  </si>
  <si>
    <t>Расходы направленные на модернизацию коммунальной инфраструктуры в рамках подпрограммы "Обеспечение доступности коммунальных услуг, повышение качества и надежности жилищно-коммунального обслуживания населения" муниципальной программы "Модернизация жилищно-коммунального комплекса, энергосбережение и повышение энергитической эффективности в Сковородинском районе в 2015-2020 годы"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</si>
  <si>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в рамках подпрограммы «Обеспечение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«Модернизация жилищно – коммунального комплекса, энергосбережение и повышение энергетической эффективности в Амурской области на 2014–2020 годы»</t>
  </si>
  <si>
    <t>05 1 01 87120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</si>
  <si>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в рамках подпрограммы «Обеспечение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«Модернизация жилищно – коммунального комплекса, энергосбережение и повышение энергетической эффективности в Амурской области на 2014–2020 годы» (иные бюджетные ассигнования)</t>
  </si>
  <si>
    <t>Расходы направленные на модернизацию коммунальной инфраструктуры</t>
  </si>
  <si>
    <t>05 1 02 87400</t>
  </si>
  <si>
    <t>Расходы направленныве на модернизацию коммунальной инфраструктуры в рамках подпрограммы "Обеспечение доступности коммунальных услуг, повышение качества и надежности жилищно-коммунальнного обслуживания населения государственной программы Амурской области "Модернизация жилищно-коммунального комплекса, энергосбережение и повышение энергитической эффеутивности в Амурской области на 2014-2020 годы" (Закупка товаров, работ и услуг для государственных (муниципальных) нужд)</t>
  </si>
  <si>
    <t>Охрана воздушного бассейна в рамках подпрограммы «Обеспечение экологической безопасности и охрана окружающей среды  в Сковородинском районе  Амурской области на 2009-2015 годы» муниципальной программы «Обеспечение экологической безопасности и охрана окружающей среды  в Сковородинском районе  Амурской области на 2009-2015 годы»</t>
  </si>
  <si>
    <t>0376</t>
  </si>
  <si>
    <t>Участие в организации деятельности по сбору (в том числе раздельному сбору), транспортированию, обработке, утилизации, обезжириванию, захоронению твердых коммунальных отходов на территориях соответствующих муниципальных районов в рамках подпрограммы «Развитие водохозяйственного комплекса и охрана окружающей среды» муниципальной программы «Охрана окружающей среды в Сковородинском районе в 2015-2020 годы»</t>
  </si>
  <si>
    <t>04 1 01 04040</t>
  </si>
  <si>
    <t>Участие в организации деятельности по сбору (в том числе раздельному сбору), транспортированию, обработке, утилизации, обезжириванию, захоронению твердых коммунальных отходов на территориях соответствующих муниципальных районов (Закупка товаров, работ и услуг для государственных (муниципальных) нужд)</t>
  </si>
  <si>
    <t>Ликвидация несанкционированных свалок в рамках подпрогрммы "Развитие водохозяйственого комплекса и охрана окружающей среды" муниципальной программы "Охрана окружающей среды в Сковородинском районе в 2015-2020 годы"</t>
  </si>
  <si>
    <t>04 1 01 04050</t>
  </si>
  <si>
    <t>Ликвидация несанкционированных свалок (Закупка товаров, работ и услуг для государственных (муниципальных) нужд)</t>
  </si>
  <si>
    <t>Обустройство скотомогильников</t>
  </si>
  <si>
    <t>04 1 01 04060</t>
  </si>
  <si>
    <t>Обустройство скотомогильников в рамках подпрограммы "Развитие водохозяйственного комплекса и охрана окружающей среды" муниципальной программы "Охрана окружающей среды в Сковородинском районе в 2015-2020 годы"</t>
  </si>
  <si>
    <t xml:space="preserve">Мероприятия по проведению лабораторных и инструментальных исследований </t>
  </si>
  <si>
    <t>04 1 01 04090</t>
  </si>
  <si>
    <t>Мероприятия по проведению лабораторных и инстркментальных исследований в рамках подпрограммы "Развитие водохозяйственного комплекса и охрана окружающей среды муниципальной программы "Охрана окружающей среды в Сковородинском районе на 2015-2020 годы" (Закупка товаров, работ и услуг для государственных (муниципальных) нужд)</t>
  </si>
  <si>
    <t>Приобретение и посадка деревьев, газона, живой изгороди в рамках подпрограммы "Благоустройство Сковородинского района на 2015-2020 годы" муниципальной программы "Благоустройство Сковородинского района на 2015-2020 годы"</t>
  </si>
  <si>
    <t>14 1 01 14010</t>
  </si>
  <si>
    <t>Приобретение и посадка деревьев, газона, живой изгороди (Закупка товаров, работ и услуг для государственных (муниципальных) нужд)</t>
  </si>
  <si>
    <t>Приобретение и установка фонарей</t>
  </si>
  <si>
    <t>14 1 01 14020</t>
  </si>
  <si>
    <t>Приобретение и установка фонарей (Закупка товаров, работ и услуг для государственных (муниципальных) нужд)</t>
  </si>
  <si>
    <t>Приобретение и установка детских, спортивных площадок в рамках подпрограммы "Благоустройство Сковородинского района на 2015-2020 годы" муниципальной программы "Благоустройство Сковородинского района на 2015-2020 годы"</t>
  </si>
  <si>
    <t>14 1 01 14030</t>
  </si>
  <si>
    <t>Приобретение и установка детских, спортивных площадок (Закупка товаров, работ и услуг для государственных (муниципальных) нужд)</t>
  </si>
  <si>
    <t>Приобретение урн для мусора а рамках подпрограммы "Благоусройство Сковородинского района на 2015-2020 годы" муниципальной программы "Благоустройство Сковородинского района на 2015-2020 годы"</t>
  </si>
  <si>
    <t>14 1 01 14040</t>
  </si>
  <si>
    <t>Приобретение урн для мусора (Закупка товаров, работ и услуг для государственных (муниципальных) нужд)</t>
  </si>
  <si>
    <t>Благоустройство муниципальных образований Сковородинского района в рамках подпрограммы "Благоустройство Сковородинского района на 2015-2020 годы" муниципальной программы "Благоустройство Сковородинского района на 2015-2020 годы"</t>
  </si>
  <si>
    <t>14 1 01 14060</t>
  </si>
  <si>
    <t>Благоустройство муниципальных образований Сковородинского района (Закупка товаров, работ и услуг для государственных (муниципальных) нужд)</t>
  </si>
  <si>
    <t>Модернизация муниципальных систем общего образования в рамках подпрограммы "Развитие дошкольного, общего и дополнительного образования детей" муниципальной программы "Развитие образования Сковородинского района на 2015-2020 годы"</t>
  </si>
  <si>
    <t>12 1 01 12020</t>
  </si>
  <si>
    <t>Модернизация муниципальных систем общего образования (Закупка товаров, работ и услуг для государственных (муниципальных) нужд)</t>
  </si>
  <si>
    <t>Уничтожение сырьевой базы конопли, являющейся производной для изготовления наркотиков в рамках подпрограммы "Противодействие злоупореблению наркотическими средствами и их незаконному обороту в Сковородинском районе на 2015-2020 годы"</t>
  </si>
  <si>
    <t>06 1 01 06010</t>
  </si>
  <si>
    <t>Уничтожение сырьевой базы конопли, являющейся производной для изготовления наркотиков (Закупка товаров, работ и услуг для государственных (муниципальных) нужд)</t>
  </si>
  <si>
    <t>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"Профилактика правонарушений, терроризма и эестремизма в районе" муниципальной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района на 2015-2020 годы"</t>
  </si>
  <si>
    <t>11 2 02 11020</t>
  </si>
  <si>
    <t>Подпрограмма «Профилактика правонарушений, терроризма и экстремизма в районе» (Закупка товаров, работ и услуг для государственных (муниципальных) нужд)</t>
  </si>
  <si>
    <t>Обеспечение эффективной социализации молодежи, находящейся в трудной жизненной ситуации в рамках подпрограммы «Молодежь Сковородинского района  на 2012-2014 годы» муниципальной программы «Молодежь Сковородинского района  на 2012-2014 годы»</t>
  </si>
  <si>
    <t>0369</t>
  </si>
  <si>
    <t>Формирование у молодежи российской идентичности (россияне) и профилактика этнического и религиозно-политического экстремизма в молодежной среде в рамках подпрограммы «Молодежь Сковородинского района  на 2012-2014 годы» муниципальной программы «Молодежь Сковородинского района  на 2012-2014 годы»</t>
  </si>
  <si>
    <t>0370</t>
  </si>
  <si>
    <t>Пропаганда здорового и социально активного образа жизни в рамках подпрограммы "Профилактика правонарушений, терроризма и экстремизма в районе" муниципальной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района на 2015-2020 годы"</t>
  </si>
  <si>
    <t>11 2 02 11030</t>
  </si>
  <si>
    <t>Пропаганда здорового и социально активного образа жизни (Закупка товаров, работ и услуг для государственных (муниципальных) нужд)</t>
  </si>
  <si>
    <t>Расходы на обеспечение деятельности добровольнных формирований населения по охране общественнного порядка в рамках подпрограммы "Профилактика правонарушений, рерроризма и экстремизма в районе" муниципальной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Сковородинского района на 2015-2020 годы"</t>
  </si>
  <si>
    <t>11 2 02 11070</t>
  </si>
  <si>
    <t>Мероприятия по обеспечению деятельности добровольнных формирований населения по охране общественнного порядка в рамках  подпрограммы "Профилактика правонарушений, терроризма и экстремизма в районе" муниципальной программы "Снижение рисков и смягчения последствий чрезвычайных ситуаций природного и техногеного характера, а также обеспечение безопасности Сковородинского района на 2015-2020 годы"(Закупка товаров, работ и услуг для государственных (муниципальных) нужд)</t>
  </si>
  <si>
    <t>Совершенствование системы профилактики правонарушений в молодежной и подростковой среде в рамках подпрограммы «Профилактика правонарушений в Сковородинском районе  на 2013-2017 годы» муниципальной программы «Профилактика правонарушений в Сковородинском районе  на 2013-2017 годы»</t>
  </si>
  <si>
    <t>0384</t>
  </si>
  <si>
    <t>Повышение правовой грамотности жителей района в рамках подпрограммы «Профилактика правонарушений в Сковородинском районе  на 2013-2017 годы» муниципальной программы «Профилактика правонарушений в Сковородинском районе  на 2013-2017 годы»</t>
  </si>
  <si>
    <t>0385</t>
  </si>
  <si>
    <t>Организация и проведение мероприятий по реализации муниципальной подпрограммы в рамках подпрограммы "Вовлечение молодежи в социальную практику" муниципальной программы "Развитие образования Сковородинского района на 2015-2020 годы"</t>
  </si>
  <si>
    <t>12 3 03 12080</t>
  </si>
  <si>
    <t>Организация и проведение мероприятий по реализации муниципальной подпрограммы (Закупка товаров, работ и услуг для государственных (муниципальных) нужд)</t>
  </si>
  <si>
    <t>Организация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 на 2014 – 2020 годы»</t>
  </si>
  <si>
    <t>12 3 02 87290</t>
  </si>
  <si>
    <t>Организация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 на 2014 – 2020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</si>
  <si>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 на 2014 – 2020 годы» (Закупка товаров, работ и услуг для государственных (муниципальных) нужд)</t>
  </si>
  <si>
    <t xml:space="preserve">Культура </t>
  </si>
  <si>
    <t>Организация и проведение мероприятия по реализации муниципальной программы в рамках подпрограммы "Этнокультурное наследие" муниципальной программы "Развитие и сохранение культуры и искусства Сковородинского района на 2015-2020 годы"</t>
  </si>
  <si>
    <t>03 4 04 03020</t>
  </si>
  <si>
    <t>Организация и проведение мероприятия по реализации муниципальной программы (Закупка товаров, работ и услуг для государственных (муниципальных) нужд)</t>
  </si>
  <si>
    <t>Сохранение и развитие системы художественного и профессионального образования, поддержка молодых дарований в рамках подпрограммы «Развитие и сохранение сферы культуры и искусства Сковородинского района на 2011-2015 годы» муниципальной программы «Развитие и сохранение сферы культуры и искусства Сковородинского района на 2011-2015 годы»</t>
  </si>
  <si>
    <t>0309</t>
  </si>
  <si>
    <t>Обеспечение сохранности историко-культурного наследия в рамках подпрограммы «Развитие и сохранение сферы культуры и искусства Сковородинского района на 2011-2015 годы» муниципальной программы «Развитие и сохранение сферы культуры и искусства Сковородинского района на 2011-2015 годы»</t>
  </si>
  <si>
    <t>0310</t>
  </si>
  <si>
    <t>Организация и проведение мероприятия по реализации муниципальной программы в рамках подпрограммы "Мероприятия в сфере культуры и искусства" муниципальной программы "Развитие и сохранение культурыи искусства Сковородинского района на 2015-2020 годы"</t>
  </si>
  <si>
    <t>03 6 06 03030</t>
  </si>
  <si>
    <t>Реализация мероприятий по развитию и сохранению культуры в муниципальных образованиях района в рамках подпрограммы "Обеспечение реализации основных направлений муниципальной политики в сфере реализации муниципальной программы" муниципальной программы "Развитие и сохранение культуры и искусства Сковородинского района на 2015-2020 годы"</t>
  </si>
  <si>
    <t>03 7 07 03040</t>
  </si>
  <si>
    <t>Реализация мероприятий по развитию и сохранению культуры в муниципальных образованиях района (Закупка товаров, работ и услуг для государственных (муниципальных) нужд)</t>
  </si>
  <si>
    <t>Капитальные вложения в объекты муниципальной собственности в рамках подпрограммы "Обеспечение реализации основных направлений муниципальной политики в сфере реализации муниципальной программы" "Развитие и сохранение культуры и искусства Сковородинского района на 2015-2020 годы"</t>
  </si>
  <si>
    <t>03 7 07 03050</t>
  </si>
  <si>
    <t>Капитальные вложения в объекты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</si>
  <si>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в области культуры, не относящиеся к деятельности муниципальных учреждений культуры по прочим непрограммным расходам</t>
  </si>
  <si>
    <t>99 3 03 01940</t>
  </si>
  <si>
    <t>Расходы на проведение мероприятий в области культуры, не относящиеся к деятельности муниципальных учреждений культуры по прочим непрограммным расходам (Закупка товаров, работ и услуг для государственных (муниципальных) нужд)</t>
  </si>
  <si>
    <t>Расходы на осуществление отдельных полномочий по регулированию численности безнадзорных животных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</si>
  <si>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 на 2014 – 2020 годы»</t>
  </si>
  <si>
    <t>06 7 03 87360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</si>
  <si>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 на 2014 – 2020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</si>
  <si>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 на 2014 – 2020 годы» (Закупка товаров, работ и услуг для государственных (муниципальных) нужд)</t>
  </si>
  <si>
    <t>Расходы районного бюджета на выплату пенсии за выслугу лет муниципальным служащим района и лицам, замещавшим муниципальные должности района по прочим непрограммным расходам</t>
  </si>
  <si>
    <t>99 3 03 01620</t>
  </si>
  <si>
    <t>Расходы районного бюджета на выплату пенсии за выслугу лет муниципальным служащим района и лицам, замещавшим муниципальные должности района по прочим непрограммным расходам (Социальное обеспечение и иные выплаты населению)</t>
  </si>
  <si>
    <t>300</t>
  </si>
  <si>
    <t>Расходы районного бюджета на выплату ежемесячной доплаты к пенсии по старости работникам образования, здравоохранения, культуры, имеющих государственные и отраслевые награды, звания «Заслуженный врач», «Заслуженный работник культуры», «Заслуженный учитель», «Почетный работник», «Отличник просвещения», «Отличник здравоохранения» по прочим непрограммным расходам</t>
  </si>
  <si>
    <t>99 3 03 01630</t>
  </si>
  <si>
    <t>Расходы районного бюджета на выплату ежемесячной доплаты к пенсии по старости работникам образования, здравоохранения, культуры, имеющих государственные и отраслевые награды, звания «Заслуженный врач», «Заслуженный работник культуры», «Заслуженный учитель», «Почетный работник», «Отличник просвещения», «Отличник здравоохранения» по прочим непрограммным расходам (Социальное обеспечение и иные выплаты населению)</t>
  </si>
  <si>
    <t>Адаптация объектов социальной инфраструктуры и услуг с учетом нужд и потребностей инвалидов и других МГН в рамках подпрограммы "Реабилитация и обеспечение жизнедеятельности инвалидов в Сковородинском районе на 2015-2020 годы" муниципальной программы "Реабилитация и обеспечение жизнедеятельности инвалидов в Сковородинском районе на 2015-2020 годы"</t>
  </si>
  <si>
    <t>02 1 01 02010</t>
  </si>
  <si>
    <t>Адаптация объектов социальной инфраструктуры и услуг с учетом нужд и потребностей инвалидов и других МГН (Закупка товаров, работ и услуг для государственных (муниципальных) нужд)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</si>
  <si>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"Обеспечение доступным и качественным жильем населения Сковородинского района на 2015-2020 годы"</t>
  </si>
  <si>
    <t>07 1 01 07010</t>
  </si>
  <si>
    <t>Предоставление социальных выплат молодым семьям на приобретение (строительство) жилья (Социальное обеспечение и иные выплаты населению)</t>
  </si>
  <si>
    <t>Средства областного бюджета, предусмотренные на реализацию мероприятий подрограммы "Обеспечение жильем молодых семей" государственой программы "Обеспечение доступным и качественым жильем населения Амурской области на 2014-2020 годы"</t>
  </si>
  <si>
    <t>07 4 01 R0200</t>
  </si>
  <si>
    <t>Социальное обеспеечение и иные выплаты населению</t>
  </si>
  <si>
    <t>Средства федерального бюджета, предусмотренные на реализацию мероприятий подрограммы "Обеспечение жильем молодых семей" государственой программы "Обеспечение доступным и качественым жильем населения Амурской области на 2014-2020 годы"</t>
  </si>
  <si>
    <t>07 4 01 50200</t>
  </si>
  <si>
    <t>Оказание финансовой поддержки деятельности СОНКО путем предоставления субсидий на реализацию социально значимых проектов</t>
  </si>
  <si>
    <t>10 3 03 10070</t>
  </si>
  <si>
    <t>Оказание финансовой поддержки деятельности СОНКО путем предоставления субсидий на реализацию социально значимых проектов (Закупка товаров, работ и услуг для государственных (муниципальных) нужд)</t>
  </si>
  <si>
    <t>Расходы на проведение мероприятий в области социальной политики по прочим непрограммным расходам</t>
  </si>
  <si>
    <t>99 3 03 01610</t>
  </si>
  <si>
    <t>Расходы на проведение мероприятий в области социальной политики по прочим непрограммным расходам (Закупка товаров, работ и услуг для государственных (муниципальных) нужд)</t>
  </si>
  <si>
    <t>Расходы на проведение мероприятий в области социальной политики по прочим непрограммным расходам (Социальное обеспечение и иные выплаты населению)</t>
  </si>
  <si>
    <t>Расходы на обеспечение выплат по социальным гарантиям молодым специалистам, принятым на работу  в муниципальные образовательные учреждения района по прочим непрограммным расходам</t>
  </si>
  <si>
    <t>99 3 03 01640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</si>
  <si>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(Социальное обеспечение и иные выплаты населению)</t>
  </si>
  <si>
    <t>07 7 01 50820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</si>
  <si>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 государственой программы "Обеспечение доступным и качественным жильем населения Амурской области на 2014-2020 годы"</t>
  </si>
  <si>
    <t>Обеспечение жилыми помещениями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 , за счет средств областного бюджета в рамках подпрограммы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 государственой программы "Обеспечение доступным и качественным жильем населения Амурской области на 2014-2020 годы"</t>
  </si>
  <si>
    <t>07 7 01 R0820</t>
  </si>
  <si>
    <t>Обеспечение жилыми помещениями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 , за счет средств областного бюджета (Социальное обеспечение и иные выплаты населению)</t>
  </si>
  <si>
    <t>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 в рамках подпрограммы ""Обеспечение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 государственой программы "Обеспечение доступным и качественным жильем населения Амурской области на 2014-2020 годы" (средства ФБ)</t>
  </si>
  <si>
    <t>07701 50820</t>
  </si>
  <si>
    <t>Физическая культура</t>
  </si>
  <si>
    <t>Приобретение спортивного инвентаря и оборудования в рамках подпрограммы "Развитие сети и инфраструктуры физической культуры, массового спорта и поддержки спорта высших достижений" муниципальной программы "Развитие физической культуры и спорта на территории Сковородинского района на 2015-2020 годы"</t>
  </si>
  <si>
    <t>09 1 01 09020</t>
  </si>
  <si>
    <t>Приобретение спортивного инвентаря и оборудования (Закупка товаров, работ и услуг для государственных (муниципальных) нужд)</t>
  </si>
  <si>
    <t>Подготовка спортсменов с ограниченными возможностями и их участие в соревнованиях в рамках подпрограммы "Развитие сети и инфраструктуры физической культуры, массового спорта и поддержки спорта высших достижений" муниципальной программы "Развитие физической культуры и спорта на территории Сковородинского района на 2015-2020 годы"</t>
  </si>
  <si>
    <t>09 1 01 09040</t>
  </si>
  <si>
    <t>Подготовка спортсменов с ограниченными возможностями и их участие в соревнованиях (Закупка товаров, работ и услуг для государственных (муниципальных) нужд)</t>
  </si>
  <si>
    <t>Проведение спортивных мероприятий в рамках подпрограммы "Развитие сети и инфраструктуры физической культуры, массового спорта и поддержки спорта высших достижений" муниципальной программы "Развитие физической культуры и спорта на территории Сковородинского района на 2015-2020 годы"</t>
  </si>
  <si>
    <t>09 1 01 09010</t>
  </si>
  <si>
    <t>Проведение спортивных мероприятий (Закупка товаров, работ и услуг для государственных (муниципальных) нужд)</t>
  </si>
  <si>
    <t>Участие в соревнованиях в рамках подпрограммы "Развитие сети и инфраструктуры физической культуры, массового спорта и поддержки спорта высших достижений" муниципальной программы "Развитие физической культуры и спорта на территории Сковородинского района на 2015-2020 годы"</t>
  </si>
  <si>
    <t>09 1 01 09030</t>
  </si>
  <si>
    <t>Участие в соревнованиях (Закупка товаров, работ и услуг для государственных (муниципальных) нужд)</t>
  </si>
  <si>
    <t>Реконструкция стадиона в квартале 9/23 г.Сковородино в рамках подпрограммы "Развитие сети и инфраструктуры физической культуры, массового спорта и поддержка спорта высших достижений" муниципальной программы "Развитие физической культуры и спорта на территории Сковородинского района на 2015-2020 годы"</t>
  </si>
  <si>
    <t>09 1 01 09050</t>
  </si>
  <si>
    <t>Прикладные научные исследования в области физической культуры и спорта</t>
  </si>
  <si>
    <t>Строительство и реконструкция спортивных объектов в рамках подпрограммы «Развитие физической культуры и спорта  в Сковородинском районе  на 2012-2015 годы» муниципальной программы «Развитие физической культуры и спорта  в Сковородинском районе  на 2012-2015 годы»</t>
  </si>
  <si>
    <t>0383</t>
  </si>
  <si>
    <t>Финансовое управление администрации Сковородинского района</t>
  </si>
  <si>
    <t>002</t>
  </si>
  <si>
    <t>Не указано</t>
  </si>
  <si>
    <t>Условно утвержденные расходы</t>
  </si>
  <si>
    <t>9999</t>
  </si>
  <si>
    <t>Расходы на обеспечение функций Финансового управления в рамках подпрограммы "Повышение эффективности управления муниципальными финансами и муниципальным долгом" муниципальной программы "Повышение эффективности деятельности органов местного самоуправления Сковородинского района на 2015-2020 годы"</t>
  </si>
  <si>
    <t>10 1 01 01160</t>
  </si>
  <si>
    <t>Расходы на обеспечение функций Финансового 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</si>
  <si>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Финансового управления (Закупка товаров, работ и услуг для государственных (муниципальных) нужд)</t>
  </si>
  <si>
    <t>Расходы на обеспечение функций Финансового управления (Иные бюджетные ассигнования)</t>
  </si>
  <si>
    <t>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"Повышение эффективности управления муниципальными финансами и муниципальным долгом" муниципальной программы "Повышение эффективности деятельности органов местного самоуправления Сковородинского района на 2015-2020 годы"</t>
  </si>
  <si>
    <t>10 1 01 10030</t>
  </si>
  <si>
    <t>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</si>
  <si>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 (Закупка товаров, работ и услуг для государственных (муниципальных) нужд)</t>
  </si>
  <si>
    <t>Мероприятия, направленные на обеспечение выполнения функций органов местного самоуправления в части реализации муниципальных программ</t>
  </si>
  <si>
    <t>99 9 09 20730</t>
  </si>
  <si>
    <t>Иные бюджетные ассигнования</t>
  </si>
  <si>
    <t>Расходы районного бюджета по предоставлению бюджетам поселений межбюджетных трансфертов на покрытие временного кассового разрыва в рамках подпрограммы «Повышение эффективности управления муниципальными финансами и муниципальным долгом» муниципальной программы «Повышение эффективности деятельности органов местного самоуправления Сковородинского района в 2015-2020 годы».</t>
  </si>
  <si>
    <t>10 1 01 01530</t>
  </si>
  <si>
    <t>с/с Тахтамыгда</t>
  </si>
  <si>
    <t>Дорожное хозяйство(дорожные фонды)</t>
  </si>
  <si>
    <t>Невер</t>
  </si>
  <si>
    <t>Ерофей Павлович</t>
  </si>
  <si>
    <t>п.г.т. Уруша</t>
  </si>
  <si>
    <t xml:space="preserve">с/с Солнечный </t>
  </si>
  <si>
    <t>п.г.т.Ерофей Павлович</t>
  </si>
  <si>
    <t>с/с Тахтамыгдинский</t>
  </si>
  <si>
    <t>Расходы, направленные на ремонт бань в рамках подпрограммы «Обеспечение доступности коммунальных услуг, повышение качества и надежности жилищно-коммунального обслуживания населения» муниципальной программы «Модернизация жилищно-коммунального комплекса, энергосбережение и повышение энергетической эффективности в Сковородинском районе в 2015-2020 годы»</t>
  </si>
  <si>
    <t>05 1 01 05020</t>
  </si>
  <si>
    <t xml:space="preserve"> Участие в организации деятельности по сбору (в том числе раздельному сбору), транспортированию, обработке, утилизации, обезжириванию, захоронению твердых коммунальных отходов на территориях соответствующих муниципальных районов в рамках подпрограммы «Развитие водохозяйственного комплекса и охрана окружающей среды» муниципальной программы «Охрана окружающей среды в Сковородинском районе в 2015-2020 годы»</t>
  </si>
  <si>
    <t>Уруша</t>
  </si>
  <si>
    <t>Талдан</t>
  </si>
  <si>
    <t>Албазино</t>
  </si>
  <si>
    <t>Джалинда</t>
  </si>
  <si>
    <t xml:space="preserve">Солнечный </t>
  </si>
  <si>
    <t>Тахтамыгда</t>
  </si>
  <si>
    <t>Сковородино</t>
  </si>
  <si>
    <t>с/с Талдан</t>
  </si>
  <si>
    <t>с/с Албазино</t>
  </si>
  <si>
    <t>с/с Джалинда</t>
  </si>
  <si>
    <t>с/с Невер</t>
  </si>
  <si>
    <t>г. Сковородино</t>
  </si>
  <si>
    <t xml:space="preserve"> Расходы районного бюджета по предоставлению бюджетам поселений межбюджетных трансфертов на покрытие временного кассового разрыва в рамках подпрограммы «Повышение эффективности управления муниципальными финансами и муниципальным долгом» муниципальной программы «Повышение эффективности деятельности органов местного самоуправления Сковородинского района в 2015-2020 годы».</t>
  </si>
  <si>
    <t>Обслуживание внутреннего государственного и муниципального долга</t>
  </si>
  <si>
    <t>Расходы на обслуживание муниципального долга перед другими бюджетами бюджетной системы в рамках подпрограммы "Повышение эффективности управления муниципальными финансами и муниципальным долгом" муниципальной программы "Повышение эффективности деятельности органов местного самоуправления Сковородинского района на 2015-2020 годы"</t>
  </si>
  <si>
    <t>10 1 01 01710</t>
  </si>
  <si>
    <t>Расходы на обслуживание муниципального долга перед другими бюджетами бюджетной системы (Обслуживание государственного (муниципального) долга)</t>
  </si>
  <si>
    <t>700</t>
  </si>
  <si>
    <t>Расходы на обслуживание муниципального долга перед кредитными организациями по прочим непрограммным расходам</t>
  </si>
  <si>
    <t>0172</t>
  </si>
  <si>
    <t>Обслуживание государственного (муниципального) долга</t>
  </si>
  <si>
    <t>Расходы районного бюджета по предоставлению бюджетам поселений района дотаций на выравнивание бюджетной обеспеченности в рамках подпрограммы "Повышение эффективности управления муниципальными финансами и муниципальным долгом" муниципальной программы "Повышение эффективности деятельности органов местного самоуправления Сковородинского района на 2015-2020 годы"</t>
  </si>
  <si>
    <t>10 1 01 01510</t>
  </si>
  <si>
    <t>Расходы районного бюджета по предоставлению бюджетам поселений района дотаций на выравнивание бюджетной обеспеченности (Межбюджетные трансферты)</t>
  </si>
  <si>
    <t>Управление образования администрации Сковородинского района</t>
  </si>
  <si>
    <t>003</t>
  </si>
  <si>
    <t>Приобретение мебели в рамках подпрограммы «Развитие системы дошкольного образования»  муниципальной программы «Развитие образования в Сковородинском районе  на 2009-2015 годы»</t>
  </si>
  <si>
    <t>0330</t>
  </si>
  <si>
    <t>Предоставление субсидий бюджетным, автономным учреждениям и иным некоммерческим организациям</t>
  </si>
  <si>
    <t>Приобретение игрового оборудования для 13 МДОУ в рамках подпрограммы «Развитие системы дошкольного образования»  муниципальной программы «Развитие образования в Сковородинском районе  на 2009-2015 годы»</t>
  </si>
  <si>
    <t>0331</t>
  </si>
  <si>
    <t>Приобретение мягкого инвентаря для  МДОУ в рамках подпрограммы «Развитие системы дошкольного образования»  муниципальной программы «Развитие образования в Сковородинском районе  на 2009-2015 годы»</t>
  </si>
  <si>
    <t>0332</t>
  </si>
  <si>
    <t>Организация гигиенического обучения персонала ДОУ в рамках подпрограммы «Развитие системы дошкольного образования»  муниципальной программы «Развитие образования в Сковородинском районе  на 2009-2015 годы»</t>
  </si>
  <si>
    <t>0333</t>
  </si>
  <si>
    <t>Курсовая переподготовка педагогических кадров (25 человек) в рамках подпрограммы «Развитие системы дошкольного образования»  муниципальной программы «Развитие образования в Сковородинском районе  на 2009-2015 годы»</t>
  </si>
  <si>
    <t>0334</t>
  </si>
  <si>
    <t>Организация районных семинаров в рамках подпрограммы «Развитие системы дошкольного образования»  муниципальной программы «Развитие образования в Сковородинском районе  на 2009-2015 годы»</t>
  </si>
  <si>
    <t>0335</t>
  </si>
  <si>
    <t>Организация районных выставок детского рисунка: «Зима-чародейка», «День победы», «Мир глазами детей», «Мы любим спорт» в рамках подпрограммы «Развитие системы дошкольного образования»  муниципальной программы «Развитие образования в Сковородинском районе  на 2009-2015 годы»</t>
  </si>
  <si>
    <t>0336</t>
  </si>
  <si>
    <t>Организация районного конкурса «Воспитатель года», «Мисс детского сада» в рамках подпрограммы «Развитие системы дошкольного образования»  муниципальной программы «Развитие образования в Сковородинском районе  на 2009-2015 годы»</t>
  </si>
  <si>
    <t>0337</t>
  </si>
  <si>
    <t>Повышение тепловой защиты зданий, строений, сооружений в рамках подпрограммы "Энергосбережение и повышение энергитической эффективности" муниципальной программы "Модернизация жилищно-коммунального комплекса, энергосбережение и повышение энергитической эффективности в Сковородинском районе а 2015-2020 годы"</t>
  </si>
  <si>
    <t>05 3 03 05060</t>
  </si>
  <si>
    <t>Повышение тепловой защиты зданий, строений, сооружений (Предоставление субсидий бюджетным, автономным учреждениям и иным некоммерческим организациям)</t>
  </si>
  <si>
    <t>Развитие инженерно-технического обеспечения профилактики терроризма и экстремизма в рамках подпрограммы "Профилактика правонарушений, терроризма и экстремизма в районе" муниципальной программы "Снижениеи рисков и смягчение последствий чрезвычайных ситуаций природного и техногенного характера, а также обеспечение безопасности населения района на 2015-2020 годы"</t>
  </si>
  <si>
    <t xml:space="preserve">11 2 02 11050 </t>
  </si>
  <si>
    <t>Развитие инженерно-технического обеспечения профилактики терроризма и экстремизма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</si>
  <si>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детских дошкольных учреждений в рамках подпрограммы "Развитие дошкольного, общего и дополнительного образования детей" муниципальной программы "Развитие образования Сковородинского района на 2015-2020 годы"</t>
  </si>
  <si>
    <t>12 1 01 01210</t>
  </si>
  <si>
    <t>Расходы на обеспечение деятельности (оказание услуг) муниципальных детских дошкольных учреждений (Предоставление субсидий бюджетным, автономным учреждениям и иным некоммерческим организациям)</t>
  </si>
  <si>
    <t>Модернизация муниципальных систем дошкольного образования в рамках подпрограммы "Развитие дошкольного, общего и дополнительного образования детей" муниципальной программы "Развитие образования Сковородинского района на 2015-2020 годы"</t>
  </si>
  <si>
    <t>12 1 01 12010</t>
  </si>
  <si>
    <t>Модернизация муниципальных систем дошкольного образования (Предоставление субсидий бюджетным, автономным учреждениям и иным некоммерческим организациям)</t>
  </si>
  <si>
    <t>Капитальный ремонт здания МДОУ д/с №1 г. Сковородино в рамках подпрограммы «Строительство, реконструкция и модернизация объектов капитального строительства муниципальной собственности в сфере образования»  муниципальной программы «Развитие образования в Сковородинском районе  на 2009-2015 годы»</t>
  </si>
  <si>
    <t>0348</t>
  </si>
  <si>
    <t>Капитальный ремонт здания МДОУ д/с №10 г. Сковородино в рамках подпрограммы «Строительство, реконструкция и модернизация объектов капитального строительства муниципальной собственности в сфере образования»  муниципальной программы «Развитие образования в Сковородинском районе  на 2009-2015 годы»</t>
  </si>
  <si>
    <t>0349</t>
  </si>
  <si>
    <t>Капитальный ремонт здания МДОУ д/с № 15 с. Тахтамыгда в рамках подпрограммы «Строительство, реконструкция и модернизация объектов капитального строительства муниципальной собственности в сфере образования»  муниципальной программы «Развитие образования в Сковородинском районе  на 2009-2015 годы»</t>
  </si>
  <si>
    <t>0350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</si>
  <si>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</si>
  <si>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12 2 01 87510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</si>
  <si>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 (Предоставление субсидий бюджетным, автономным учреждениям и иным некоммерческим организациям)</t>
  </si>
  <si>
    <t>Детский сад на 120 мест с. Талдан Сковородинского района в рамках подпрограммы «Строительство, реконструкция и модернизация объектов капитального строительства муниципальной собственности в сфере образования»  муниципальной программы «Развитие образования в Сковородинском районе  на 2009-2015 годы»</t>
  </si>
  <si>
    <t>0355</t>
  </si>
  <si>
    <t>Модернизация региональных систем дошкольного образования</t>
  </si>
  <si>
    <t>12 2 02 R0590</t>
  </si>
  <si>
    <t>Государственная программа "Развитие образования Амурской области на 2014-2020 годы" подпрограмма "Развитие дошкольного, общего и дополнительного образования детей"(Предоставление субсидий бюджетным, автономным учреждениям и иным некоммерческим организациям)</t>
  </si>
  <si>
    <t>Осуществление мер организационного и технического характера, направленных на повышение уровня антитеррористической защищенности потенциальных объектов террористических посягательств в рамках подпрограммы «Профилактика терроризма и экстремизма в Сковородинском районе на 2014-2018 годы» муниципальной программы «Профилактика терроризма и экстремизма в Сковородинском районе на 2014-2018 годы»</t>
  </si>
  <si>
    <t>0399</t>
  </si>
  <si>
    <t>12 2 02 87520</t>
  </si>
  <si>
    <t>Организация и проведение районной олимпиады школьников по общеобразовательным предметам в рамках подпрограммы «Одаренные дети» муниципальной программы «Развитие образования в Сковородинском районе  на 2009-2015 годы»</t>
  </si>
  <si>
    <t>0315</t>
  </si>
  <si>
    <t>Участие школьников в областных творческих и спортивных форумах, конференциях, слетах, фестивалях, проведение районных спортивно-технических соревнований, конкурсов, фестивалей детского творчества, ученических научно-практических конференций в рамках подпрограммы «Одаренные дети»  муниципальной программы «Развитие образования в Сковородинском районе  на 2009-2015 годы»</t>
  </si>
  <si>
    <t>0316</t>
  </si>
  <si>
    <t>Открытие экспериментальных площадок по работе с одаренными детьми в рамках подпрограммы «Одаренные дети»  муниципальной программы «Развитие образования в Сковородинском районе  на 2009-2015 годы»</t>
  </si>
  <si>
    <t>0317</t>
  </si>
  <si>
    <t>Участие учащихся ОУ района в региональных и межрегиональных профильных сменах для одаренных детей в рамках подпрограммы «Одаренные дети»  муниципальной программы «Развитие образования в Сковородинском районе  на 2009-2015 годы»</t>
  </si>
  <si>
    <t>0318</t>
  </si>
  <si>
    <t>Проведение конкурса проектов развития сельских общеобразовательных учреждений в рамках подпрограммы «Развитие образование на селе»  муниципальной программы «Развитие образования в Сковородинском районе  на 2009-2015 годы»</t>
  </si>
  <si>
    <t>0319</t>
  </si>
  <si>
    <t>Поддержка на конкурсной основе учебно-опытных участков школ района в рамках подпрограммы «Развитие образование на селе»  муниципальной программы «Развитие образования в Сковородинском районе  на 2009-2015 годы»</t>
  </si>
  <si>
    <t>0320</t>
  </si>
  <si>
    <t>Организация работы межшкольной ученической производственной бригады МСОШ с. Албазино (приобретение сельскохозяйственной техники, инвентаря, семян и пр.) в рамках подпрограммы «Развитие образование на селе»  муниципальной программы «Развитие образования в Сковородинском районе  на 2009-2015 годы»</t>
  </si>
  <si>
    <t>0321</t>
  </si>
  <si>
    <t>Участие в областном слете ученических производственных бригад в рамках подпрограммы «Развитие образование на селе»  муниципальной программы «Развитие образования в Сковородинском районе  на 2009-2015 годы»</t>
  </si>
  <si>
    <t>0322</t>
  </si>
  <si>
    <t>Участие в областном конкурсе воспитательных систем в рамках подпрограммы «Развитие системы воспитания и дополнительного образования детей»  муниципальной программы «Развитие образования в Сковородинском районе  на 2009-2015 годы»</t>
  </si>
  <si>
    <t>0323</t>
  </si>
  <si>
    <t>0324</t>
  </si>
  <si>
    <t>Подготовка и участие в областном конкурсе профессионального мастерства педагогов дополнительного образования «Сердце отдаю детям» в рамках подпрограммы «Развитие системы воспитания и дополнительного образования детей»  муниципальной программы «Развитие образования в Сковородинском районе  на 2009-2015 годы»</t>
  </si>
  <si>
    <t>0325</t>
  </si>
  <si>
    <t>Участие сборных команд района в областных мероприятиях: спортивных соревнованиях, творческих конкурсах,   конференциях в рамках подпрограммы «Развитие системы воспитания и дополнительного образования детей»  муниципальной программы «Развитие образования в Сковородинском районе  на 2009-2015 годы»</t>
  </si>
  <si>
    <t>0326</t>
  </si>
  <si>
    <t>Укрепление материально-технической базы муниципальных учреждений дополнительного образования детей в рамках подпрограммы «Развитие системы воспитания и дополнительного образования детей»  муниципальной программы «Развитие образования в Сковородинском районе  на 2009-2015 годы»</t>
  </si>
  <si>
    <t>0327</t>
  </si>
  <si>
    <t>Информатизация учреждений дополнительного образования детей в рамках подпрограммы «Развитие системы воспитания и дополнительного образования детей»  муниципальной программы «Развитие образования в Сковородинском районе  на 2009-2015 годы»</t>
  </si>
  <si>
    <t>0328</t>
  </si>
  <si>
    <t>11 2 02 11050</t>
  </si>
  <si>
    <t>Установка и ремонт ограждения территорий муниципальных образовательных организаций в рамках подпрограммы "Профилактика правонарушений, терроризма и экстремизма в районе" муниципальной программы "Снижениеи рисков и смягчение последствий чрезвычайных ситуаций природного и техногенного характера, а также обеспечение безопасности населения района на 2015-2020 годы"</t>
  </si>
  <si>
    <t>11 2 02 11060</t>
  </si>
  <si>
    <t>Установка и ремонт ограждения территорий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</si>
  <si>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Расходы районного бюджета на обеспечение деятельности (оказание услуг) муниципальных общеобразовательных учреждений в рамках подпрограммы "Развитие дошкольного, общего и дополнительного образования детей" муниципальной программы "Развитие образования Сковородинского района на 2015-2020 годы"</t>
  </si>
  <si>
    <t>12 1 01 01220</t>
  </si>
  <si>
    <t>Расходы районного бюджета на обеспечение деятельности (оказание услуг) муниципальных общеобразовательных учреждений (Предоставление субсидий бюджетным, автономным учреждениям и иным некоммерческим организациям)</t>
  </si>
  <si>
    <t>Расходы районного бюджета на обеспечение деятельности (оказание услуг) муниципальных учреждений по внешкольной работе с детьми в рамках подпрограммы "Развитие дошкольного, общего и дополнительного образования детей" муниципальной программы "Развитие образования Сковородинского района на 2015-2020 годы"</t>
  </si>
  <si>
    <t>12 1 01 01240</t>
  </si>
  <si>
    <t>Расходы районного бюджета на обеспечение деятельности (оказание услуг) муниципальных учреждений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</si>
  <si>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питания школьников в рамках подпрограммы «Совершенствование питания в общеобразовательных учреждениях»  муниципальной программы «Развитие образования в Сковородинском районе  на 2009-2015 годы»</t>
  </si>
  <si>
    <t>0344</t>
  </si>
  <si>
    <t>Укомплектование школьных столовых квалифицированными кадрами в рамках подпрограммы «Совершенствование питания в общеобразовательных учреждениях»  муниципальной программы «Развитие образования в Сковородинском районе  на 2009-2015 годы»</t>
  </si>
  <si>
    <t>0345</t>
  </si>
  <si>
    <t>Модернизация муниципальных систем общего образования (Предоставление субсидий бюджетным, автономным учреждениям и иным некоммерческим организациям)</t>
  </si>
  <si>
    <t>Выявление и поддержка одаренных детей в рамках подпрограммы "Развитие дошкольного, общего и дополнительного образования детей" муниципальной программы "Развитие образования Сковородинского района на 2015-2020 годы"</t>
  </si>
  <si>
    <t>12 1 01 12030</t>
  </si>
  <si>
    <t>Выявление и поддержка одаренных детей (Предоставление субсидий бюджетным, автономным учреждениям и иным некоммерческим организациям)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</si>
  <si>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в рамках подпрограммы "Развитие дошкольного, общего и дополнительного образования детей" муниципальной программы "Развитие образования Сковородинского района на 2015-2020 годы"</t>
  </si>
  <si>
    <t>12 1 01 12040</t>
  </si>
  <si>
    <t>Реализация моделей получения качественного дошкольного, общего и дополнительного образования детьми-инвалидами и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</si>
  <si>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0403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</si>
  <si>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</si>
  <si>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12 2 01 87260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</si>
  <si>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 (Предоставление субсидий бюджетным, автономным учреждениям и иным некоммерческим организациям)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</si>
  <si>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</si>
  <si>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12 2 02 50970</t>
  </si>
  <si>
    <t>12 2 02 R0970</t>
  </si>
  <si>
    <t>Строительство и оснащение детских автоплощадок в рамках подпрограммы "Повышение безопасности дорожного движения на территории района" муниципальной программы "Развитие транспортной системы Сковородинского района на 2015-2020 годы"</t>
  </si>
  <si>
    <t>13 2 02 13070</t>
  </si>
  <si>
    <t>Строительство и оснащение детских автоплощадок (Предоставление субсидий бюджетным, автономным учреждениям и иным некоммерческим организациям)</t>
  </si>
  <si>
    <t>Создания «Класса безопасности дорожного движения» в рамках подпрограммы "Повышение безопасности дорожного движения на территории района" муниципальной программы "Развитие транспортной системы Сковородинского района на 2015-2020 годы"</t>
  </si>
  <si>
    <t>13 2 02 13080</t>
  </si>
  <si>
    <t>Создания «Класса безопасности дорожного движения» (Предоставление субсидий бюджетным, автономным учреждениям и иным некоммерческим организациям)</t>
  </si>
  <si>
    <t>Организация и проведение конкурса-соревнования «Безопасное колесо»  в рамках подпрограммы "Повышение безопасности дорожного движения на территории района" муниципальной программы "Развитие транспортной системы Сковородинского района на 2015-2020 годы"</t>
  </si>
  <si>
    <t>13 2 02 13090</t>
  </si>
  <si>
    <t>Организация и проведение конкурса-соревнования «Безопасное колесо» (Предоставление субсидий бюджетным, автономным учреждениям и иным некоммерческим организациям)</t>
  </si>
  <si>
    <t>Расходы на выплату стипендии отличника обучающимся муниципальных общеобразовательных учреждений района по прочим непрограммным расходам</t>
  </si>
  <si>
    <t>99 3 03 01650</t>
  </si>
  <si>
    <t>Расходы на выплату стипендии отличника обучающимся муниципальных общеобразовательных учреждений района по прочим непрограммным расходам (Предоставление субсидий бюджетным, автономным учреждениям и иным некоммерческим организациям)</t>
  </si>
  <si>
    <t>Частичная оплата стоимости путевок для детей работающих граждан в организации отдыха и оздоровления детей в каникулярное время в рамках подпрограммы "Развитие системы защиты прав детей"  муниципальной программы "Развитие образования Сковородинскогоь района на 2015-2020 годы"</t>
  </si>
  <si>
    <t>12 2 02 12050</t>
  </si>
  <si>
    <t>Частичная оплата стоимости путевок для детей работающих граждан в организации отдыха и оздоровления детей в каникулярное время (Закупка товаров, работ и услуг для государственных (муниципальных) нужд)</t>
  </si>
  <si>
    <t>Частичная оплата стоимости путевок для детей работающих граждан в организации отдыха и оздоровления детей в каникулярное время (Предоставление субсидий бюджетным, автономным учреждениям и иным некоммерческим организациям)</t>
  </si>
  <si>
    <t>Развитие инфраструктуры отдыха, оздоровления и занятости детей и подростков в каникулярное время в рамках подпрограммы "Развитие системы защиты прав детей"  муниципальной программы "Развитие образования Сковородинскогоь района на 2015-2020 годы"</t>
  </si>
  <si>
    <t>12 2 02 12060</t>
  </si>
  <si>
    <t>Развитие инфраструктуры отдыха, оздоровления и занятости детей и подростков в каникулярное время (Предоставление субсидий бюджетным, автономным учреждениям и иным некоммерческим организациям)</t>
  </si>
  <si>
    <t>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"Развитие системы защиты прав детей" государственной программы "Развитие образования Амурской области на 2014-2020 годы"</t>
  </si>
  <si>
    <t>12 3 01 87500</t>
  </si>
  <si>
    <t>Расходы на обеспечение функций исполнительных органов местного самоуправления в области образования в рамках подпрограммы "Обеспечение реализации основных направлений муниципальной политики в сфере реализации муниципальной программы" муниципальной программы "Развитие образования Сковородинского района на 2015-2020 годы"</t>
  </si>
  <si>
    <t>12 4 04 01170</t>
  </si>
  <si>
    <t>Расходы на обеспечение функций исполнительных органов местного самоуправления в области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</si>
  <si>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исполнительных органов местного самоуправления в области образования (Закупка товаров, работ и услуг для государственных (муниципальных) нужд)</t>
  </si>
  <si>
    <t>Расходы на обеспечение функций исполнительных органов местного самоуправления в области образования (Иные бюджетные ассигнования)</t>
  </si>
  <si>
    <t>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"Обеспечение реализации основных направлений муниципальной политики в сфере реализации муниципальной программы" муниципальной программы "Развитие образования Сковородинского района на 2015-2020 годы"</t>
  </si>
  <si>
    <t>12 4 04 01180</t>
  </si>
  <si>
    <t>Расходы на содержание и обеспечение деятельности централизованной бухгалтерии и группы хозяйственного обслуживания отдела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</si>
  <si>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и обеспечение деятельности централизованной бухгалтерии и группы хозяйственного обслуживания отдела образования (Закупка товаров, работ и услуг для государственных (муниципальных) нужд)</t>
  </si>
  <si>
    <t>Расходы на содержание и обеспечение деятельности централизованной бухгалтерии и группы хозяйственного обслуживания отдела образования (Иные бюджетные ассигнования)</t>
  </si>
  <si>
    <t>Расходы на обеспечение деятельности (оказание услуг) подведомственных учреждений, обепечивающих предоставление услуг в сфере образования в рамках подпрограммы "Обеспечение реализации основных направлений муниципальной политики в сфере реализации муниципальной программы" муниципальной программы "Развитие образования Сковородинского района на 2015-2020 годы"</t>
  </si>
  <si>
    <t>12 4 04 01430</t>
  </si>
  <si>
    <t>Расходы на обеспечение деятельности (оказание услуг) подведомственных учреждений, обепечивающих предоставление услуг в сфере образования (Предоставление субсидий бюджетным, автономным учреждениям и иным некоммерческим организациям)</t>
  </si>
  <si>
    <t>Расходы районного бюджета на выплату ежемесячной доплаты к пенсии по старости работникам образования, здравоохранения, культуры, имеющих государственные и отраслевые награды, звания «Заслуженный врач», «Заслуженный работник культуры», «Заслуженный учитель», «Почетный работник», «Отличник просвещения», «Отличник здравоохранения» по прочим непрограммным расходам(Закупка товаров, работ и услуг для государственных (муниципальных) нужд)</t>
  </si>
  <si>
    <t>Обеспечение жилыми помещениями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 , за счет средств областного бюджета</t>
  </si>
  <si>
    <t>8732</t>
  </si>
  <si>
    <t>Социальное обеспечение и иные выплаты населению</t>
  </si>
  <si>
    <t>Единовременная денежная выплата при передаче ребенка на воспитание в семью в рамках подпрограммы "Социальная поддержка семьи и детей в Амурской области" Государственной программы "Развитие системы социальной защиты населения Амурской области на 2014-2020г.г."</t>
  </si>
  <si>
    <t>02 2 01 11020</t>
  </si>
  <si>
    <t>Единовременная денежная выплата при передаче ребенка на воспитание в семью(Закупка товаров, работ и услуг для государственных (муниципальных) нужд)</t>
  </si>
  <si>
    <t>Единовременная денежная выплата при передаче ребенка на воспитание в семью (Социальное обеспечение и иные выплаты населению)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</si>
  <si>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 в рамках подпрограммы "Социальная поддержка семьи и детей в Амурской области" Государственной программы "Развитие системы социальной защиты населения Амурской области на 2014-2020г.г."</t>
  </si>
  <si>
    <t>02 2 01 70000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</si>
  <si>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(Закупка товаров, работ и услуг для государственных (муниципальных) нужд)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</si>
  <si>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 (Социальное обеспечение и иные выплаты населению)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</si>
  <si>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 в рамках подпрограммы "Социальная поддержка семьи и детей в Амурской области" Государственной программы "Развитие системы социальной защиты населения Амурской области на 2014-2020г.г."</t>
  </si>
  <si>
    <t>02 2 01 87700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</si>
  <si>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(Закупка товаров, работ и услуг для государственных (муниципальных) нужд)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</si>
  <si>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(Социальное обеспечение и иные выплаты населению)</t>
  </si>
  <si>
    <t>Компенсация части родительской платы за присмотр и уход за детьми в дошкольных образовательных организациях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</t>
  </si>
  <si>
    <t>12 2 01 87250</t>
  </si>
  <si>
    <t>Компенсация части родительской платы за присмотр и уход за детьми в дошкольных образовательных организациях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годы»(Закупка товаров, работ и услуг для государственных (муниципальных) нужд)</t>
  </si>
  <si>
    <t>Компенсация части родительской платы за присмотр и уход за детьми в дошкольных образовательных организациях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 на 2014 – 2020 годы» (Социальное обеспечение и иные выплаты населению)</t>
  </si>
  <si>
    <t>Организация и осуществление деятельности по опеке и попечительству в отношении несовершеннолетних в рамках подпрограммы "Социальная поддержка семьи и детей в Амурской области" государственой программы "Развитие системы социальной защиты населения Амурской области на 2014-2020 г.г."</t>
  </si>
  <si>
    <t>02 2 01 87300</t>
  </si>
  <si>
    <t>Организация и осуществление деятельности по опеке и попечительству в отношении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</si>
  <si>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в отношении несовершеннолетних (Закупка товаров, работ и услуг для государственных (муниципальных) нужд)</t>
  </si>
  <si>
    <t>Комитет по управлению муниципальным имуществом</t>
  </si>
  <si>
    <t>014</t>
  </si>
  <si>
    <t>Расходы на обеспечение функций исполнительных органов местного самоуправления в области управления муниципальным имуществом в рамках подпрограммы "Повышение эффективности использования муниципального имущества" муниципальной программы "Повышение эффективности деятельности органов местного самоуправления Сковородинского района в 2015-2020 годы"</t>
  </si>
  <si>
    <t>10 2 02 01180</t>
  </si>
  <si>
    <t>Расходы на обеспечение функций исполнительных органов местного самоуправления в области управления муниципальным имуществом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</si>
  <si>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исполнительных органов местного самоуправления в области управления муниципальным имуществом (Закупка товаров, работ и услуг для государственных (муниципальных) нужд)</t>
  </si>
  <si>
    <t>Расходы на обеспечение функций исполнительных органов местного самоуправления в области управления муниципальным имуществом (Иные бюджетные ассигнования)</t>
  </si>
  <si>
    <t>Расходы на обеспечение деятельности (оказание услуг) единой дежурно-диспетчерской службы района в рамках подпрограммы "Развитие системы гражданскойм обороны, защиты населения и территорий от чрезвычайных ситуаций" муниципальной программы "Снижение рисков и смягчение последствий чрезвычайных ситуаций природного итехногенного характера, а также обеспечение безопасности населения района на 2015-2020 годы"</t>
  </si>
  <si>
    <t>11 1 01 11420</t>
  </si>
  <si>
    <t>Расходы на обеспечение деятельности (оказание услуг) единой дежурно-диспетчерской службы района (Предоставление субсидий бюджетным, автономным учреждениям и иным некоммерческим организациям)</t>
  </si>
  <si>
    <t>Расходы районного бюджета на обеспечение деятельности (оказание услуг) муниципальных учреждений дополнительного образования детей в рамках подпрограммы "Развитие дошкольного, общего и дополнительного образования детей" муниципальной программы "Развитие образования Сковородинского района на 2015-2020 годы"</t>
  </si>
  <si>
    <t>12 1 01 01230</t>
  </si>
  <si>
    <t>Расходы районного бюджета на обеспечение деятельности (оказание услуг) муниципальных учреждений дополнительного образования детей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</si>
  <si>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домов культуры, клубов в рамках подпрограммы "Народное творчество и досуговая деятельность" муниципальной программы "Развитие и сохранение культуры и искусства Сковородинского района на 2015-2020 годы"</t>
  </si>
  <si>
    <t>03 1 01 01310</t>
  </si>
  <si>
    <t>Расходы на обеспечение деятельности (оказание услуг) домов культуры, клубов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</si>
  <si>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музея в рамках подпрограммы "Историко-культурное наследие" муниципальной программы "Развитие и сохранение культуры и искусства Сковородинского района на 2015-2020 годы"</t>
  </si>
  <si>
    <t>03 3 03 01330</t>
  </si>
  <si>
    <t>Расходы на обеспечение деятельности (оказание услуг) музея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</si>
  <si>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библиотеки в рамках подпрограммы "Библиотечное обслуживание" муниципальной программы "Развитие и сохранение культуры и искусства Сковородинского района на 2015-2020 годы"</t>
  </si>
  <si>
    <t>03 5 05 01320</t>
  </si>
  <si>
    <t>Расходы на обеспечение деятельности (оказание услуг) библиотеки (Предоставление субсидий бюджетным, автономным учреждениям и иным некоммерческим организациям)</t>
  </si>
  <si>
    <t>ИТОГО РАСХОДОВ</t>
  </si>
  <si>
    <t>Контрольные соотношения</t>
  </si>
  <si>
    <t>Администрация района</t>
  </si>
  <si>
    <t>ЦСР</t>
  </si>
  <si>
    <t>ДЦП</t>
  </si>
  <si>
    <t>Финуправление</t>
  </si>
  <si>
    <t>Отдел образования</t>
  </si>
  <si>
    <t>КУМИ</t>
  </si>
  <si>
    <t>ИТОГО</t>
  </si>
  <si>
    <t>Переданные полномочия (субвенции, иные мбт- обл б-т)</t>
  </si>
  <si>
    <t>Переданные полномочия (бюджеты поселений)</t>
  </si>
  <si>
    <t>Казенные (местный бюджет)</t>
  </si>
  <si>
    <t>Бюджетные, автономные</t>
  </si>
  <si>
    <t>ПНО (местный бюджет)</t>
  </si>
  <si>
    <t>Иные расходы (местный бюджет)</t>
  </si>
  <si>
    <t>аппарат по вед.</t>
  </si>
  <si>
    <t>аппарат по нормативу</t>
  </si>
  <si>
    <t>з/п на аппарат по нормативу</t>
  </si>
  <si>
    <t>з/п на аппарат по вед.</t>
  </si>
  <si>
    <t>План на 01.01.2016</t>
  </si>
  <si>
    <t>Уточненный план на 2016</t>
  </si>
  <si>
    <t>Исполнено за  2016г</t>
  </si>
  <si>
    <t>Отклонение плана уточненного от первоначального,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</si>
</sst>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?"/>
  </numFmts>
  <fonts count="7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C00000"/>
      <name val="Arial Narrow"/>
      <family val="2"/>
      <charset val="204"/>
    </font>
    <font>
      <sz val="12"/>
      <color rgb="FFC00000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name val="Times New Roman"/>
      <family val="1"/>
      <charset val="204"/>
    </font>
    <font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name val="Arial Narrow"/>
      <family val="2"/>
      <charset val="204"/>
    </font>
    <font>
      <b/>
      <sz val="14"/>
      <color rgb="FF3924FC"/>
      <name val="Arial Narrow"/>
      <family val="2"/>
      <charset val="204"/>
    </font>
    <font>
      <b/>
      <sz val="14"/>
      <color rgb="FF0000CC"/>
      <name val="Arial Narrow"/>
      <family val="2"/>
      <charset val="204"/>
    </font>
    <font>
      <b/>
      <sz val="12"/>
      <color rgb="FF3924FC"/>
      <name val="Arial Narrow"/>
      <family val="2"/>
      <charset val="204"/>
    </font>
    <font>
      <b/>
      <sz val="12"/>
      <color rgb="FF0000CC"/>
      <name val="Arial Narrow"/>
      <family val="2"/>
      <charset val="204"/>
    </font>
    <font>
      <b/>
      <sz val="12"/>
      <color rgb="FF4A0BE7"/>
      <name val="Arial Narrow"/>
      <family val="2"/>
      <charset val="204"/>
    </font>
    <font>
      <sz val="12"/>
      <color rgb="FF3924FC"/>
      <name val="Arial Narrow"/>
      <family val="2"/>
      <charset val="204"/>
    </font>
    <font>
      <sz val="12"/>
      <color rgb="FF4A0BE7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color rgb="FF0000CC"/>
      <name val="Arial Narrow"/>
      <family val="2"/>
      <charset val="204"/>
    </font>
    <font>
      <sz val="12"/>
      <name val="Times New Roman"/>
      <family val="1"/>
      <charset val="204"/>
    </font>
    <font>
      <sz val="11"/>
      <color rgb="FF3924FC"/>
      <name val="Arial Narrow"/>
      <family val="2"/>
      <charset val="204"/>
    </font>
    <font>
      <sz val="11"/>
      <color rgb="FF0000CC"/>
      <name val="Arial Narrow"/>
      <family val="2"/>
      <charset val="204"/>
    </font>
    <font>
      <i/>
      <sz val="12"/>
      <color rgb="FF3924FC"/>
      <name val="Times New Roman"/>
      <family val="1"/>
      <charset val="204"/>
    </font>
    <font>
      <i/>
      <sz val="14"/>
      <color rgb="FF0000CC"/>
      <name val="Times New Roman"/>
      <family val="1"/>
      <charset val="204"/>
    </font>
    <font>
      <i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7030A0"/>
      <name val="Arial Narrow"/>
      <family val="2"/>
      <charset val="204"/>
    </font>
    <font>
      <sz val="12"/>
      <color rgb="FF00B05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3924FC"/>
      <name val="Arial Narrow"/>
      <family val="2"/>
      <charset val="204"/>
    </font>
    <font>
      <b/>
      <sz val="11"/>
      <color rgb="FF0000CC"/>
      <name val="Arial Narrow"/>
      <family val="2"/>
      <charset val="204"/>
    </font>
    <font>
      <i/>
      <sz val="11"/>
      <name val="Times New Roman"/>
      <family val="1"/>
      <charset val="204"/>
    </font>
    <font>
      <sz val="11"/>
      <color rgb="FF7030A0"/>
      <name val="Arial Narrow"/>
      <family val="2"/>
      <charset val="204"/>
    </font>
    <font>
      <i/>
      <sz val="12"/>
      <color rgb="FF0000CC"/>
      <name val="Times New Roman"/>
      <family val="1"/>
      <charset val="204"/>
    </font>
    <font>
      <i/>
      <sz val="12"/>
      <color rgb="FF0000CC"/>
      <name val="Arial Narrow"/>
      <family val="2"/>
      <charset val="204"/>
    </font>
    <font>
      <i/>
      <sz val="12"/>
      <name val="Arial Narrow"/>
      <family val="2"/>
      <charset val="204"/>
    </font>
    <font>
      <sz val="14"/>
      <name val="Arial Narrow"/>
      <family val="2"/>
      <charset val="204"/>
    </font>
    <font>
      <sz val="12"/>
      <name val="Calibri"/>
      <family val="2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rgb="FF3924FC"/>
      <name val="Times New Roman"/>
      <family val="1"/>
      <charset val="204"/>
    </font>
    <font>
      <b/>
      <i/>
      <sz val="12"/>
      <color rgb="FF0000CC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7030A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1037F8"/>
      <name val="Arial Narrow"/>
      <family val="2"/>
      <charset val="204"/>
    </font>
    <font>
      <sz val="12"/>
      <color rgb="FF1037F8"/>
      <name val="Arial Narrow"/>
      <family val="2"/>
      <charset val="204"/>
    </font>
    <font>
      <i/>
      <sz val="12"/>
      <color rgb="FF1037F8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i/>
      <sz val="13.5"/>
      <name val="Times New Roman"/>
      <family val="1"/>
      <charset val="204"/>
    </font>
    <font>
      <i/>
      <sz val="14"/>
      <color rgb="FF3924FC"/>
      <name val="Times New Roman"/>
      <family val="1"/>
      <charset val="204"/>
    </font>
    <font>
      <i/>
      <sz val="14"/>
      <color rgb="FF1037F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alibri"/>
      <family val="2"/>
    </font>
    <font>
      <sz val="11"/>
      <color indexed="36"/>
      <name val="Calibri"/>
      <family val="2"/>
    </font>
    <font>
      <sz val="10"/>
      <color indexed="36"/>
      <name val="Calibri"/>
      <family val="2"/>
    </font>
    <font>
      <sz val="12"/>
      <color rgb="FF3924FC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rgb="FF4E04BC"/>
      <name val="Arial Narrow"/>
      <family val="2"/>
      <charset val="204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/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/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8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5" fillId="0" borderId="0" xfId="0" applyFont="1" applyFill="1"/>
    <xf numFmtId="49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4" fontId="8" fillId="0" borderId="1" xfId="0" applyNumberFormat="1" applyFont="1" applyFill="1" applyBorder="1"/>
    <xf numFmtId="4" fontId="8" fillId="2" borderId="1" xfId="0" applyNumberFormat="1" applyFont="1" applyFill="1" applyBorder="1"/>
    <xf numFmtId="3" fontId="7" fillId="0" borderId="1" xfId="0" applyNumberFormat="1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9" fillId="0" borderId="1" xfId="0" applyNumberFormat="1" applyFont="1" applyFill="1" applyBorder="1"/>
    <xf numFmtId="3" fontId="4" fillId="0" borderId="1" xfId="0" applyNumberFormat="1" applyFont="1" applyFill="1" applyBorder="1"/>
    <xf numFmtId="4" fontId="9" fillId="2" borderId="1" xfId="0" applyNumberFormat="1" applyFont="1" applyFill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49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7" fillId="0" borderId="1" xfId="0" applyNumberFormat="1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4" fontId="8" fillId="2" borderId="2" xfId="0" applyNumberFormat="1" applyFont="1" applyFill="1" applyBorder="1"/>
    <xf numFmtId="3" fontId="7" fillId="0" borderId="2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/>
    <xf numFmtId="3" fontId="4" fillId="0" borderId="2" xfId="0" applyNumberFormat="1" applyFont="1" applyFill="1" applyBorder="1"/>
    <xf numFmtId="1" fontId="1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wrapText="1"/>
    </xf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/>
    <xf numFmtId="4" fontId="4" fillId="0" borderId="0" xfId="0" applyNumberFormat="1" applyFont="1" applyFill="1"/>
    <xf numFmtId="0" fontId="15" fillId="0" borderId="0" xfId="0" applyFont="1" applyFill="1"/>
    <xf numFmtId="0" fontId="15" fillId="2" borderId="0" xfId="0" applyFont="1" applyFill="1"/>
    <xf numFmtId="0" fontId="4" fillId="2" borderId="0" xfId="0" applyFont="1" applyFill="1" applyAlignment="1">
      <alignment wrapText="1"/>
    </xf>
    <xf numFmtId="49" fontId="4" fillId="2" borderId="0" xfId="0" applyNumberFormat="1" applyFont="1" applyFill="1"/>
    <xf numFmtId="4" fontId="4" fillId="2" borderId="0" xfId="0" applyNumberFormat="1" applyFont="1" applyFill="1"/>
    <xf numFmtId="0" fontId="15" fillId="2" borderId="0" xfId="0" applyFont="1" applyFill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49" fontId="17" fillId="2" borderId="6" xfId="0" applyNumberFormat="1" applyFont="1" applyFill="1" applyBorder="1"/>
    <xf numFmtId="49" fontId="17" fillId="2" borderId="1" xfId="0" applyNumberFormat="1" applyFont="1" applyFill="1" applyBorder="1"/>
    <xf numFmtId="4" fontId="18" fillId="2" borderId="1" xfId="0" applyNumberFormat="1" applyFont="1" applyFill="1" applyBorder="1"/>
    <xf numFmtId="4" fontId="19" fillId="2" borderId="1" xfId="0" applyNumberFormat="1" applyFont="1" applyFill="1" applyBorder="1"/>
    <xf numFmtId="4" fontId="4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49" fontId="7" fillId="2" borderId="6" xfId="0" applyNumberFormat="1" applyFont="1" applyFill="1" applyBorder="1"/>
    <xf numFmtId="49" fontId="7" fillId="2" borderId="1" xfId="0" applyNumberFormat="1" applyFont="1" applyFill="1" applyBorder="1"/>
    <xf numFmtId="4" fontId="20" fillId="2" borderId="1" xfId="0" applyNumberFormat="1" applyFont="1" applyFill="1" applyBorder="1"/>
    <xf numFmtId="4" fontId="21" fillId="2" borderId="1" xfId="0" applyNumberFormat="1" applyFont="1" applyFill="1" applyBorder="1"/>
    <xf numFmtId="4" fontId="2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49" fontId="4" fillId="2" borderId="6" xfId="0" applyNumberFormat="1" applyFont="1" applyFill="1" applyBorder="1"/>
    <xf numFmtId="49" fontId="4" fillId="2" borderId="1" xfId="0" applyNumberFormat="1" applyFont="1" applyFill="1" applyBorder="1"/>
    <xf numFmtId="4" fontId="23" fillId="2" borderId="1" xfId="0" applyNumberFormat="1" applyFont="1" applyFill="1" applyBorder="1"/>
    <xf numFmtId="4" fontId="24" fillId="2" borderId="1" xfId="0" applyNumberFormat="1" applyFont="1" applyFill="1" applyBorder="1"/>
    <xf numFmtId="1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4" fontId="2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5" fontId="25" fillId="2" borderId="7" xfId="0" applyNumberFormat="1" applyFont="1" applyFill="1" applyBorder="1" applyAlignment="1" applyProtection="1">
      <alignment horizontal="justify" vertical="center" wrapText="1"/>
    </xf>
    <xf numFmtId="4" fontId="26" fillId="2" borderId="1" xfId="0" applyNumberFormat="1" applyFont="1" applyFill="1" applyBorder="1"/>
    <xf numFmtId="49" fontId="25" fillId="2" borderId="7" xfId="0" applyNumberFormat="1" applyFont="1" applyFill="1" applyBorder="1" applyAlignment="1" applyProtection="1">
      <alignment horizontal="justify" vertical="center" wrapText="1"/>
    </xf>
    <xf numFmtId="49" fontId="27" fillId="2" borderId="7" xfId="0" applyNumberFormat="1" applyFont="1" applyFill="1" applyBorder="1" applyAlignment="1" applyProtection="1">
      <alignment horizontal="justify" vertical="center" wrapText="1"/>
    </xf>
    <xf numFmtId="0" fontId="4" fillId="2" borderId="1" xfId="0" applyFont="1" applyFill="1" applyBorder="1"/>
    <xf numFmtId="0" fontId="7" fillId="2" borderId="1" xfId="0" applyFont="1" applyFill="1" applyBorder="1"/>
    <xf numFmtId="4" fontId="26" fillId="2" borderId="1" xfId="0" applyNumberFormat="1" applyFont="1" applyFill="1" applyBorder="1" applyAlignment="1">
      <alignment horizontal="right"/>
    </xf>
    <xf numFmtId="49" fontId="27" fillId="0" borderId="8" xfId="0" applyNumberFormat="1" applyFont="1" applyBorder="1" applyAlignment="1" applyProtection="1">
      <alignment horizontal="justify" vertical="center" wrapText="1"/>
    </xf>
    <xf numFmtId="49" fontId="6" fillId="2" borderId="6" xfId="0" applyNumberFormat="1" applyFont="1" applyFill="1" applyBorder="1"/>
    <xf numFmtId="49" fontId="6" fillId="2" borderId="1" xfId="0" applyNumberFormat="1" applyFont="1" applyFill="1" applyBorder="1"/>
    <xf numFmtId="4" fontId="28" fillId="2" borderId="1" xfId="0" applyNumberFormat="1" applyFont="1" applyFill="1" applyBorder="1"/>
    <xf numFmtId="4" fontId="29" fillId="2" borderId="1" xfId="0" applyNumberFormat="1" applyFont="1" applyFill="1" applyBorder="1"/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49" fontId="27" fillId="0" borderId="8" xfId="0" applyNumberFormat="1" applyFont="1" applyBorder="1" applyAlignment="1" applyProtection="1">
      <alignment horizontal="left" vertical="center" wrapText="1"/>
    </xf>
    <xf numFmtId="4" fontId="30" fillId="0" borderId="7" xfId="0" applyNumberFormat="1" applyFont="1" applyBorder="1" applyAlignment="1" applyProtection="1">
      <alignment horizontal="right"/>
    </xf>
    <xf numFmtId="4" fontId="31" fillId="0" borderId="7" xfId="0" applyNumberFormat="1" applyFont="1" applyBorder="1" applyAlignment="1" applyProtection="1">
      <alignment horizontal="right"/>
    </xf>
    <xf numFmtId="49" fontId="32" fillId="0" borderId="8" xfId="0" applyNumberFormat="1" applyFont="1" applyBorder="1" applyAlignment="1" applyProtection="1">
      <alignment horizontal="justify" vertical="center" wrapText="1"/>
    </xf>
    <xf numFmtId="49" fontId="33" fillId="0" borderId="8" xfId="0" applyNumberFormat="1" applyFont="1" applyBorder="1" applyAlignment="1" applyProtection="1">
      <alignment horizontal="left" vertical="center" wrapText="1"/>
    </xf>
    <xf numFmtId="4" fontId="23" fillId="2" borderId="1" xfId="0" applyNumberFormat="1" applyFont="1" applyFill="1" applyBorder="1" applyAlignment="1">
      <alignment horizontal="right"/>
    </xf>
    <xf numFmtId="165" fontId="27" fillId="2" borderId="7" xfId="0" applyNumberFormat="1" applyFont="1" applyFill="1" applyBorder="1" applyAlignment="1" applyProtection="1">
      <alignment horizontal="justify" vertical="center" wrapText="1"/>
    </xf>
    <xf numFmtId="165" fontId="27" fillId="0" borderId="7" xfId="0" applyNumberFormat="1" applyFont="1" applyBorder="1" applyAlignment="1" applyProtection="1">
      <alignment horizontal="justify" vertical="center" wrapText="1"/>
    </xf>
    <xf numFmtId="165" fontId="25" fillId="0" borderId="7" xfId="0" applyNumberFormat="1" applyFont="1" applyBorder="1" applyAlignment="1" applyProtection="1">
      <alignment horizontal="justify" vertical="center" wrapText="1"/>
    </xf>
    <xf numFmtId="165" fontId="33" fillId="2" borderId="1" xfId="0" applyNumberFormat="1" applyFont="1" applyFill="1" applyBorder="1" applyAlignment="1" applyProtection="1">
      <alignment horizontal="justify" vertical="center" wrapText="1"/>
    </xf>
    <xf numFmtId="49" fontId="34" fillId="2" borderId="6" xfId="0" applyNumberFormat="1" applyFont="1" applyFill="1" applyBorder="1"/>
    <xf numFmtId="49" fontId="34" fillId="2" borderId="1" xfId="0" applyNumberFormat="1" applyFont="1" applyFill="1" applyBorder="1"/>
    <xf numFmtId="4" fontId="34" fillId="2" borderId="1" xfId="0" applyNumberFormat="1" applyFont="1" applyFill="1" applyBorder="1"/>
    <xf numFmtId="4" fontId="35" fillId="2" borderId="1" xfId="0" applyNumberFormat="1" applyFont="1" applyFill="1" applyBorder="1" applyAlignment="1">
      <alignment horizontal="right"/>
    </xf>
    <xf numFmtId="0" fontId="36" fillId="2" borderId="1" xfId="0" applyFont="1" applyFill="1" applyBorder="1" applyAlignment="1">
      <alignment wrapText="1"/>
    </xf>
    <xf numFmtId="49" fontId="36" fillId="2" borderId="6" xfId="0" applyNumberFormat="1" applyFont="1" applyFill="1" applyBorder="1"/>
    <xf numFmtId="49" fontId="36" fillId="2" borderId="1" xfId="0" applyNumberFormat="1" applyFont="1" applyFill="1" applyBorder="1"/>
    <xf numFmtId="4" fontId="37" fillId="2" borderId="1" xfId="0" applyNumberFormat="1" applyFont="1" applyFill="1" applyBorder="1"/>
    <xf numFmtId="4" fontId="38" fillId="2" borderId="1" xfId="0" applyNumberFormat="1" applyFont="1" applyFill="1" applyBorder="1"/>
    <xf numFmtId="0" fontId="6" fillId="2" borderId="1" xfId="0" applyFont="1" applyFill="1" applyBorder="1"/>
    <xf numFmtId="0" fontId="27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left" wrapText="1"/>
    </xf>
    <xf numFmtId="0" fontId="36" fillId="2" borderId="1" xfId="0" applyFont="1" applyFill="1" applyBorder="1"/>
    <xf numFmtId="0" fontId="27" fillId="0" borderId="1" xfId="0" applyFont="1" applyBorder="1" applyAlignment="1">
      <alignment wrapText="1"/>
    </xf>
    <xf numFmtId="4" fontId="29" fillId="2" borderId="1" xfId="0" applyNumberFormat="1" applyFont="1" applyFill="1" applyBorder="1" applyAlignment="1">
      <alignment horizontal="right"/>
    </xf>
    <xf numFmtId="49" fontId="25" fillId="2" borderId="1" xfId="0" applyNumberFormat="1" applyFont="1" applyFill="1" applyBorder="1" applyAlignment="1" applyProtection="1">
      <alignment horizontal="justify" vertical="center" wrapText="1"/>
    </xf>
    <xf numFmtId="49" fontId="27" fillId="2" borderId="1" xfId="0" applyNumberFormat="1" applyFont="1" applyFill="1" applyBorder="1" applyAlignment="1" applyProtection="1">
      <alignment horizontal="justify" vertical="center" wrapText="1"/>
    </xf>
    <xf numFmtId="0" fontId="4" fillId="2" borderId="1" xfId="0" applyFont="1" applyFill="1" applyBorder="1" applyAlignment="1">
      <alignment vertical="top" wrapText="1"/>
    </xf>
    <xf numFmtId="49" fontId="27" fillId="2" borderId="8" xfId="0" applyNumberFormat="1" applyFont="1" applyFill="1" applyBorder="1" applyAlignment="1" applyProtection="1">
      <alignment horizontal="center" vertical="center" wrapText="1"/>
    </xf>
    <xf numFmtId="49" fontId="25" fillId="2" borderId="8" xfId="0" applyNumberFormat="1" applyFont="1" applyFill="1" applyBorder="1" applyAlignment="1" applyProtection="1">
      <alignment horizontal="center" vertical="center" wrapText="1"/>
    </xf>
    <xf numFmtId="4" fontId="39" fillId="2" borderId="1" xfId="0" applyNumberFormat="1" applyFont="1" applyFill="1" applyBorder="1" applyAlignment="1" applyProtection="1">
      <alignment horizontal="right"/>
    </xf>
    <xf numFmtId="0" fontId="40" fillId="2" borderId="1" xfId="0" applyFont="1" applyFill="1" applyBorder="1" applyAlignment="1">
      <alignment wrapText="1"/>
    </xf>
    <xf numFmtId="49" fontId="40" fillId="2" borderId="6" xfId="0" applyNumberFormat="1" applyFont="1" applyFill="1" applyBorder="1"/>
    <xf numFmtId="49" fontId="40" fillId="2" borderId="1" xfId="0" applyNumberFormat="1" applyFont="1" applyFill="1" applyBorder="1"/>
    <xf numFmtId="4" fontId="34" fillId="2" borderId="1" xfId="0" applyNumberFormat="1" applyFont="1" applyFill="1" applyBorder="1" applyAlignment="1">
      <alignment horizontal="right"/>
    </xf>
    <xf numFmtId="0" fontId="27" fillId="0" borderId="1" xfId="0" applyFont="1" applyBorder="1" applyAlignment="1">
      <alignment vertical="top" wrapText="1"/>
    </xf>
    <xf numFmtId="0" fontId="34" fillId="2" borderId="1" xfId="0" applyFont="1" applyFill="1" applyBorder="1"/>
    <xf numFmtId="49" fontId="32" fillId="2" borderId="7" xfId="0" applyNumberFormat="1" applyFont="1" applyFill="1" applyBorder="1" applyAlignment="1" applyProtection="1">
      <alignment horizontal="justify" vertical="center" wrapText="1"/>
    </xf>
    <xf numFmtId="1" fontId="3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justify" vertical="center"/>
    </xf>
    <xf numFmtId="49" fontId="25" fillId="0" borderId="7" xfId="0" applyNumberFormat="1" applyFont="1" applyBorder="1" applyAlignment="1" applyProtection="1">
      <alignment horizontal="justify" vertical="center" wrapText="1"/>
    </xf>
    <xf numFmtId="49" fontId="27" fillId="0" borderId="8" xfId="0" applyNumberFormat="1" applyFont="1" applyBorder="1" applyAlignment="1" applyProtection="1">
      <alignment horizontal="center" vertical="center" wrapText="1"/>
    </xf>
    <xf numFmtId="49" fontId="33" fillId="0" borderId="8" xfId="0" applyNumberFormat="1" applyFont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/>
    <xf numFmtId="165" fontId="32" fillId="0" borderId="8" xfId="0" applyNumberFormat="1" applyFont="1" applyBorder="1" applyAlignment="1" applyProtection="1">
      <alignment horizontal="justify" vertical="center" wrapText="1"/>
    </xf>
    <xf numFmtId="0" fontId="7" fillId="2" borderId="1" xfId="0" applyFont="1" applyFill="1" applyBorder="1" applyAlignment="1">
      <alignment horizontal="left"/>
    </xf>
    <xf numFmtId="49" fontId="27" fillId="0" borderId="1" xfId="0" applyNumberFormat="1" applyFont="1" applyBorder="1" applyAlignment="1" applyProtection="1">
      <alignment horizontal="justify" vertical="center" wrapText="1"/>
    </xf>
    <xf numFmtId="4" fontId="30" fillId="2" borderId="1" xfId="0" applyNumberFormat="1" applyFont="1" applyFill="1" applyBorder="1" applyAlignment="1" applyProtection="1">
      <alignment horizontal="right"/>
    </xf>
    <xf numFmtId="4" fontId="41" fillId="2" borderId="1" xfId="0" applyNumberFormat="1" applyFont="1" applyFill="1" applyBorder="1" applyAlignment="1" applyProtection="1">
      <alignment horizontal="right"/>
    </xf>
    <xf numFmtId="4" fontId="42" fillId="2" borderId="1" xfId="0" applyNumberFormat="1" applyFont="1" applyFill="1" applyBorder="1"/>
    <xf numFmtId="49" fontId="27" fillId="0" borderId="7" xfId="0" applyNumberFormat="1" applyFont="1" applyBorder="1" applyAlignment="1" applyProtection="1">
      <alignment horizontal="justify" vertical="center" wrapText="1"/>
    </xf>
    <xf numFmtId="49" fontId="32" fillId="0" borderId="7" xfId="0" applyNumberFormat="1" applyFont="1" applyBorder="1" applyAlignment="1" applyProtection="1">
      <alignment horizontal="justify" vertical="center" wrapText="1"/>
    </xf>
    <xf numFmtId="0" fontId="27" fillId="2" borderId="1" xfId="0" applyFont="1" applyFill="1" applyBorder="1" applyAlignment="1">
      <alignment horizontal="justify" vertical="center" wrapText="1"/>
    </xf>
    <xf numFmtId="4" fontId="35" fillId="2" borderId="1" xfId="0" applyNumberFormat="1" applyFont="1" applyFill="1" applyBorder="1"/>
    <xf numFmtId="0" fontId="43" fillId="2" borderId="1" xfId="0" applyFont="1" applyFill="1" applyBorder="1" applyAlignment="1">
      <alignment wrapText="1"/>
    </xf>
    <xf numFmtId="4" fontId="44" fillId="2" borderId="1" xfId="0" applyNumberFormat="1" applyFont="1" applyFill="1" applyBorder="1"/>
    <xf numFmtId="0" fontId="45" fillId="0" borderId="0" xfId="0" applyFont="1" applyFill="1"/>
    <xf numFmtId="165" fontId="46" fillId="2" borderId="7" xfId="0" applyNumberFormat="1" applyFont="1" applyFill="1" applyBorder="1" applyAlignment="1" applyProtection="1">
      <alignment horizontal="justify" vertical="center" wrapText="1"/>
    </xf>
    <xf numFmtId="4" fontId="7" fillId="2" borderId="1" xfId="0" applyNumberFormat="1" applyFont="1" applyFill="1" applyBorder="1" applyAlignment="1">
      <alignment horizontal="right"/>
    </xf>
    <xf numFmtId="165" fontId="47" fillId="0" borderId="8" xfId="0" applyNumberFormat="1" applyFont="1" applyBorder="1" applyAlignment="1" applyProtection="1">
      <alignment horizontal="justify" vertical="center" wrapText="1"/>
    </xf>
    <xf numFmtId="49" fontId="46" fillId="0" borderId="8" xfId="0" applyNumberFormat="1" applyFont="1" applyBorder="1" applyAlignment="1" applyProtection="1">
      <alignment horizontal="center" vertical="center" wrapText="1"/>
    </xf>
    <xf numFmtId="49" fontId="48" fillId="0" borderId="8" xfId="0" applyNumberFormat="1" applyFont="1" applyBorder="1" applyAlignment="1" applyProtection="1">
      <alignment horizontal="center" vertical="center" wrapText="1"/>
    </xf>
    <xf numFmtId="4" fontId="49" fillId="0" borderId="1" xfId="0" applyNumberFormat="1" applyFont="1" applyBorder="1" applyAlignment="1" applyProtection="1">
      <alignment horizontal="right"/>
    </xf>
    <xf numFmtId="4" fontId="50" fillId="0" borderId="1" xfId="0" applyNumberFormat="1" applyFont="1" applyBorder="1" applyAlignment="1" applyProtection="1">
      <alignment horizontal="right"/>
    </xf>
    <xf numFmtId="0" fontId="1" fillId="0" borderId="0" xfId="0" applyFont="1" applyAlignment="1">
      <alignment horizontal="justify" vertical="center"/>
    </xf>
    <xf numFmtId="49" fontId="25" fillId="0" borderId="8" xfId="0" applyNumberFormat="1" applyFont="1" applyBorder="1" applyAlignment="1" applyProtection="1">
      <alignment horizontal="center" vertical="center" wrapText="1"/>
    </xf>
    <xf numFmtId="49" fontId="51" fillId="0" borderId="8" xfId="0" applyNumberFormat="1" applyFont="1" applyBorder="1" applyAlignment="1" applyProtection="1">
      <alignment horizontal="center" vertical="center" wrapText="1"/>
    </xf>
    <xf numFmtId="4" fontId="30" fillId="0" borderId="1" xfId="0" applyNumberFormat="1" applyFont="1" applyBorder="1" applyAlignment="1" applyProtection="1">
      <alignment horizontal="right"/>
    </xf>
    <xf numFmtId="4" fontId="41" fillId="0" borderId="1" xfId="0" applyNumberFormat="1" applyFont="1" applyBorder="1" applyAlignment="1" applyProtection="1">
      <alignment horizontal="right"/>
    </xf>
    <xf numFmtId="4" fontId="25" fillId="0" borderId="1" xfId="0" applyNumberFormat="1" applyFont="1" applyBorder="1" applyAlignment="1" applyProtection="1">
      <alignment horizontal="right"/>
    </xf>
    <xf numFmtId="49" fontId="33" fillId="0" borderId="8" xfId="0" applyNumberFormat="1" applyFont="1" applyBorder="1" applyAlignment="1" applyProtection="1">
      <alignment horizontal="justify" vertical="center" wrapText="1"/>
    </xf>
    <xf numFmtId="49" fontId="32" fillId="0" borderId="8" xfId="0" applyNumberFormat="1" applyFont="1" applyBorder="1" applyAlignment="1" applyProtection="1">
      <alignment horizontal="center" vertical="center" wrapText="1"/>
    </xf>
    <xf numFmtId="49" fontId="52" fillId="0" borderId="8" xfId="0" applyNumberFormat="1" applyFont="1" applyBorder="1" applyAlignment="1" applyProtection="1">
      <alignment horizontal="center" vertical="center" wrapText="1"/>
    </xf>
    <xf numFmtId="49" fontId="53" fillId="2" borderId="7" xfId="0" applyNumberFormat="1" applyFont="1" applyFill="1" applyBorder="1" applyAlignment="1" applyProtection="1">
      <alignment horizontal="justify" vertical="center" wrapText="1"/>
    </xf>
    <xf numFmtId="49" fontId="47" fillId="2" borderId="9" xfId="0" applyNumberFormat="1" applyFont="1" applyFill="1" applyBorder="1" applyAlignment="1" applyProtection="1">
      <alignment horizontal="center" vertical="center" wrapText="1"/>
    </xf>
    <xf numFmtId="49" fontId="47" fillId="2" borderId="10" xfId="0" applyNumberFormat="1" applyFont="1" applyFill="1" applyBorder="1" applyAlignment="1" applyProtection="1">
      <alignment horizontal="center" vertical="center" wrapText="1"/>
    </xf>
    <xf numFmtId="4" fontId="54" fillId="2" borderId="1" xfId="0" applyNumberFormat="1" applyFont="1" applyFill="1" applyBorder="1"/>
    <xf numFmtId="0" fontId="4" fillId="0" borderId="1" xfId="0" applyFont="1" applyBorder="1" applyAlignment="1">
      <alignment vertical="top" wrapText="1"/>
    </xf>
    <xf numFmtId="49" fontId="27" fillId="2" borderId="11" xfId="0" applyNumberFormat="1" applyFont="1" applyFill="1" applyBorder="1" applyAlignment="1" applyProtection="1">
      <alignment horizontal="center" vertical="center" wrapText="1"/>
    </xf>
    <xf numFmtId="49" fontId="47" fillId="2" borderId="11" xfId="0" applyNumberFormat="1" applyFont="1" applyFill="1" applyBorder="1" applyAlignment="1" applyProtection="1">
      <alignment horizontal="center" vertical="center" wrapText="1"/>
    </xf>
    <xf numFmtId="49" fontId="47" fillId="2" borderId="8" xfId="0" applyNumberFormat="1" applyFont="1" applyFill="1" applyBorder="1" applyAlignment="1" applyProtection="1">
      <alignment horizontal="center" vertical="center" wrapText="1"/>
    </xf>
    <xf numFmtId="4" fontId="55" fillId="2" borderId="1" xfId="0" applyNumberFormat="1" applyFont="1" applyFill="1" applyBorder="1"/>
    <xf numFmtId="49" fontId="27" fillId="2" borderId="12" xfId="0" applyNumberFormat="1" applyFont="1" applyFill="1" applyBorder="1" applyAlignment="1" applyProtection="1">
      <alignment horizontal="center" vertical="center" wrapText="1"/>
    </xf>
    <xf numFmtId="49" fontId="27" fillId="2" borderId="13" xfId="0" applyNumberFormat="1" applyFont="1" applyFill="1" applyBorder="1" applyAlignment="1" applyProtection="1">
      <alignment horizontal="center" vertical="center" wrapText="1"/>
    </xf>
    <xf numFmtId="4" fontId="55" fillId="2" borderId="1" xfId="0" applyNumberFormat="1" applyFont="1" applyFill="1" applyBorder="1" applyAlignment="1">
      <alignment horizontal="right"/>
    </xf>
    <xf numFmtId="49" fontId="47" fillId="0" borderId="7" xfId="0" applyNumberFormat="1" applyFont="1" applyBorder="1" applyAlignment="1" applyProtection="1">
      <alignment horizontal="justify" vertical="center" wrapText="1"/>
    </xf>
    <xf numFmtId="49" fontId="46" fillId="0" borderId="11" xfId="0" applyNumberFormat="1" applyFont="1" applyBorder="1" applyAlignment="1" applyProtection="1">
      <alignment horizontal="center" vertical="center" wrapText="1"/>
    </xf>
    <xf numFmtId="49" fontId="25" fillId="0" borderId="11" xfId="0" applyNumberFormat="1" applyFont="1" applyBorder="1" applyAlignment="1" applyProtection="1">
      <alignment horizontal="center" vertical="center" wrapText="1"/>
    </xf>
    <xf numFmtId="49" fontId="27" fillId="0" borderId="13" xfId="0" applyNumberFormat="1" applyFont="1" applyBorder="1" applyAlignment="1" applyProtection="1">
      <alignment horizontal="center" vertical="center" wrapText="1"/>
    </xf>
    <xf numFmtId="4" fontId="56" fillId="0" borderId="1" xfId="0" applyNumberFormat="1" applyFont="1" applyBorder="1" applyAlignment="1" applyProtection="1">
      <alignment horizontal="right"/>
    </xf>
    <xf numFmtId="49" fontId="25" fillId="0" borderId="12" xfId="0" applyNumberFormat="1" applyFont="1" applyBorder="1" applyAlignment="1" applyProtection="1">
      <alignment horizontal="center" vertical="center" wrapText="1"/>
    </xf>
    <xf numFmtId="49" fontId="25" fillId="0" borderId="13" xfId="0" applyNumberFormat="1" applyFont="1" applyBorder="1" applyAlignment="1" applyProtection="1">
      <alignment horizontal="center" vertical="center" wrapText="1"/>
    </xf>
    <xf numFmtId="49" fontId="25" fillId="0" borderId="14" xfId="0" applyNumberFormat="1" applyFont="1" applyBorder="1" applyAlignment="1" applyProtection="1">
      <alignment horizontal="center" vertical="center" wrapText="1"/>
    </xf>
    <xf numFmtId="49" fontId="27" fillId="0" borderId="1" xfId="0" applyNumberFormat="1" applyFont="1" applyBorder="1" applyAlignment="1" applyProtection="1">
      <alignment horizontal="center" vertical="center" wrapText="1"/>
    </xf>
    <xf numFmtId="4" fontId="57" fillId="0" borderId="1" xfId="0" applyNumberFormat="1" applyFont="1" applyBorder="1" applyAlignment="1" applyProtection="1">
      <alignment horizontal="right"/>
    </xf>
    <xf numFmtId="49" fontId="33" fillId="0" borderId="7" xfId="0" applyNumberFormat="1" applyFont="1" applyBorder="1" applyAlignment="1" applyProtection="1">
      <alignment horizontal="justify" vertical="center" wrapText="1"/>
    </xf>
    <xf numFmtId="49" fontId="58" fillId="0" borderId="8" xfId="0" applyNumberFormat="1" applyFont="1" applyBorder="1" applyAlignment="1" applyProtection="1">
      <alignment horizontal="justify" vertical="center" wrapText="1"/>
    </xf>
    <xf numFmtId="49" fontId="47" fillId="2" borderId="7" xfId="0" applyNumberFormat="1" applyFont="1" applyFill="1" applyBorder="1" applyAlignment="1" applyProtection="1">
      <alignment horizontal="justify" vertical="center" wrapText="1"/>
    </xf>
    <xf numFmtId="49" fontId="46" fillId="2" borderId="11" xfId="0" applyNumberFormat="1" applyFont="1" applyFill="1" applyBorder="1" applyAlignment="1" applyProtection="1">
      <alignment horizontal="center" vertical="center" wrapText="1"/>
    </xf>
    <xf numFmtId="49" fontId="46" fillId="2" borderId="8" xfId="0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justify" vertical="center"/>
    </xf>
    <xf numFmtId="49" fontId="25" fillId="2" borderId="11" xfId="0" applyNumberFormat="1" applyFont="1" applyFill="1" applyBorder="1" applyAlignment="1" applyProtection="1">
      <alignment horizontal="center" vertical="center" wrapText="1"/>
    </xf>
    <xf numFmtId="49" fontId="59" fillId="2" borderId="7" xfId="0" applyNumberFormat="1" applyFont="1" applyFill="1" applyBorder="1" applyAlignment="1" applyProtection="1">
      <alignment horizontal="justify" vertical="center" wrapText="1"/>
    </xf>
    <xf numFmtId="4" fontId="60" fillId="0" borderId="1" xfId="0" applyNumberFormat="1" applyFont="1" applyBorder="1" applyAlignment="1" applyProtection="1">
      <alignment horizontal="right"/>
    </xf>
    <xf numFmtId="4" fontId="61" fillId="0" borderId="1" xfId="0" applyNumberFormat="1" applyFont="1" applyBorder="1" applyAlignment="1" applyProtection="1">
      <alignment horizontal="right"/>
    </xf>
    <xf numFmtId="49" fontId="62" fillId="0" borderId="8" xfId="0" applyNumberFormat="1" applyFont="1" applyBorder="1" applyAlignment="1" applyProtection="1">
      <alignment horizontal="justify" vertical="center" wrapText="1"/>
    </xf>
    <xf numFmtId="49" fontId="46" fillId="0" borderId="9" xfId="0" applyNumberFormat="1" applyFont="1" applyBorder="1" applyAlignment="1" applyProtection="1">
      <alignment horizontal="center" vertical="center" wrapText="1"/>
    </xf>
    <xf numFmtId="49" fontId="46" fillId="0" borderId="10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49" fontId="20" fillId="2" borderId="1" xfId="0" applyNumberFormat="1" applyFont="1" applyFill="1" applyBorder="1"/>
    <xf numFmtId="0" fontId="23" fillId="2" borderId="1" xfId="0" applyFont="1" applyFill="1" applyBorder="1" applyAlignment="1">
      <alignment wrapText="1"/>
    </xf>
    <xf numFmtId="49" fontId="23" fillId="2" borderId="6" xfId="0" applyNumberFormat="1" applyFont="1" applyFill="1" applyBorder="1"/>
    <xf numFmtId="49" fontId="23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49" fontId="5" fillId="2" borderId="6" xfId="0" applyNumberFormat="1" applyFont="1" applyFill="1" applyBorder="1"/>
    <xf numFmtId="49" fontId="5" fillId="2" borderId="1" xfId="0" applyNumberFormat="1" applyFont="1" applyFill="1" applyBorder="1"/>
    <xf numFmtId="4" fontId="5" fillId="2" borderId="1" xfId="0" applyNumberFormat="1" applyFont="1" applyFill="1" applyBorder="1"/>
    <xf numFmtId="0" fontId="63" fillId="0" borderId="0" xfId="0" applyFont="1" applyFill="1"/>
    <xf numFmtId="4" fontId="5" fillId="2" borderId="1" xfId="0" applyNumberFormat="1" applyFont="1" applyFill="1" applyBorder="1" applyAlignment="1">
      <alignment horizontal="right"/>
    </xf>
    <xf numFmtId="0" fontId="64" fillId="0" borderId="0" xfId="0" applyFont="1" applyFill="1"/>
    <xf numFmtId="0" fontId="65" fillId="0" borderId="0" xfId="0" applyFont="1" applyFill="1"/>
    <xf numFmtId="0" fontId="63" fillId="2" borderId="0" xfId="0" applyFont="1" applyFill="1"/>
    <xf numFmtId="4" fontId="66" fillId="0" borderId="7" xfId="0" applyNumberFormat="1" applyFont="1" applyBorder="1" applyAlignment="1" applyProtection="1">
      <alignment horizontal="right"/>
    </xf>
    <xf numFmtId="4" fontId="67" fillId="0" borderId="7" xfId="0" applyNumberFormat="1" applyFont="1" applyBorder="1" applyAlignment="1" applyProtection="1">
      <alignment horizontal="right"/>
    </xf>
    <xf numFmtId="4" fontId="66" fillId="0" borderId="1" xfId="0" applyNumberFormat="1" applyFont="1" applyBorder="1" applyAlignment="1" applyProtection="1">
      <alignment horizontal="right"/>
    </xf>
    <xf numFmtId="49" fontId="25" fillId="0" borderId="8" xfId="0" applyNumberFormat="1" applyFont="1" applyBorder="1" applyAlignment="1" applyProtection="1">
      <alignment horizontal="justify" vertical="center" wrapText="1"/>
    </xf>
    <xf numFmtId="49" fontId="27" fillId="2" borderId="10" xfId="0" applyNumberFormat="1" applyFont="1" applyFill="1" applyBorder="1" applyAlignment="1" applyProtection="1">
      <alignment horizontal="center" vertical="center" wrapText="1"/>
    </xf>
    <xf numFmtId="165" fontId="68" fillId="0" borderId="8" xfId="0" applyNumberFormat="1" applyFont="1" applyBorder="1" applyAlignment="1" applyProtection="1">
      <alignment horizontal="justify" vertical="center" wrapText="1"/>
    </xf>
    <xf numFmtId="4" fontId="30" fillId="2" borderId="7" xfId="0" applyNumberFormat="1" applyFont="1" applyFill="1" applyBorder="1" applyAlignment="1" applyProtection="1">
      <alignment horizontal="right"/>
    </xf>
    <xf numFmtId="4" fontId="41" fillId="2" borderId="7" xfId="0" applyNumberFormat="1" applyFont="1" applyFill="1" applyBorder="1" applyAlignment="1" applyProtection="1">
      <alignment horizontal="right"/>
    </xf>
    <xf numFmtId="165" fontId="32" fillId="0" borderId="7" xfId="0" applyNumberFormat="1" applyFont="1" applyBorder="1" applyAlignment="1" applyProtection="1">
      <alignment horizontal="justify" vertical="center" wrapText="1"/>
    </xf>
    <xf numFmtId="49" fontId="4" fillId="2" borderId="5" xfId="0" applyNumberFormat="1" applyFont="1" applyFill="1" applyBorder="1"/>
    <xf numFmtId="49" fontId="4" fillId="2" borderId="3" xfId="0" applyNumberFormat="1" applyFont="1" applyFill="1" applyBorder="1"/>
    <xf numFmtId="49" fontId="32" fillId="0" borderId="11" xfId="0" applyNumberFormat="1" applyFont="1" applyBorder="1" applyAlignment="1" applyProtection="1">
      <alignment horizontal="center" vertical="center" wrapText="1"/>
    </xf>
    <xf numFmtId="49" fontId="27" fillId="0" borderId="11" xfId="0" applyNumberFormat="1" applyFont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right" wrapText="1"/>
    </xf>
    <xf numFmtId="49" fontId="44" fillId="2" borderId="1" xfId="0" applyNumberFormat="1" applyFont="1" applyFill="1" applyBorder="1"/>
    <xf numFmtId="4" fontId="69" fillId="2" borderId="1" xfId="0" applyNumberFormat="1" applyFont="1" applyFill="1" applyBorder="1"/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/>
    <xf numFmtId="4" fontId="4" fillId="2" borderId="0" xfId="0" applyNumberFormat="1" applyFont="1" applyFill="1" applyBorder="1"/>
    <xf numFmtId="0" fontId="15" fillId="0" borderId="0" xfId="0" applyFont="1" applyFill="1" applyBorder="1"/>
    <xf numFmtId="4" fontId="4" fillId="0" borderId="0" xfId="0" applyNumberFormat="1" applyFont="1" applyFill="1" applyBorder="1"/>
    <xf numFmtId="4" fontId="4" fillId="0" borderId="4" xfId="0" applyNumberFormat="1" applyFont="1" applyFill="1" applyBorder="1"/>
    <xf numFmtId="4" fontId="4" fillId="0" borderId="15" xfId="0" applyNumberFormat="1" applyFont="1" applyFill="1" applyBorder="1"/>
    <xf numFmtId="4" fontId="4" fillId="0" borderId="5" xfId="0" applyNumberFormat="1" applyFont="1" applyFill="1" applyBorder="1"/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4" fontId="70" fillId="0" borderId="0" xfId="0" applyNumberFormat="1" applyFont="1" applyFill="1"/>
    <xf numFmtId="0" fontId="70" fillId="0" borderId="0" xfId="0" applyFont="1" applyFill="1"/>
    <xf numFmtId="4" fontId="0" fillId="0" borderId="1" xfId="0" applyNumberFormat="1" applyBorder="1"/>
    <xf numFmtId="4" fontId="4" fillId="0" borderId="1" xfId="0" applyNumberFormat="1" applyFont="1" applyFill="1" applyBorder="1" applyAlignment="1">
      <alignment wrapText="1"/>
    </xf>
    <xf numFmtId="4" fontId="10" fillId="0" borderId="1" xfId="0" applyNumberFormat="1" applyFont="1" applyBorder="1"/>
    <xf numFmtId="4" fontId="5" fillId="0" borderId="1" xfId="0" applyNumberFormat="1" applyFont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6" fillId="0" borderId="2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7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(т_1!$A$2,т_1!$A$15,т_1!$A$20,т_1!$A$21,т_1!$A$22)</c:f>
              <c:strCache>
                <c:ptCount val="5"/>
                <c:pt idx="0">
                  <c:v>Налоговые и неналоговые доходы</c:v>
                </c:pt>
                <c:pt idx="1">
                  <c:v>Безвозмездные поступления</c:v>
                </c:pt>
                <c:pt idx="2">
                  <c:v>Прочие безвозмездные поступления</c:v>
                </c:pt>
                <c:pt idx="3">
                  <c:v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c:v>
                </c:pt>
                <c:pt idx="4">
                  <c:v>Возврат остатков субсидий, субвенций и иных межбюджетных трансфертов, имеющих целевое назначение, прошлых лет</c:v>
                </c:pt>
              </c:strCache>
            </c:strRef>
          </c:cat>
          <c:val>
            <c:numRef>
              <c:f>(т_1!$G$2,т_1!$G$15,т_1!$G$20,т_1!$G$21,т_1!$G$22)</c:f>
              <c:numCache>
                <c:formatCode>#,##0.00</c:formatCode>
                <c:ptCount val="5"/>
                <c:pt idx="0">
                  <c:v>188585.563302</c:v>
                </c:pt>
                <c:pt idx="1">
                  <c:v>848324.32707</c:v>
                </c:pt>
                <c:pt idx="2">
                  <c:v>-34864.089999999997</c:v>
                </c:pt>
                <c:pt idx="3">
                  <c:v>3621.1975400000001</c:v>
                </c:pt>
                <c:pt idx="4">
                  <c:v>-2373.06342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604705110216989"/>
          <c:y val="0.24341920983237775"/>
          <c:w val="0.31667541021871481"/>
          <c:h val="0.56189622535684314"/>
        </c:manualLayout>
      </c:layout>
      <c:overlay val="0"/>
      <c:txPr>
        <a:bodyPr/>
        <a:lstStyle/>
        <a:p>
          <a:pPr>
            <a:defRPr kern="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Лист3!$A$4:$C$11</c:f>
              <c:multiLvlStrCache>
                <c:ptCount val="7"/>
                <c:lvl>
                  <c:pt idx="0">
                    <c:v>Функционирование высшего должностного лица субъекта Российской Федерации и муниципального образования</c:v>
                  </c:pt>
                  <c:pt idx="1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2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3">
                    <c:v>Судебная система</c:v>
                  </c:pt>
                  <c:pt idx="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5">
                    <c:v>Резервные фонды</c:v>
                  </c:pt>
                  <c:pt idx="6">
                    <c:v>Другие общегосударственные вопросы</c:v>
                  </c:pt>
                </c:lvl>
                <c:lvl>
                  <c:pt idx="0">
                    <c:v>02</c:v>
                  </c:pt>
                  <c:pt idx="1">
                    <c:v>03</c:v>
                  </c:pt>
                  <c:pt idx="2">
                    <c:v>04</c:v>
                  </c:pt>
                  <c:pt idx="3">
                    <c:v>05</c:v>
                  </c:pt>
                  <c:pt idx="4">
                    <c:v>06</c:v>
                  </c:pt>
                  <c:pt idx="5">
                    <c:v>11</c:v>
                  </c:pt>
                  <c:pt idx="6">
                    <c:v>13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</c:lvl>
              </c:multiLvlStrCache>
            </c:multiLvlStrRef>
          </c:cat>
          <c:val>
            <c:numRef>
              <c:f>Лист3!$F$4:$F$11</c:f>
              <c:numCache>
                <c:formatCode>#,##0.00</c:formatCode>
                <c:ptCount val="7"/>
                <c:pt idx="0">
                  <c:v>1494.6959999999999</c:v>
                </c:pt>
                <c:pt idx="1">
                  <c:v>2905.4227199999996</c:v>
                </c:pt>
                <c:pt idx="2">
                  <c:v>29432.072439999996</c:v>
                </c:pt>
                <c:pt idx="3">
                  <c:v>24.18627</c:v>
                </c:pt>
                <c:pt idx="4">
                  <c:v>11294.440349999999</c:v>
                </c:pt>
                <c:pt idx="5">
                  <c:v>334.21800000000002</c:v>
                </c:pt>
                <c:pt idx="6">
                  <c:v>29914.027289999998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52144"/>
        <c:axId val="222052536"/>
      </c:barChart>
      <c:catAx>
        <c:axId val="22205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052536"/>
        <c:crosses val="autoZero"/>
        <c:auto val="1"/>
        <c:lblAlgn val="ctr"/>
        <c:lblOffset val="100"/>
        <c:noMultiLvlLbl val="0"/>
      </c:catAx>
      <c:valAx>
        <c:axId val="2220525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2205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(т_1!$A$2,т_1!$A$15:$A$22)</c:f>
              <c:strCache>
                <c:ptCount val="5"/>
                <c:pt idx="0">
                  <c:v>Налоговые и неналоговые доходы</c:v>
                </c:pt>
                <c:pt idx="1">
                  <c:v>Безвозмездные поступления</c:v>
                </c:pt>
                <c:pt idx="2">
                  <c:v>Прочие безвозмездные поступления</c:v>
                </c:pt>
                <c:pt idx="3">
                  <c:v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c:v>
                </c:pt>
                <c:pt idx="4">
                  <c:v>Возврат остатков субсидий, субвенций и иных межбюджетных трансфертов, имеющих целевое назначение, прошлых лет</c:v>
                </c:pt>
              </c:strCache>
            </c:strRef>
          </c:cat>
          <c:val>
            <c:numRef>
              <c:f>(т_1!$G$2,т_1!$G$15:$G$22)</c:f>
              <c:numCache>
                <c:formatCode>#,##0.00</c:formatCode>
                <c:ptCount val="5"/>
                <c:pt idx="0">
                  <c:v>188585.563302</c:v>
                </c:pt>
                <c:pt idx="1">
                  <c:v>848324.32707</c:v>
                </c:pt>
                <c:pt idx="2">
                  <c:v>-34864.089999999997</c:v>
                </c:pt>
                <c:pt idx="3">
                  <c:v>3621.1975400000001</c:v>
                </c:pt>
                <c:pt idx="4">
                  <c:v>-2373.06342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08952"/>
        <c:axId val="219709344"/>
      </c:barChart>
      <c:catAx>
        <c:axId val="219708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709344"/>
        <c:crosses val="autoZero"/>
        <c:auto val="1"/>
        <c:lblAlgn val="ctr"/>
        <c:lblOffset val="100"/>
        <c:noMultiLvlLbl val="0"/>
      </c:catAx>
      <c:valAx>
        <c:axId val="2197093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9708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т_2!$A$4:$A$6</c:f>
              <c:strCache>
                <c:ptCount val="3"/>
                <c:pt idx="0">
                  <c:v>Бюджетные кредиты от других бюджетов бюджетной системы РФ в валюте РФ</c:v>
                </c:pt>
                <c:pt idx="1">
                  <c:v>Изменение остатков средств на счетах по учету средств бюджетов</c:v>
                </c:pt>
                <c:pt idx="2">
                  <c:v>Бюджетные кредиты предоставленные внутри страны в валюте РФ</c:v>
                </c:pt>
              </c:strCache>
            </c:strRef>
          </c:cat>
          <c:val>
            <c:numRef>
              <c:f>т_2!$C$4:$C$6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-342420.28751999995</c:v>
                </c:pt>
                <c:pt idx="2">
                  <c:v>887.96007999999995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т_2!$A$4:$A$6</c:f>
              <c:strCache>
                <c:ptCount val="3"/>
                <c:pt idx="0">
                  <c:v>Бюджетные кредиты от других бюджетов бюджетной системы РФ в валюте РФ</c:v>
                </c:pt>
                <c:pt idx="1">
                  <c:v>Изменение остатков средств на счетах по учету средств бюджетов</c:v>
                </c:pt>
                <c:pt idx="2">
                  <c:v>Бюджетные кредиты предоставленные внутри страны в валюте РФ</c:v>
                </c:pt>
              </c:strCache>
            </c:strRef>
          </c:cat>
          <c:val>
            <c:numRef>
              <c:f>т_2!$C$4:$C$6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-342420.28751999995</c:v>
                </c:pt>
                <c:pt idx="2">
                  <c:v>887.96007999999995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10520"/>
        <c:axId val="219710912"/>
      </c:barChart>
      <c:catAx>
        <c:axId val="219710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710912"/>
        <c:crosses val="autoZero"/>
        <c:auto val="1"/>
        <c:lblAlgn val="ctr"/>
        <c:lblOffset val="100"/>
        <c:noMultiLvlLbl val="0"/>
      </c:catAx>
      <c:valAx>
        <c:axId val="2197109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219710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multiLvlStrRef>
              <c:f>(Лист3!$A$3:$C$3,Лист3!$A$12:$C$12,Лист3!$A$18:$C$18,Лист3!$A$25:$C$25,Лист3!$A$30:$C$30,Лист3!$A$32:$C$32,Лист3!$A$37:$C$37,Лист3!$A$39:$C$39,Лист3!$A$42:$C$42,Лист3!$A$46:$C$46,Лист3!$A$50:$C$50,Лист3!$A$52:$C$52)</c:f>
              <c:multiLvlStrCache>
                <c:ptCount val="12"/>
                <c:lvl>
                  <c:pt idx="0">
                    <c:v>Общегосударственные вопросы</c:v>
                  </c:pt>
                  <c:pt idx="1">
                    <c:v>Национальная безопасность и правоохранительная деятельность</c:v>
                  </c:pt>
                  <c:pt idx="2">
                    <c:v>Национальная экономика</c:v>
                  </c:pt>
                  <c:pt idx="3">
                    <c:v>Жилищно-коммунальное хозяйство</c:v>
                  </c:pt>
                  <c:pt idx="4">
                    <c:v>Охрана окружающей среды</c:v>
                  </c:pt>
                  <c:pt idx="5">
                    <c:v>Образование</c:v>
                  </c:pt>
                  <c:pt idx="6">
                    <c:v>Культура, кинематография</c:v>
                  </c:pt>
                  <c:pt idx="7">
                    <c:v>Здравоохранение</c:v>
                  </c:pt>
                  <c:pt idx="8">
                    <c:v>Социальная политика</c:v>
                  </c:pt>
                  <c:pt idx="9">
                    <c:v>Физическая культура и спорт</c:v>
                  </c:pt>
                  <c:pt idx="10">
                    <c:v>Обслуживание государственного и муниципального долга</c:v>
                  </c:pt>
                  <c:pt idx="11">
                    <c:v>Межбюджетные трансферты общего характера бюджетам субъектов Российской Федерации и муниципальных образований</c:v>
                  </c:pt>
                </c:lvl>
                <c:lvl>
                  <c:pt idx="0">
                    <c:v>00</c:v>
                  </c:pt>
                  <c:pt idx="1">
                    <c:v>00</c:v>
                  </c:pt>
                  <c:pt idx="2">
                    <c:v>00</c:v>
                  </c:pt>
                  <c:pt idx="3">
                    <c:v>00</c:v>
                  </c:pt>
                  <c:pt idx="4">
                    <c:v>00</c:v>
                  </c:pt>
                  <c:pt idx="5">
                    <c:v>00</c:v>
                  </c:pt>
                  <c:pt idx="6">
                    <c:v>00</c:v>
                  </c:pt>
                  <c:pt idx="7">
                    <c:v>00</c:v>
                  </c:pt>
                  <c:pt idx="8">
                    <c:v>00</c:v>
                  </c:pt>
                  <c:pt idx="9">
                    <c:v>00</c:v>
                  </c:pt>
                  <c:pt idx="10">
                    <c:v>00</c:v>
                  </c:pt>
                  <c:pt idx="11">
                    <c:v>00</c:v>
                  </c:pt>
                </c:lvl>
                <c:lvl>
                  <c:pt idx="0">
                    <c:v>01</c:v>
                  </c:pt>
                  <c:pt idx="1">
                    <c:v>03</c:v>
                  </c:pt>
                  <c:pt idx="2">
                    <c:v>04</c:v>
                  </c:pt>
                  <c:pt idx="3">
                    <c:v>05</c:v>
                  </c:pt>
                  <c:pt idx="4">
                    <c:v>06</c:v>
                  </c:pt>
                  <c:pt idx="5">
                    <c:v>07</c:v>
                  </c:pt>
                  <c:pt idx="6">
                    <c:v>08</c:v>
                  </c:pt>
                  <c:pt idx="7">
                    <c:v>09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13</c:v>
                  </c:pt>
                  <c:pt idx="11">
                    <c:v>14</c:v>
                  </c:pt>
                </c:lvl>
              </c:multiLvlStrCache>
            </c:multiLvlStrRef>
          </c:cat>
          <c:val>
            <c:numRef>
              <c:f>(Лист3!$G$3,Лист3!$G$12,Лист3!$G$18,Лист3!$G$25,Лист3!$G$30,Лист3!$G$32,Лист3!$G$37,Лист3!$G$39,Лист3!$G$42,Лист3!$G$46,Лист3!$G$50,Лист3!$G$52)</c:f>
              <c:numCache>
                <c:formatCode>#,##0.00</c:formatCode>
                <c:ptCount val="12"/>
                <c:pt idx="0">
                  <c:v>68983.793460000001</c:v>
                </c:pt>
                <c:pt idx="1">
                  <c:v>2447.9345099999996</c:v>
                </c:pt>
                <c:pt idx="2">
                  <c:v>24524.077589999997</c:v>
                </c:pt>
                <c:pt idx="3">
                  <c:v>107762.15638999999</c:v>
                </c:pt>
                <c:pt idx="4">
                  <c:v>0</c:v>
                </c:pt>
                <c:pt idx="5">
                  <c:v>383151.64483000006</c:v>
                </c:pt>
                <c:pt idx="6">
                  <c:v>13749.240250000001</c:v>
                </c:pt>
                <c:pt idx="7">
                  <c:v>544.83034999999995</c:v>
                </c:pt>
                <c:pt idx="8">
                  <c:v>40202.314400000003</c:v>
                </c:pt>
                <c:pt idx="9">
                  <c:v>2395.6160099999997</c:v>
                </c:pt>
                <c:pt idx="10">
                  <c:v>0</c:v>
                </c:pt>
                <c:pt idx="11">
                  <c:v>18000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(Лист3!$A$3:$C$3,Лист3!$A$12:$C$12,Лист3!$A$18:$C$18,Лист3!$A$25:$C$25,Лист3!$A$30:$C$30,Лист3!$A$32:$C$32,Лист3!$A$37:$C$37,Лист3!$A$39:$C$39,Лист3!$A$42:$C$42,Лист3!$A$46:$C$46,Лист3!$A$50:$C$50,Лист3!$A$52:$C$52)</c:f>
              <c:multiLvlStrCache>
                <c:ptCount val="12"/>
                <c:lvl>
                  <c:pt idx="0">
                    <c:v>Общегосударственные вопросы</c:v>
                  </c:pt>
                  <c:pt idx="1">
                    <c:v>Национальная безопасность и правоохранительная деятельность</c:v>
                  </c:pt>
                  <c:pt idx="2">
                    <c:v>Национальная экономика</c:v>
                  </c:pt>
                  <c:pt idx="3">
                    <c:v>Жилищно-коммунальное хозяйство</c:v>
                  </c:pt>
                  <c:pt idx="4">
                    <c:v>Охрана окружающей среды</c:v>
                  </c:pt>
                  <c:pt idx="5">
                    <c:v>Образование</c:v>
                  </c:pt>
                  <c:pt idx="6">
                    <c:v>Культура, кинематография</c:v>
                  </c:pt>
                  <c:pt idx="7">
                    <c:v>Здравоохранение</c:v>
                  </c:pt>
                  <c:pt idx="8">
                    <c:v>Социальная политика</c:v>
                  </c:pt>
                  <c:pt idx="9">
                    <c:v>Физическая культура и спорт</c:v>
                  </c:pt>
                  <c:pt idx="10">
                    <c:v>Обслуживание государственного и муниципального долга</c:v>
                  </c:pt>
                  <c:pt idx="11">
                    <c:v>Межбюджетные трансферты общего характера бюджетам субъектов Российской Федерации и муниципальных образований</c:v>
                  </c:pt>
                </c:lvl>
                <c:lvl>
                  <c:pt idx="0">
                    <c:v>00</c:v>
                  </c:pt>
                  <c:pt idx="1">
                    <c:v>00</c:v>
                  </c:pt>
                  <c:pt idx="2">
                    <c:v>00</c:v>
                  </c:pt>
                  <c:pt idx="3">
                    <c:v>00</c:v>
                  </c:pt>
                  <c:pt idx="4">
                    <c:v>00</c:v>
                  </c:pt>
                  <c:pt idx="5">
                    <c:v>00</c:v>
                  </c:pt>
                  <c:pt idx="6">
                    <c:v>00</c:v>
                  </c:pt>
                  <c:pt idx="7">
                    <c:v>00</c:v>
                  </c:pt>
                  <c:pt idx="8">
                    <c:v>00</c:v>
                  </c:pt>
                  <c:pt idx="9">
                    <c:v>00</c:v>
                  </c:pt>
                  <c:pt idx="10">
                    <c:v>00</c:v>
                  </c:pt>
                  <c:pt idx="11">
                    <c:v>00</c:v>
                  </c:pt>
                </c:lvl>
                <c:lvl>
                  <c:pt idx="0">
                    <c:v>01</c:v>
                  </c:pt>
                  <c:pt idx="1">
                    <c:v>03</c:v>
                  </c:pt>
                  <c:pt idx="2">
                    <c:v>04</c:v>
                  </c:pt>
                  <c:pt idx="3">
                    <c:v>05</c:v>
                  </c:pt>
                  <c:pt idx="4">
                    <c:v>06</c:v>
                  </c:pt>
                  <c:pt idx="5">
                    <c:v>07</c:v>
                  </c:pt>
                  <c:pt idx="6">
                    <c:v>08</c:v>
                  </c:pt>
                  <c:pt idx="7">
                    <c:v>09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13</c:v>
                  </c:pt>
                  <c:pt idx="11">
                    <c:v>14</c:v>
                  </c:pt>
                </c:lvl>
              </c:multiLvlStrCache>
            </c:multiLvlStrRef>
          </c:cat>
          <c:val>
            <c:numRef>
              <c:f>(Лист3!$G$3,Лист3!$G$12,Лист3!$G$18,Лист3!$G$25,Лист3!$G$30,Лист3!$G$32,Лист3!$G$37,Лист3!$G$39,Лист3!$G$42,Лист3!$G$46,Лист3!$G$50,Лист3!$G$52)</c:f>
              <c:numCache>
                <c:formatCode>#,##0.00</c:formatCode>
                <c:ptCount val="12"/>
                <c:pt idx="0">
                  <c:v>68983.793460000001</c:v>
                </c:pt>
                <c:pt idx="1">
                  <c:v>2447.9345099999996</c:v>
                </c:pt>
                <c:pt idx="2">
                  <c:v>24524.077589999997</c:v>
                </c:pt>
                <c:pt idx="3">
                  <c:v>107762.15638999999</c:v>
                </c:pt>
                <c:pt idx="4">
                  <c:v>0</c:v>
                </c:pt>
                <c:pt idx="5">
                  <c:v>383151.64483000006</c:v>
                </c:pt>
                <c:pt idx="6">
                  <c:v>13749.240250000001</c:v>
                </c:pt>
                <c:pt idx="7">
                  <c:v>544.83034999999995</c:v>
                </c:pt>
                <c:pt idx="8">
                  <c:v>40202.314400000003</c:v>
                </c:pt>
                <c:pt idx="9">
                  <c:v>2395.6160099999997</c:v>
                </c:pt>
                <c:pt idx="10">
                  <c:v>0</c:v>
                </c:pt>
                <c:pt idx="11">
                  <c:v>18000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88984"/>
        <c:axId val="221089376"/>
      </c:barChart>
      <c:catAx>
        <c:axId val="22108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089376"/>
        <c:crosses val="autoZero"/>
        <c:auto val="1"/>
        <c:lblAlgn val="ctr"/>
        <c:lblOffset val="100"/>
        <c:noMultiLvlLbl val="0"/>
      </c:catAx>
      <c:valAx>
        <c:axId val="2210893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21088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6732283464567E-2"/>
          <c:y val="0.10185185185185185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multiLvlStrRef>
              <c:f>Лист3!$A$33:$C$36</c:f>
              <c:multiLvlStrCache>
                <c:ptCount val="4"/>
                <c:lvl>
                  <c:pt idx="0">
                    <c:v>Дошкольное образование</c:v>
                  </c:pt>
                  <c:pt idx="1">
                    <c:v>Общее образование</c:v>
                  </c:pt>
                  <c:pt idx="2">
                    <c:v>Молодежная политика и оздоровление детей</c:v>
                  </c:pt>
                  <c:pt idx="3">
                    <c:v>Другие вопросы в области образования</c:v>
                  </c:pt>
                </c:lvl>
                <c:lvl>
                  <c:pt idx="0">
                    <c:v>01</c:v>
                  </c:pt>
                  <c:pt idx="1">
                    <c:v>02</c:v>
                  </c:pt>
                  <c:pt idx="2">
                    <c:v>07</c:v>
                  </c:pt>
                  <c:pt idx="3">
                    <c:v>09</c:v>
                  </c:pt>
                </c:lvl>
                <c:lvl>
                  <c:pt idx="0">
                    <c:v>07</c:v>
                  </c:pt>
                  <c:pt idx="1">
                    <c:v>07</c:v>
                  </c:pt>
                  <c:pt idx="2">
                    <c:v>07</c:v>
                  </c:pt>
                  <c:pt idx="3">
                    <c:v>07</c:v>
                  </c:pt>
                </c:lvl>
              </c:multiLvlStrCache>
            </c:multiLvlStrRef>
          </c:cat>
          <c:val>
            <c:numRef>
              <c:f>Лист3!$G$33:$G$36</c:f>
              <c:numCache>
                <c:formatCode>#,##0.00</c:formatCode>
                <c:ptCount val="4"/>
                <c:pt idx="0">
                  <c:v>95998.280599999998</c:v>
                </c:pt>
                <c:pt idx="1">
                  <c:v>258597.18597999998</c:v>
                </c:pt>
                <c:pt idx="2">
                  <c:v>4474.8609000000006</c:v>
                </c:pt>
                <c:pt idx="3">
                  <c:v>24081.317350000001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266797900262465"/>
          <c:y val="0.21528944298629338"/>
          <c:w val="0.29232973955272767"/>
          <c:h val="0.436001109617395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multiLvlStrRef>
              <c:f>(Лист3!$A$47:$C$49,Лист3!$G$47:$G$49)</c:f>
              <c:multiLvlStrCache>
                <c:ptCount val="5"/>
                <c:lvl>
                  <c:pt idx="0">
                    <c:v>Физическая культура </c:v>
                  </c:pt>
                  <c:pt idx="1">
                    <c:v>Массовый спорт</c:v>
                  </c:pt>
                  <c:pt idx="2">
                    <c:v>Другие вопросы в области физической культуры и спорта</c:v>
                  </c:pt>
                  <c:pt idx="3">
                    <c:v>1 196,68</c:v>
                  </c:pt>
                  <c:pt idx="4">
                    <c:v>1 198,93</c:v>
                  </c:pt>
                </c:lvl>
                <c:lvl>
                  <c:pt idx="0">
                    <c:v>01</c:v>
                  </c:pt>
                  <c:pt idx="1">
                    <c:v>02</c:v>
                  </c:pt>
                  <c:pt idx="2">
                    <c:v>05</c:v>
                  </c:pt>
                </c:lvl>
                <c:lvl>
                  <c:pt idx="0">
                    <c:v>11</c:v>
                  </c:pt>
                  <c:pt idx="1">
                    <c:v>11</c:v>
                  </c:pt>
                  <c:pt idx="2">
                    <c:v>11</c:v>
                  </c:pt>
                </c:lvl>
              </c:multiLvlStrCache>
            </c:multiLvlStrRef>
          </c:cat>
          <c:val>
            <c:numRef>
              <c:f>Лист3!$G$47:$G$49</c:f>
              <c:numCache>
                <c:formatCode>#,##0.00</c:formatCode>
                <c:ptCount val="3"/>
                <c:pt idx="0">
                  <c:v>1196.6823999999999</c:v>
                </c:pt>
                <c:pt idx="1">
                  <c:v>1198.9336099999998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Лист3!$A$4:$C$11</c:f>
              <c:multiLvlStrCache>
                <c:ptCount val="7"/>
                <c:lvl>
                  <c:pt idx="0">
                    <c:v>Функционирование высшего должностного лица субъекта Российской Федерации и муниципального образования</c:v>
                  </c:pt>
                  <c:pt idx="1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2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3">
                    <c:v>Судебная система</c:v>
                  </c:pt>
                  <c:pt idx="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5">
                    <c:v>Резервные фонды</c:v>
                  </c:pt>
                  <c:pt idx="6">
                    <c:v>Другие общегосударственные вопросы</c:v>
                  </c:pt>
                </c:lvl>
                <c:lvl>
                  <c:pt idx="0">
                    <c:v>02</c:v>
                  </c:pt>
                  <c:pt idx="1">
                    <c:v>03</c:v>
                  </c:pt>
                  <c:pt idx="2">
                    <c:v>04</c:v>
                  </c:pt>
                  <c:pt idx="3">
                    <c:v>05</c:v>
                  </c:pt>
                  <c:pt idx="4">
                    <c:v>06</c:v>
                  </c:pt>
                  <c:pt idx="5">
                    <c:v>11</c:v>
                  </c:pt>
                  <c:pt idx="6">
                    <c:v>13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</c:lvl>
              </c:multiLvlStrCache>
            </c:multiLvlStrRef>
          </c:cat>
          <c:val>
            <c:numRef>
              <c:f>Лист3!$F$4:$F$11</c:f>
              <c:numCache>
                <c:formatCode>#,##0.00</c:formatCode>
                <c:ptCount val="7"/>
                <c:pt idx="0">
                  <c:v>1494.6959999999999</c:v>
                </c:pt>
                <c:pt idx="1">
                  <c:v>2905.4227199999996</c:v>
                </c:pt>
                <c:pt idx="2">
                  <c:v>29432.072439999996</c:v>
                </c:pt>
                <c:pt idx="3">
                  <c:v>24.18627</c:v>
                </c:pt>
                <c:pt idx="4">
                  <c:v>11294.440349999999</c:v>
                </c:pt>
                <c:pt idx="5">
                  <c:v>334.21800000000002</c:v>
                </c:pt>
                <c:pt idx="6">
                  <c:v>29914.027289999998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87416"/>
        <c:axId val="221087024"/>
      </c:barChart>
      <c:catAx>
        <c:axId val="22108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1087024"/>
        <c:crosses val="autoZero"/>
        <c:auto val="1"/>
        <c:lblAlgn val="ctr"/>
        <c:lblOffset val="100"/>
        <c:noMultiLvlLbl val="0"/>
      </c:catAx>
      <c:valAx>
        <c:axId val="2210870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21087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301335</xdr:colOff>
      <xdr:row>0</xdr:row>
      <xdr:rowOff>0</xdr:rowOff>
    </xdr:from>
    <xdr:to>
      <xdr:col>29</xdr:col>
      <xdr:colOff>467590</xdr:colOff>
      <xdr:row>12</xdr:row>
      <xdr:rowOff>381000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545522</xdr:colOff>
      <xdr:row>14</xdr:row>
      <xdr:rowOff>117763</xdr:rowOff>
    </xdr:from>
    <xdr:to>
      <xdr:col>24</xdr:col>
      <xdr:colOff>268431</xdr:colOff>
      <xdr:row>21</xdr:row>
      <xdr:rowOff>453735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23812</xdr:rowOff>
    </xdr:from>
    <xdr:to>
      <xdr:col>12</xdr:col>
      <xdr:colOff>285750</xdr:colOff>
      <xdr:row>10</xdr:row>
      <xdr:rowOff>100012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11</xdr:row>
      <xdr:rowOff>33337</xdr:rowOff>
    </xdr:from>
    <xdr:to>
      <xdr:col>12</xdr:col>
      <xdr:colOff>95250</xdr:colOff>
      <xdr:row>25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598716</xdr:colOff>
      <xdr:row>0</xdr:row>
      <xdr:rowOff>9522</xdr:rowOff>
    </xdr:from>
    <xdr:to>
      <xdr:col>26</xdr:col>
      <xdr:colOff>2</xdr:colOff>
      <xdr:row>26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585107</xdr:colOff>
      <xdr:row>26</xdr:row>
      <xdr:rowOff>63953</xdr:rowOff>
    </xdr:from>
    <xdr:to>
      <xdr:col>25</xdr:col>
      <xdr:colOff>571499</xdr:colOff>
      <xdr:row>53</xdr:row>
      <xdr:rowOff>176892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163286</xdr:colOff>
      <xdr:row>54</xdr:row>
      <xdr:rowOff>159202</xdr:rowOff>
    </xdr:from>
    <xdr:to>
      <xdr:col>20</xdr:col>
      <xdr:colOff>122465</xdr:colOff>
      <xdr:row>77</xdr:row>
      <xdr:rowOff>27213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204106</xdr:colOff>
      <xdr:row>77</xdr:row>
      <xdr:rowOff>91168</xdr:rowOff>
    </xdr:from>
    <xdr:to>
      <xdr:col>20</xdr:col>
      <xdr:colOff>149678</xdr:colOff>
      <xdr:row>97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3360964</xdr:colOff>
      <xdr:row>61</xdr:row>
      <xdr:rowOff>97972</xdr:rowOff>
    </xdr:from>
    <xdr:to>
      <xdr:col>5</xdr:col>
      <xdr:colOff>1251857</xdr:colOff>
      <xdr:row>75</xdr:row>
      <xdr:rowOff>174172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3360964</xdr:colOff>
      <xdr:row>61</xdr:row>
      <xdr:rowOff>57150</xdr:rowOff>
    </xdr:from>
    <xdr:to>
      <xdr:col>5</xdr:col>
      <xdr:colOff>1251857</xdr:colOff>
      <xdr:row>75</xdr:row>
      <xdr:rowOff>133350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70" zoomScaleNormal="70" workbookViewId="0">
      <selection activeCell="D31" sqref="D31"/>
    </sheetView>
  </sheetViews>
  <sheetFormatPr defaultRowHeight="15.6" x14ac:dyDescent="0.3"/>
  <cols>
    <col min="1" max="1" width="36.6640625" style="1" customWidth="1"/>
    <col min="2" max="2" width="8.109375" style="2" customWidth="1"/>
    <col min="3" max="4" width="17.44140625" style="2" customWidth="1"/>
    <col min="5" max="5" width="17.33203125" style="2" customWidth="1"/>
    <col min="6" max="6" width="18.5546875" style="2" customWidth="1"/>
    <col min="7" max="10" width="16.33203125" style="2" customWidth="1"/>
    <col min="11" max="11" width="17.109375" style="2" customWidth="1"/>
  </cols>
  <sheetData>
    <row r="1" spans="1:11" s="10" customFormat="1" ht="116.25" customHeight="1" x14ac:dyDescent="0.3">
      <c r="A1" s="3" t="s">
        <v>0</v>
      </c>
      <c r="B1" s="3"/>
      <c r="C1" s="3" t="s">
        <v>20</v>
      </c>
      <c r="D1" s="3" t="s">
        <v>701</v>
      </c>
      <c r="E1" s="3" t="s">
        <v>110</v>
      </c>
      <c r="F1" s="3" t="s">
        <v>704</v>
      </c>
      <c r="G1" s="3" t="s">
        <v>111</v>
      </c>
      <c r="H1" s="3" t="s">
        <v>35</v>
      </c>
      <c r="I1" s="3" t="s">
        <v>36</v>
      </c>
      <c r="J1" s="3" t="s">
        <v>21</v>
      </c>
      <c r="K1" s="7" t="s">
        <v>22</v>
      </c>
    </row>
    <row r="2" spans="1:11" ht="31.2" x14ac:dyDescent="0.3">
      <c r="A2" s="4" t="s">
        <v>1</v>
      </c>
      <c r="B2" s="5"/>
      <c r="C2" s="6">
        <f t="shared" ref="C2:H2" si="0">SUM(C3:C14)</f>
        <v>192414.95</v>
      </c>
      <c r="D2" s="6">
        <f t="shared" si="0"/>
        <v>164824.81339999998</v>
      </c>
      <c r="E2" s="6">
        <f t="shared" si="0"/>
        <v>171707.13954999999</v>
      </c>
      <c r="F2" s="6">
        <f t="shared" si="0"/>
        <v>6882.326149999999</v>
      </c>
      <c r="G2" s="6">
        <f t="shared" si="0"/>
        <v>188585.563302</v>
      </c>
      <c r="H2" s="6">
        <f t="shared" si="0"/>
        <v>-3829.3866979999957</v>
      </c>
      <c r="I2" s="6">
        <f t="shared" ref="I2:I19" si="1">H2/C2*100</f>
        <v>-1.9901710849390839</v>
      </c>
      <c r="J2" s="6">
        <f>G2/E2*100</f>
        <v>109.82977399555662</v>
      </c>
      <c r="K2" s="6">
        <f>K3+K4+K5+K6+K7+K8+K9+K11+K13+K14</f>
        <v>18.779632451122168</v>
      </c>
    </row>
    <row r="3" spans="1:11" ht="24.75" customHeight="1" x14ac:dyDescent="0.3">
      <c r="A3" s="7" t="s">
        <v>2</v>
      </c>
      <c r="B3" s="8">
        <v>101</v>
      </c>
      <c r="C3" s="9">
        <v>115142.78</v>
      </c>
      <c r="D3" s="9">
        <f>105868584/1000</f>
        <v>105868.584</v>
      </c>
      <c r="E3" s="9">
        <f>108542071.23/1000</f>
        <v>108542.07123</v>
      </c>
      <c r="F3" s="9">
        <f>E3-D3</f>
        <v>2673.4872299999988</v>
      </c>
      <c r="G3" s="9">
        <f>118050295.22/1000</f>
        <v>118050.29522</v>
      </c>
      <c r="H3" s="9">
        <f t="shared" ref="H3:H22" si="2">G3-C3</f>
        <v>2907.5152200000011</v>
      </c>
      <c r="I3" s="9">
        <f t="shared" si="1"/>
        <v>2.5251389796216497</v>
      </c>
      <c r="J3" s="9">
        <f>G3/E3*100</f>
        <v>108.75994338623973</v>
      </c>
      <c r="K3" s="9">
        <f>G3/G23*100</f>
        <v>11.766272192183907</v>
      </c>
    </row>
    <row r="4" spans="1:11" ht="71.25" customHeight="1" x14ac:dyDescent="0.3">
      <c r="A4" s="7" t="s">
        <v>3</v>
      </c>
      <c r="B4" s="8">
        <v>103</v>
      </c>
      <c r="C4" s="9">
        <v>3075.32</v>
      </c>
      <c r="D4" s="9">
        <f>4966877.4/1000</f>
        <v>4966.8774000000003</v>
      </c>
      <c r="E4" s="9">
        <f>6694768.14/1000</f>
        <v>6694.7681399999992</v>
      </c>
      <c r="F4" s="9">
        <f t="shared" ref="F4:F22" si="3">E4-D4</f>
        <v>1727.8907399999989</v>
      </c>
      <c r="G4" s="9">
        <f>7025020.09/1000</f>
        <v>7025.02009</v>
      </c>
      <c r="H4" s="9">
        <f t="shared" si="2"/>
        <v>3949.7000899999998</v>
      </c>
      <c r="I4" s="9">
        <f t="shared" si="1"/>
        <v>128.43216608352949</v>
      </c>
      <c r="J4" s="9">
        <f t="shared" ref="J4:J23" si="4">G4/E4*100</f>
        <v>104.93298562539913</v>
      </c>
      <c r="K4" s="9">
        <f>G4/G23*100</f>
        <v>0.70019561052733714</v>
      </c>
    </row>
    <row r="5" spans="1:11" ht="22.5" customHeight="1" x14ac:dyDescent="0.3">
      <c r="A5" s="7" t="s">
        <v>4</v>
      </c>
      <c r="B5" s="8">
        <v>105</v>
      </c>
      <c r="C5" s="9">
        <v>27733.26</v>
      </c>
      <c r="D5" s="9">
        <f>29075000/1000</f>
        <v>29075</v>
      </c>
      <c r="E5" s="9">
        <f>22507243.5/1000</f>
        <v>22507.2435</v>
      </c>
      <c r="F5" s="9">
        <f t="shared" si="3"/>
        <v>-6567.7564999999995</v>
      </c>
      <c r="G5" s="9">
        <f>22765718/1000</f>
        <v>22765.718000000001</v>
      </c>
      <c r="H5" s="9">
        <f t="shared" si="2"/>
        <v>-4967.5419999999976</v>
      </c>
      <c r="I5" s="9">
        <f t="shared" si="1"/>
        <v>-17.911857459238469</v>
      </c>
      <c r="J5" s="9">
        <f t="shared" si="4"/>
        <v>101.14840584543371</v>
      </c>
      <c r="K5" s="9">
        <f>G5/G23*100</f>
        <v>2.2690975413428585</v>
      </c>
    </row>
    <row r="6" spans="1:11" ht="24" customHeight="1" x14ac:dyDescent="0.3">
      <c r="A6" s="7" t="s">
        <v>5</v>
      </c>
      <c r="B6" s="8">
        <v>106</v>
      </c>
      <c r="C6" s="9">
        <v>20.49</v>
      </c>
      <c r="D6" s="9">
        <v>0</v>
      </c>
      <c r="E6" s="9">
        <f>18702/1000</f>
        <v>18.702000000000002</v>
      </c>
      <c r="F6" s="9">
        <f t="shared" si="3"/>
        <v>18.702000000000002</v>
      </c>
      <c r="G6" s="9">
        <f>21949.37/1000</f>
        <v>21.949369999999998</v>
      </c>
      <c r="H6" s="9">
        <f t="shared" si="2"/>
        <v>1.4593699999999998</v>
      </c>
      <c r="I6" s="9">
        <f t="shared" si="1"/>
        <v>7.122352367008296</v>
      </c>
      <c r="J6" s="9">
        <f t="shared" si="4"/>
        <v>117.363757886857</v>
      </c>
      <c r="K6" s="9">
        <f>G6/G23*100</f>
        <v>2.1877307581963678E-3</v>
      </c>
    </row>
    <row r="7" spans="1:11" ht="24.75" customHeight="1" x14ac:dyDescent="0.3">
      <c r="A7" s="7" t="s">
        <v>6</v>
      </c>
      <c r="B7" s="8">
        <v>108</v>
      </c>
      <c r="C7" s="9">
        <v>3724.03</v>
      </c>
      <c r="D7" s="9">
        <f>3555163/1000</f>
        <v>3555.163</v>
      </c>
      <c r="E7" s="9">
        <f>3100000/1000</f>
        <v>3100</v>
      </c>
      <c r="F7" s="9">
        <f t="shared" si="3"/>
        <v>-455.16300000000001</v>
      </c>
      <c r="G7" s="9">
        <f>3250193.42/1000</f>
        <v>3250.1934200000001</v>
      </c>
      <c r="H7" s="9">
        <f t="shared" si="2"/>
        <v>-473.83658000000014</v>
      </c>
      <c r="I7" s="9">
        <f t="shared" si="1"/>
        <v>-12.723758401516639</v>
      </c>
      <c r="J7" s="9">
        <f t="shared" si="4"/>
        <v>104.84494903225807</v>
      </c>
      <c r="K7" s="9">
        <f>G7/G23*100</f>
        <v>0.32395226446232611</v>
      </c>
    </row>
    <row r="8" spans="1:11" ht="38.25" customHeight="1" x14ac:dyDescent="0.3">
      <c r="A8" s="7" t="s">
        <v>7</v>
      </c>
      <c r="B8" s="8">
        <v>112</v>
      </c>
      <c r="C8" s="9">
        <v>1467.1</v>
      </c>
      <c r="D8" s="9">
        <f>2149813/1000</f>
        <v>2149.8130000000001</v>
      </c>
      <c r="E8" s="9">
        <f>2220763/1000</f>
        <v>2220.7629999999999</v>
      </c>
      <c r="F8" s="9">
        <f t="shared" si="3"/>
        <v>70.949999999999818</v>
      </c>
      <c r="G8" s="9">
        <f>2124091.79/1000</f>
        <v>2124.0917899999999</v>
      </c>
      <c r="H8" s="9">
        <f t="shared" si="2"/>
        <v>656.99179000000004</v>
      </c>
      <c r="I8" s="9">
        <f t="shared" si="1"/>
        <v>44.781663826596692</v>
      </c>
      <c r="J8" s="9">
        <f t="shared" si="4"/>
        <v>95.646937111254104</v>
      </c>
      <c r="K8" s="9">
        <f>G8/G23*100</f>
        <v>0.21171181415299756</v>
      </c>
    </row>
    <row r="9" spans="1:11" ht="76.5" customHeight="1" x14ac:dyDescent="0.3">
      <c r="A9" s="7" t="s">
        <v>8</v>
      </c>
      <c r="B9" s="8">
        <v>111</v>
      </c>
      <c r="C9" s="9">
        <v>23323.81</v>
      </c>
      <c r="D9" s="9">
        <f>14500000/1000</f>
        <v>14500</v>
      </c>
      <c r="E9" s="9">
        <f>24687866.64/1000</f>
        <v>24687.86664</v>
      </c>
      <c r="F9" s="9">
        <f t="shared" si="3"/>
        <v>10187.86664</v>
      </c>
      <c r="G9" s="9">
        <f>30780370.782/1000</f>
        <v>30780.370782000002</v>
      </c>
      <c r="H9" s="9">
        <f t="shared" si="2"/>
        <v>7456.5607820000005</v>
      </c>
      <c r="I9" s="9">
        <f t="shared" si="1"/>
        <v>31.969737285632149</v>
      </c>
      <c r="J9" s="9">
        <f t="shared" si="4"/>
        <v>124.67813128951673</v>
      </c>
      <c r="K9" s="9">
        <f>G9/G23*100</f>
        <v>3.0679315127709903</v>
      </c>
    </row>
    <row r="10" spans="1:11" ht="59.25" customHeight="1" x14ac:dyDescent="0.3">
      <c r="A10" s="7" t="s">
        <v>24</v>
      </c>
      <c r="B10" s="8">
        <v>113</v>
      </c>
      <c r="C10" s="9">
        <v>407.34</v>
      </c>
      <c r="D10" s="9">
        <v>0</v>
      </c>
      <c r="E10" s="9">
        <f>169800/1000</f>
        <v>169.8</v>
      </c>
      <c r="F10" s="9">
        <f t="shared" si="3"/>
        <v>169.8</v>
      </c>
      <c r="G10" s="9">
        <f>169800/1000</f>
        <v>169.8</v>
      </c>
      <c r="H10" s="9">
        <f t="shared" si="2"/>
        <v>-237.53999999999996</v>
      </c>
      <c r="I10" s="9">
        <f t="shared" si="1"/>
        <v>-58.314921196052424</v>
      </c>
      <c r="J10" s="9">
        <f t="shared" si="4"/>
        <v>100</v>
      </c>
      <c r="K10" s="9">
        <f>G10/G23*100</f>
        <v>1.6924252620541879E-2</v>
      </c>
    </row>
    <row r="11" spans="1:11" ht="31.2" x14ac:dyDescent="0.3">
      <c r="A11" s="7" t="s">
        <v>9</v>
      </c>
      <c r="B11" s="8">
        <v>114</v>
      </c>
      <c r="C11" s="9">
        <v>3374.37</v>
      </c>
      <c r="D11" s="9">
        <f>800000/1000</f>
        <v>800</v>
      </c>
      <c r="E11" s="9">
        <f>1568379.04/1000</f>
        <v>1568.37904</v>
      </c>
      <c r="F11" s="9">
        <f t="shared" si="3"/>
        <v>768.37904000000003</v>
      </c>
      <c r="G11" s="9">
        <f>1944592.28/1000</f>
        <v>1944.5922800000001</v>
      </c>
      <c r="H11" s="9">
        <f t="shared" si="2"/>
        <v>-1429.7777199999998</v>
      </c>
      <c r="I11" s="9">
        <f t="shared" si="1"/>
        <v>-42.371693679116397</v>
      </c>
      <c r="J11" s="9">
        <f t="shared" si="4"/>
        <v>123.98739274148933</v>
      </c>
      <c r="K11" s="9">
        <f>G11/G23*100</f>
        <v>0.19382079499808894</v>
      </c>
    </row>
    <row r="12" spans="1:11" ht="45" customHeight="1" x14ac:dyDescent="0.3">
      <c r="A12" s="7" t="s">
        <v>23</v>
      </c>
      <c r="B12" s="8">
        <v>115</v>
      </c>
      <c r="C12" s="9">
        <v>13.6</v>
      </c>
      <c r="D12" s="9">
        <v>0</v>
      </c>
      <c r="E12" s="9">
        <f>850/1000</f>
        <v>0.85</v>
      </c>
      <c r="F12" s="9">
        <f t="shared" si="3"/>
        <v>0.85</v>
      </c>
      <c r="G12" s="9">
        <f>850/1000</f>
        <v>0.85</v>
      </c>
      <c r="H12" s="9">
        <f t="shared" si="2"/>
        <v>-12.75</v>
      </c>
      <c r="I12" s="9">
        <f t="shared" si="1"/>
        <v>-93.75</v>
      </c>
      <c r="J12" s="9">
        <f t="shared" si="4"/>
        <v>100</v>
      </c>
      <c r="K12" s="9">
        <f>G12/G23*100</f>
        <v>8.4720934790698436E-5</v>
      </c>
    </row>
    <row r="13" spans="1:11" ht="41.25" customHeight="1" x14ac:dyDescent="0.3">
      <c r="A13" s="7" t="s">
        <v>10</v>
      </c>
      <c r="B13" s="8">
        <v>116</v>
      </c>
      <c r="C13" s="9">
        <v>11240.31</v>
      </c>
      <c r="D13" s="9">
        <f>3909376/1000</f>
        <v>3909.3760000000002</v>
      </c>
      <c r="E13" s="9">
        <f>2196696/1000</f>
        <v>2196.6959999999999</v>
      </c>
      <c r="F13" s="9">
        <f t="shared" si="3"/>
        <v>-1712.6800000000003</v>
      </c>
      <c r="G13" s="9">
        <f>2452682.35/1000</f>
        <v>2452.68235</v>
      </c>
      <c r="H13" s="9">
        <f t="shared" si="2"/>
        <v>-8787.6276499999985</v>
      </c>
      <c r="I13" s="9">
        <f t="shared" si="1"/>
        <v>-78.1795844598592</v>
      </c>
      <c r="J13" s="9">
        <f t="shared" si="4"/>
        <v>111.65324423588881</v>
      </c>
      <c r="K13" s="9">
        <f>G13/G23*100</f>
        <v>0.24446298992546711</v>
      </c>
    </row>
    <row r="14" spans="1:11" ht="33.75" customHeight="1" x14ac:dyDescent="0.3">
      <c r="A14" s="7" t="s">
        <v>25</v>
      </c>
      <c r="B14" s="8">
        <v>117</v>
      </c>
      <c r="C14" s="9">
        <v>2892.54</v>
      </c>
      <c r="D14" s="9">
        <v>0</v>
      </c>
      <c r="E14" s="9">
        <v>0</v>
      </c>
      <c r="F14" s="9">
        <f t="shared" si="3"/>
        <v>0</v>
      </c>
      <c r="G14" s="9">
        <v>0</v>
      </c>
      <c r="H14" s="9">
        <f t="shared" si="2"/>
        <v>-2892.54</v>
      </c>
      <c r="I14" s="9">
        <f t="shared" si="1"/>
        <v>-100</v>
      </c>
      <c r="J14" s="9">
        <v>0</v>
      </c>
      <c r="K14" s="9">
        <f>G14/G23*100</f>
        <v>0</v>
      </c>
    </row>
    <row r="15" spans="1:11" ht="27.75" customHeight="1" x14ac:dyDescent="0.3">
      <c r="A15" s="4" t="s">
        <v>11</v>
      </c>
      <c r="B15" s="5">
        <v>202</v>
      </c>
      <c r="C15" s="6">
        <v>582659.12</v>
      </c>
      <c r="D15" s="6">
        <v>288690.11</v>
      </c>
      <c r="E15" s="6">
        <f>849402191.4/1000</f>
        <v>849402.19140000001</v>
      </c>
      <c r="F15" s="6">
        <f t="shared" si="3"/>
        <v>560712.08140000002</v>
      </c>
      <c r="G15" s="6">
        <f>848324327.07/1000</f>
        <v>848324.32707</v>
      </c>
      <c r="H15" s="6">
        <f t="shared" si="2"/>
        <v>265665.20707</v>
      </c>
      <c r="I15" s="6">
        <f t="shared" si="1"/>
        <v>45.595305720092391</v>
      </c>
      <c r="J15" s="6">
        <f t="shared" si="4"/>
        <v>99.873103184697058</v>
      </c>
      <c r="K15" s="6">
        <f>G15/G23*100</f>
        <v>84.553917641247779</v>
      </c>
    </row>
    <row r="16" spans="1:11" ht="31.2" hidden="1" x14ac:dyDescent="0.3">
      <c r="A16" s="7" t="s">
        <v>12</v>
      </c>
      <c r="B16" s="8">
        <v>201</v>
      </c>
      <c r="C16" s="9"/>
      <c r="D16" s="9"/>
      <c r="E16" s="9"/>
      <c r="F16" s="9">
        <f t="shared" si="3"/>
        <v>0</v>
      </c>
      <c r="G16" s="9"/>
      <c r="H16" s="9">
        <f t="shared" si="2"/>
        <v>0</v>
      </c>
      <c r="I16" s="9" t="e">
        <f t="shared" si="1"/>
        <v>#DIV/0!</v>
      </c>
      <c r="J16" s="9" t="e">
        <f t="shared" si="4"/>
        <v>#DIV/0!</v>
      </c>
      <c r="K16" s="9"/>
    </row>
    <row r="17" spans="1:11" ht="46.8" hidden="1" x14ac:dyDescent="0.3">
      <c r="A17" s="7" t="s">
        <v>13</v>
      </c>
      <c r="B17" s="8">
        <v>202</v>
      </c>
      <c r="C17" s="9"/>
      <c r="D17" s="9"/>
      <c r="E17" s="9"/>
      <c r="F17" s="9">
        <f t="shared" si="3"/>
        <v>0</v>
      </c>
      <c r="G17" s="9"/>
      <c r="H17" s="9">
        <f t="shared" si="2"/>
        <v>0</v>
      </c>
      <c r="I17" s="9" t="e">
        <f t="shared" si="1"/>
        <v>#DIV/0!</v>
      </c>
      <c r="J17" s="9" t="e">
        <f t="shared" si="4"/>
        <v>#DIV/0!</v>
      </c>
      <c r="K17" s="9"/>
    </row>
    <row r="18" spans="1:11" ht="31.2" hidden="1" x14ac:dyDescent="0.3">
      <c r="A18" s="7" t="s">
        <v>14</v>
      </c>
      <c r="B18" s="8">
        <v>203</v>
      </c>
      <c r="C18" s="9"/>
      <c r="D18" s="9"/>
      <c r="E18" s="9"/>
      <c r="F18" s="9">
        <f t="shared" si="3"/>
        <v>0</v>
      </c>
      <c r="G18" s="9"/>
      <c r="H18" s="9">
        <f t="shared" si="2"/>
        <v>0</v>
      </c>
      <c r="I18" s="9" t="e">
        <f t="shared" si="1"/>
        <v>#DIV/0!</v>
      </c>
      <c r="J18" s="9" t="e">
        <f t="shared" si="4"/>
        <v>#DIV/0!</v>
      </c>
      <c r="K18" s="9"/>
    </row>
    <row r="19" spans="1:11" hidden="1" x14ac:dyDescent="0.3">
      <c r="A19" s="7" t="s">
        <v>15</v>
      </c>
      <c r="B19" s="8">
        <v>204</v>
      </c>
      <c r="C19" s="9"/>
      <c r="D19" s="9"/>
      <c r="E19" s="9"/>
      <c r="F19" s="9">
        <f t="shared" si="3"/>
        <v>0</v>
      </c>
      <c r="G19" s="9"/>
      <c r="H19" s="9">
        <f t="shared" si="2"/>
        <v>0</v>
      </c>
      <c r="I19" s="9" t="e">
        <f t="shared" si="1"/>
        <v>#DIV/0!</v>
      </c>
      <c r="J19" s="9" t="e">
        <f t="shared" si="4"/>
        <v>#DIV/0!</v>
      </c>
      <c r="K19" s="9"/>
    </row>
    <row r="20" spans="1:11" s="11" customFormat="1" ht="42.75" customHeight="1" x14ac:dyDescent="0.3">
      <c r="A20" s="4" t="s">
        <v>16</v>
      </c>
      <c r="B20" s="5">
        <v>207</v>
      </c>
      <c r="C20" s="6">
        <v>3355</v>
      </c>
      <c r="D20" s="6">
        <f>199808700/1000</f>
        <v>199808.7</v>
      </c>
      <c r="E20" s="6">
        <f>-36034090/1000</f>
        <v>-36034.089999999997</v>
      </c>
      <c r="F20" s="6">
        <f t="shared" si="3"/>
        <v>-235842.79</v>
      </c>
      <c r="G20" s="6">
        <f>-34864090/1000</f>
        <v>-34864.089999999997</v>
      </c>
      <c r="H20" s="6">
        <f t="shared" si="2"/>
        <v>-38219.089999999997</v>
      </c>
      <c r="I20" s="6">
        <v>0</v>
      </c>
      <c r="J20" s="6">
        <f t="shared" si="4"/>
        <v>96.753074657914212</v>
      </c>
      <c r="K20" s="6">
        <f>G20/G23*100</f>
        <v>-3.4749627005024015</v>
      </c>
    </row>
    <row r="21" spans="1:11" s="11" customFormat="1" ht="168.75" customHeight="1" x14ac:dyDescent="0.3">
      <c r="A21" s="4" t="s">
        <v>112</v>
      </c>
      <c r="B21" s="5">
        <v>218</v>
      </c>
      <c r="C21" s="6">
        <v>0</v>
      </c>
      <c r="D21" s="6">
        <v>0</v>
      </c>
      <c r="E21" s="6">
        <f>3621197.54/1000</f>
        <v>3621.1975400000001</v>
      </c>
      <c r="F21" s="6">
        <f t="shared" si="3"/>
        <v>3621.1975400000001</v>
      </c>
      <c r="G21" s="6">
        <f>3621197.54/1000</f>
        <v>3621.1975400000001</v>
      </c>
      <c r="H21" s="6">
        <f t="shared" si="2"/>
        <v>3621.1975400000001</v>
      </c>
      <c r="I21" s="6">
        <v>0</v>
      </c>
      <c r="J21" s="6">
        <v>0</v>
      </c>
      <c r="K21" s="6">
        <f>G21/G23*100</f>
        <v>0.36093087135362073</v>
      </c>
    </row>
    <row r="22" spans="1:11" s="11" customFormat="1" ht="91.8" customHeight="1" x14ac:dyDescent="0.3">
      <c r="A22" s="4" t="s">
        <v>17</v>
      </c>
      <c r="B22" s="5">
        <v>219</v>
      </c>
      <c r="C22" s="6">
        <v>-3393.67</v>
      </c>
      <c r="D22" s="6">
        <v>0</v>
      </c>
      <c r="E22" s="6">
        <f>-2373063.42/1000</f>
        <v>-2373.06342</v>
      </c>
      <c r="F22" s="6">
        <f t="shared" si="3"/>
        <v>-2373.06342</v>
      </c>
      <c r="G22" s="6">
        <f>-2373063.42/1000</f>
        <v>-2373.06342</v>
      </c>
      <c r="H22" s="6">
        <f t="shared" si="2"/>
        <v>1020.6065800000001</v>
      </c>
      <c r="I22" s="6">
        <f>H22/C22*100</f>
        <v>-30.073830985334464</v>
      </c>
      <c r="J22" s="6">
        <f t="shared" si="4"/>
        <v>100</v>
      </c>
      <c r="K22" s="6">
        <f>G22/G23*100</f>
        <v>-0.23652723677648449</v>
      </c>
    </row>
    <row r="23" spans="1:11" x14ac:dyDescent="0.3">
      <c r="A23" s="4" t="s">
        <v>18</v>
      </c>
      <c r="B23" s="5"/>
      <c r="C23" s="6">
        <f>C22+C21+C20+C15+C2</f>
        <v>775035.39999999991</v>
      </c>
      <c r="D23" s="6">
        <f>D22+D21+D20+D15+D2</f>
        <v>653323.62339999992</v>
      </c>
      <c r="E23" s="6">
        <f>E2+E15+E22+E20+E21</f>
        <v>986323.37506999995</v>
      </c>
      <c r="F23" s="6">
        <f>F2+F15+F22+F20+F21</f>
        <v>332999.75166999997</v>
      </c>
      <c r="G23" s="6">
        <f>G2+G15+G22+G20+G21</f>
        <v>1003293.9344919999</v>
      </c>
      <c r="H23" s="6">
        <f>H2+H15+H22+H20+H21</f>
        <v>228258.53449200001</v>
      </c>
      <c r="I23" s="6">
        <f>H23/C23*100</f>
        <v>29.451368865473761</v>
      </c>
      <c r="J23" s="6">
        <f t="shared" si="4"/>
        <v>101.72058777586972</v>
      </c>
      <c r="K23" s="6">
        <f>SUM(K3:K22)</f>
        <v>100.00000000000001</v>
      </c>
    </row>
  </sheetData>
  <pageMargins left="0.70866141732283472" right="0.70866141732283472" top="0.74803149606299213" bottom="0.74803149606299213" header="0.31496062992125984" footer="0.31496062992125984"/>
  <pageSetup paperSize="9" scale="2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"/>
  <sheetViews>
    <sheetView workbookViewId="0">
      <selection activeCell="A2" sqref="A2:D7"/>
    </sheetView>
  </sheetViews>
  <sheetFormatPr defaultRowHeight="14.4" x14ac:dyDescent="0.3"/>
  <cols>
    <col min="1" max="1" width="49.33203125" customWidth="1"/>
    <col min="2" max="2" width="14.6640625" customWidth="1"/>
    <col min="3" max="3" width="14.5546875" customWidth="1"/>
    <col min="4" max="4" width="15.33203125" customWidth="1"/>
  </cols>
  <sheetData>
    <row r="2" spans="1:4" s="10" customFormat="1" ht="28.8" x14ac:dyDescent="0.3">
      <c r="A2" s="13" t="s">
        <v>26</v>
      </c>
      <c r="B2" s="13" t="s">
        <v>27</v>
      </c>
      <c r="C2" s="13" t="s">
        <v>28</v>
      </c>
      <c r="D2" s="13" t="s">
        <v>29</v>
      </c>
    </row>
    <row r="3" spans="1:4" x14ac:dyDescent="0.3">
      <c r="A3" s="13" t="s">
        <v>30</v>
      </c>
      <c r="B3" s="50">
        <v>0</v>
      </c>
      <c r="C3" s="50">
        <v>0</v>
      </c>
      <c r="D3" s="50"/>
    </row>
    <row r="4" spans="1:4" ht="28.8" x14ac:dyDescent="0.3">
      <c r="A4" s="13" t="s">
        <v>31</v>
      </c>
      <c r="B4" s="50">
        <v>0</v>
      </c>
      <c r="C4" s="50">
        <v>0</v>
      </c>
      <c r="D4" s="50">
        <v>0</v>
      </c>
    </row>
    <row r="5" spans="1:4" ht="28.8" x14ac:dyDescent="0.3">
      <c r="A5" s="13" t="s">
        <v>32</v>
      </c>
      <c r="B5" s="51">
        <f>97339105.3/1000</f>
        <v>97339.105299999996</v>
      </c>
      <c r="C5" s="51">
        <f>-342420287.52/1000</f>
        <v>-342420.28751999995</v>
      </c>
      <c r="D5" s="14">
        <f t="shared" ref="D5:D7" si="0">C5/B5*100</f>
        <v>-351.7808042971605</v>
      </c>
    </row>
    <row r="6" spans="1:4" ht="28.8" x14ac:dyDescent="0.3">
      <c r="A6" s="13" t="s">
        <v>33</v>
      </c>
      <c r="B6" s="51">
        <f>888960.05/1000</f>
        <v>888.96005000000002</v>
      </c>
      <c r="C6" s="51">
        <f>887960.08/1000</f>
        <v>887.96007999999995</v>
      </c>
      <c r="D6" s="14">
        <f t="shared" si="0"/>
        <v>99.887512380337</v>
      </c>
    </row>
    <row r="7" spans="1:4" ht="28.8" x14ac:dyDescent="0.3">
      <c r="A7" s="13" t="s">
        <v>34</v>
      </c>
      <c r="B7" s="51">
        <f>98228065.35/1000</f>
        <v>98228.06534999999</v>
      </c>
      <c r="C7" s="51">
        <f>-341532327.44/1000</f>
        <v>-341532.32744000002</v>
      </c>
      <c r="D7" s="14">
        <f t="shared" si="0"/>
        <v>-347.69322415449574</v>
      </c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="70" zoomScaleNormal="70" workbookViewId="0">
      <selection activeCell="G46" activeCellId="4" sqref="G32 G37 G39 G42 G46"/>
    </sheetView>
  </sheetViews>
  <sheetFormatPr defaultRowHeight="14.4" x14ac:dyDescent="0.3"/>
  <cols>
    <col min="1" max="2" width="5.6640625" style="48" customWidth="1"/>
    <col min="3" max="3" width="55.88671875" style="49" customWidth="1"/>
    <col min="4" max="4" width="19.109375" style="49" hidden="1" customWidth="1"/>
    <col min="5" max="5" width="25" style="49" customWidth="1"/>
    <col min="6" max="6" width="19.109375" style="15" customWidth="1"/>
    <col min="7" max="7" width="20.44140625" customWidth="1"/>
    <col min="8" max="8" width="11.109375" customWidth="1"/>
  </cols>
  <sheetData>
    <row r="1" spans="1:9" ht="15.75" customHeight="1" x14ac:dyDescent="0.3">
      <c r="A1" s="263" t="s">
        <v>37</v>
      </c>
      <c r="B1" s="263" t="s">
        <v>38</v>
      </c>
      <c r="C1" s="261" t="s">
        <v>26</v>
      </c>
      <c r="D1" s="261" t="s">
        <v>19</v>
      </c>
      <c r="E1" s="261" t="s">
        <v>701</v>
      </c>
      <c r="F1" s="265" t="s">
        <v>702</v>
      </c>
      <c r="G1" s="259" t="s">
        <v>703</v>
      </c>
      <c r="H1" s="259" t="s">
        <v>29</v>
      </c>
    </row>
    <row r="2" spans="1:9" ht="15.75" customHeight="1" x14ac:dyDescent="0.3">
      <c r="A2" s="264"/>
      <c r="B2" s="264"/>
      <c r="C2" s="262"/>
      <c r="D2" s="262"/>
      <c r="E2" s="262"/>
      <c r="F2" s="266"/>
      <c r="G2" s="260"/>
      <c r="H2" s="260"/>
    </row>
    <row r="3" spans="1:9" ht="15.6" x14ac:dyDescent="0.3">
      <c r="A3" s="16" t="s">
        <v>39</v>
      </c>
      <c r="B3" s="16" t="s">
        <v>40</v>
      </c>
      <c r="C3" s="17" t="s">
        <v>41</v>
      </c>
      <c r="D3" s="17"/>
      <c r="E3" s="18">
        <f>E4+E5+E6+E8+E10+E11+E7+E9</f>
        <v>68688.334469999987</v>
      </c>
      <c r="F3" s="18">
        <f>F4+F5+F6+F8+F10+F11+F7+F9</f>
        <v>75399.063070000004</v>
      </c>
      <c r="G3" s="19">
        <f>G4+G5+G6+G8+G10+G11+G7+G9</f>
        <v>68983.793460000001</v>
      </c>
      <c r="H3" s="20">
        <f>G3/F3*100</f>
        <v>91.491579140653101</v>
      </c>
    </row>
    <row r="4" spans="1:9" ht="31.2" x14ac:dyDescent="0.3">
      <c r="A4" s="21" t="s">
        <v>39</v>
      </c>
      <c r="B4" s="21" t="s">
        <v>42</v>
      </c>
      <c r="C4" s="22" t="s">
        <v>43</v>
      </c>
      <c r="D4" s="22"/>
      <c r="E4" s="253">
        <v>1494.6959999999999</v>
      </c>
      <c r="F4" s="253">
        <v>1494.6959999999999</v>
      </c>
      <c r="G4" s="253">
        <v>1439.9860000000001</v>
      </c>
      <c r="H4" s="24">
        <f t="shared" ref="H4:H60" si="0">G4/F4*100</f>
        <v>96.33972393048488</v>
      </c>
      <c r="I4">
        <v>1000</v>
      </c>
    </row>
    <row r="5" spans="1:9" ht="46.8" x14ac:dyDescent="0.3">
      <c r="A5" s="21" t="s">
        <v>39</v>
      </c>
      <c r="B5" s="21" t="s">
        <v>44</v>
      </c>
      <c r="C5" s="22" t="s">
        <v>45</v>
      </c>
      <c r="D5" s="22"/>
      <c r="E5" s="253">
        <v>2838.9217199999998</v>
      </c>
      <c r="F5" s="253">
        <v>2905.4227199999996</v>
      </c>
      <c r="G5" s="253">
        <v>2757.6232599999998</v>
      </c>
      <c r="H5" s="24">
        <f t="shared" si="0"/>
        <v>94.912979134409753</v>
      </c>
    </row>
    <row r="6" spans="1:9" ht="46.8" x14ac:dyDescent="0.3">
      <c r="A6" s="21" t="s">
        <v>39</v>
      </c>
      <c r="B6" s="21" t="s">
        <v>46</v>
      </c>
      <c r="C6" s="22" t="s">
        <v>47</v>
      </c>
      <c r="D6" s="22"/>
      <c r="E6" s="253">
        <v>28856.453439999997</v>
      </c>
      <c r="F6" s="253">
        <v>29432.072439999996</v>
      </c>
      <c r="G6" s="253">
        <v>28418.650109999999</v>
      </c>
      <c r="H6" s="24">
        <f t="shared" si="0"/>
        <v>96.556741520441847</v>
      </c>
    </row>
    <row r="7" spans="1:9" ht="15.6" x14ac:dyDescent="0.3">
      <c r="A7" s="21" t="s">
        <v>39</v>
      </c>
      <c r="B7" s="21" t="s">
        <v>48</v>
      </c>
      <c r="C7" s="26" t="s">
        <v>49</v>
      </c>
      <c r="D7" s="26"/>
      <c r="E7" s="253">
        <v>24.2</v>
      </c>
      <c r="F7" s="253">
        <v>24.18627</v>
      </c>
      <c r="G7" s="253">
        <v>24.18627</v>
      </c>
      <c r="H7" s="24">
        <v>0</v>
      </c>
    </row>
    <row r="8" spans="1:9" ht="46.8" x14ac:dyDescent="0.3">
      <c r="A8" s="21" t="s">
        <v>39</v>
      </c>
      <c r="B8" s="21" t="s">
        <v>50</v>
      </c>
      <c r="C8" s="22" t="s">
        <v>51</v>
      </c>
      <c r="D8" s="22"/>
      <c r="E8" s="253">
        <v>11726.400669999999</v>
      </c>
      <c r="F8" s="253">
        <v>11294.440349999999</v>
      </c>
      <c r="G8" s="253">
        <v>10864.730379999999</v>
      </c>
      <c r="H8" s="24">
        <f t="shared" si="0"/>
        <v>96.195385015247794</v>
      </c>
    </row>
    <row r="9" spans="1:9" ht="15.6" hidden="1" x14ac:dyDescent="0.3">
      <c r="A9" s="21" t="s">
        <v>39</v>
      </c>
      <c r="B9" s="21" t="s">
        <v>52</v>
      </c>
      <c r="C9" s="22" t="s">
        <v>53</v>
      </c>
      <c r="D9" s="22"/>
      <c r="E9" s="253">
        <v>0</v>
      </c>
      <c r="F9" s="253">
        <v>0</v>
      </c>
      <c r="G9" s="253">
        <v>0</v>
      </c>
      <c r="H9" s="24">
        <v>0</v>
      </c>
    </row>
    <row r="10" spans="1:9" ht="15.6" x14ac:dyDescent="0.3">
      <c r="A10" s="21" t="s">
        <v>39</v>
      </c>
      <c r="B10" s="21" t="s">
        <v>54</v>
      </c>
      <c r="C10" s="22" t="s">
        <v>55</v>
      </c>
      <c r="D10" s="22"/>
      <c r="E10" s="253">
        <v>334.21800000000002</v>
      </c>
      <c r="F10" s="253">
        <v>334.21800000000002</v>
      </c>
      <c r="G10" s="253">
        <v>0</v>
      </c>
      <c r="H10" s="24">
        <f t="shared" si="0"/>
        <v>0</v>
      </c>
    </row>
    <row r="11" spans="1:9" ht="15.6" x14ac:dyDescent="0.3">
      <c r="A11" s="21" t="s">
        <v>39</v>
      </c>
      <c r="B11" s="21" t="s">
        <v>56</v>
      </c>
      <c r="C11" s="22" t="s">
        <v>57</v>
      </c>
      <c r="D11" s="22"/>
      <c r="E11" s="253">
        <v>23413.444640000002</v>
      </c>
      <c r="F11" s="253">
        <v>29914.027289999998</v>
      </c>
      <c r="G11" s="253">
        <v>25478.617439999998</v>
      </c>
      <c r="H11" s="24">
        <f t="shared" si="0"/>
        <v>85.17280937467514</v>
      </c>
    </row>
    <row r="12" spans="1:9" ht="31.2" x14ac:dyDescent="0.3">
      <c r="A12" s="16" t="s">
        <v>44</v>
      </c>
      <c r="B12" s="16" t="s">
        <v>40</v>
      </c>
      <c r="C12" s="17" t="s">
        <v>58</v>
      </c>
      <c r="D12" s="17"/>
      <c r="E12" s="18">
        <f>E14+E13+E16+E15</f>
        <v>3439.6521000000002</v>
      </c>
      <c r="F12" s="18">
        <f>F14+F13+F16+F15</f>
        <v>2820.7189500000004</v>
      </c>
      <c r="G12" s="18">
        <f>G14+G13+G16+G15</f>
        <v>2447.9345099999996</v>
      </c>
      <c r="H12" s="20">
        <f t="shared" si="0"/>
        <v>86.78406297798648</v>
      </c>
    </row>
    <row r="13" spans="1:9" ht="15.6" x14ac:dyDescent="0.3">
      <c r="A13" s="21" t="s">
        <v>44</v>
      </c>
      <c r="B13" s="21" t="s">
        <v>42</v>
      </c>
      <c r="C13" s="22" t="s">
        <v>59</v>
      </c>
      <c r="D13" s="22"/>
      <c r="E13" s="254"/>
      <c r="F13" s="23"/>
      <c r="G13" s="27"/>
      <c r="H13" s="20" t="e">
        <f t="shared" si="0"/>
        <v>#DIV/0!</v>
      </c>
    </row>
    <row r="14" spans="1:9" ht="31.2" x14ac:dyDescent="0.3">
      <c r="A14" s="21" t="s">
        <v>44</v>
      </c>
      <c r="B14" s="21" t="s">
        <v>60</v>
      </c>
      <c r="C14" s="22" t="s">
        <v>61</v>
      </c>
      <c r="D14" s="22"/>
      <c r="E14" s="253">
        <v>3225.2499900000003</v>
      </c>
      <c r="F14" s="253">
        <v>2818.7189500000004</v>
      </c>
      <c r="G14" s="253">
        <v>2445.9345099999996</v>
      </c>
      <c r="H14" s="24">
        <f t="shared" si="0"/>
        <v>86.774685713167656</v>
      </c>
    </row>
    <row r="15" spans="1:9" ht="15.6" x14ac:dyDescent="0.3">
      <c r="A15" s="21" t="s">
        <v>44</v>
      </c>
      <c r="B15" s="21" t="s">
        <v>62</v>
      </c>
      <c r="C15" s="22" t="s">
        <v>63</v>
      </c>
      <c r="D15" s="22"/>
      <c r="E15" s="253">
        <v>214.40210999999999</v>
      </c>
      <c r="F15" s="253">
        <v>2</v>
      </c>
      <c r="G15" s="253">
        <v>2</v>
      </c>
      <c r="H15" s="24">
        <f t="shared" si="0"/>
        <v>100</v>
      </c>
    </row>
    <row r="16" spans="1:9" ht="31.2" x14ac:dyDescent="0.3">
      <c r="A16" s="21" t="s">
        <v>44</v>
      </c>
      <c r="B16" s="21" t="s">
        <v>64</v>
      </c>
      <c r="C16" s="22" t="s">
        <v>65</v>
      </c>
      <c r="D16" s="22"/>
      <c r="E16" s="254">
        <v>0</v>
      </c>
      <c r="F16" s="27"/>
      <c r="G16" s="255"/>
      <c r="H16" s="20" t="e">
        <f t="shared" si="0"/>
        <v>#DIV/0!</v>
      </c>
    </row>
    <row r="17" spans="1:8" ht="15.6" x14ac:dyDescent="0.3">
      <c r="A17" s="21"/>
      <c r="B17" s="21"/>
      <c r="C17" s="22"/>
      <c r="D17" s="22"/>
      <c r="E17" s="256"/>
      <c r="F17" s="27"/>
      <c r="G17" s="255"/>
      <c r="H17" s="20"/>
    </row>
    <row r="18" spans="1:8" ht="15.6" x14ac:dyDescent="0.3">
      <c r="A18" s="16" t="s">
        <v>46</v>
      </c>
      <c r="B18" s="16" t="s">
        <v>40</v>
      </c>
      <c r="C18" s="17" t="s">
        <v>66</v>
      </c>
      <c r="D18" s="17"/>
      <c r="E18" s="18">
        <f>E19+E20+E21+E22+E23+E24</f>
        <v>11108.93492</v>
      </c>
      <c r="F18" s="18">
        <f>F19+F20+F21+F22+F23+F24</f>
        <v>26457.763250000004</v>
      </c>
      <c r="G18" s="18">
        <f>G19+G20+G21+G22+G23+G24</f>
        <v>24524.077589999997</v>
      </c>
      <c r="H18" s="20">
        <f t="shared" si="0"/>
        <v>92.691424283570129</v>
      </c>
    </row>
    <row r="19" spans="1:8" ht="15.6" x14ac:dyDescent="0.3">
      <c r="A19" s="21" t="s">
        <v>46</v>
      </c>
      <c r="B19" s="21" t="s">
        <v>39</v>
      </c>
      <c r="C19" s="22" t="s">
        <v>67</v>
      </c>
      <c r="D19" s="22"/>
      <c r="E19" s="254"/>
      <c r="F19" s="23"/>
      <c r="G19" s="23"/>
      <c r="H19" s="24">
        <v>0</v>
      </c>
    </row>
    <row r="20" spans="1:8" ht="15.6" x14ac:dyDescent="0.3">
      <c r="A20" s="21" t="s">
        <v>46</v>
      </c>
      <c r="B20" s="21" t="s">
        <v>48</v>
      </c>
      <c r="C20" s="22" t="s">
        <v>68</v>
      </c>
      <c r="D20" s="22"/>
      <c r="E20" s="253">
        <v>643.02</v>
      </c>
      <c r="F20" s="253">
        <v>120</v>
      </c>
      <c r="G20" s="253">
        <v>120</v>
      </c>
      <c r="H20" s="24">
        <f t="shared" si="0"/>
        <v>100</v>
      </c>
    </row>
    <row r="21" spans="1:8" ht="15.6" x14ac:dyDescent="0.3">
      <c r="A21" s="21" t="s">
        <v>46</v>
      </c>
      <c r="B21" s="21" t="s">
        <v>50</v>
      </c>
      <c r="C21" s="28" t="s">
        <v>69</v>
      </c>
      <c r="D21" s="28"/>
      <c r="E21" s="253">
        <v>664.98</v>
      </c>
      <c r="F21" s="253">
        <v>530</v>
      </c>
      <c r="G21" s="253">
        <v>530</v>
      </c>
      <c r="H21" s="24">
        <f t="shared" si="0"/>
        <v>100</v>
      </c>
    </row>
    <row r="22" spans="1:8" ht="15.6" x14ac:dyDescent="0.3">
      <c r="A22" s="21" t="s">
        <v>46</v>
      </c>
      <c r="B22" s="21" t="s">
        <v>70</v>
      </c>
      <c r="C22" s="22" t="s">
        <v>71</v>
      </c>
      <c r="D22" s="22"/>
      <c r="E22" s="253">
        <v>1475</v>
      </c>
      <c r="F22" s="253">
        <v>5192.2156500000001</v>
      </c>
      <c r="G22" s="253">
        <v>4816.0316700000003</v>
      </c>
      <c r="H22" s="24">
        <f t="shared" si="0"/>
        <v>92.754846767583714</v>
      </c>
    </row>
    <row r="23" spans="1:8" ht="15.6" x14ac:dyDescent="0.3">
      <c r="A23" s="21" t="s">
        <v>46</v>
      </c>
      <c r="B23" s="21" t="s">
        <v>60</v>
      </c>
      <c r="C23" s="22" t="s">
        <v>72</v>
      </c>
      <c r="D23" s="22"/>
      <c r="E23" s="253">
        <v>8142.9349199999997</v>
      </c>
      <c r="F23" s="253">
        <v>20428.013600000002</v>
      </c>
      <c r="G23" s="253">
        <v>18971.144419999997</v>
      </c>
      <c r="H23" s="24">
        <f t="shared" si="0"/>
        <v>92.868277804553628</v>
      </c>
    </row>
    <row r="24" spans="1:8" ht="15.6" x14ac:dyDescent="0.3">
      <c r="A24" s="21" t="s">
        <v>46</v>
      </c>
      <c r="B24" s="21" t="s">
        <v>73</v>
      </c>
      <c r="C24" s="22" t="s">
        <v>74</v>
      </c>
      <c r="D24" s="22"/>
      <c r="E24" s="253">
        <v>183</v>
      </c>
      <c r="F24" s="253">
        <v>187.53399999999999</v>
      </c>
      <c r="G24" s="253">
        <v>86.901499999999999</v>
      </c>
      <c r="H24" s="24">
        <f t="shared" si="0"/>
        <v>46.339063849755249</v>
      </c>
    </row>
    <row r="25" spans="1:8" ht="15.6" x14ac:dyDescent="0.3">
      <c r="A25" s="16" t="s">
        <v>48</v>
      </c>
      <c r="B25" s="16" t="s">
        <v>40</v>
      </c>
      <c r="C25" s="17" t="s">
        <v>75</v>
      </c>
      <c r="D25" s="17"/>
      <c r="E25" s="29">
        <f>E26+E27+E28+E29</f>
        <v>92056.567410000003</v>
      </c>
      <c r="F25" s="29">
        <f>F26+F27+F28+F29</f>
        <v>489606.44373999996</v>
      </c>
      <c r="G25" s="30">
        <f>G26+G27+G28+G29</f>
        <v>107762.15638999999</v>
      </c>
      <c r="H25" s="20">
        <f t="shared" si="0"/>
        <v>22.009954682546187</v>
      </c>
    </row>
    <row r="26" spans="1:8" ht="15.6" x14ac:dyDescent="0.3">
      <c r="A26" s="21" t="s">
        <v>48</v>
      </c>
      <c r="B26" s="21" t="s">
        <v>39</v>
      </c>
      <c r="C26" s="22" t="s">
        <v>76</v>
      </c>
      <c r="D26" s="22"/>
      <c r="E26" s="253">
        <v>2828.9182000000001</v>
      </c>
      <c r="F26" s="253">
        <f>377008478.85/1000</f>
        <v>377008.47885000001</v>
      </c>
      <c r="G26" s="253">
        <v>3961.1080599999996</v>
      </c>
      <c r="H26" s="24">
        <f t="shared" si="0"/>
        <v>1.0506681632420265</v>
      </c>
    </row>
    <row r="27" spans="1:8" ht="15.6" x14ac:dyDescent="0.3">
      <c r="A27" s="21" t="s">
        <v>48</v>
      </c>
      <c r="B27" s="21" t="s">
        <v>42</v>
      </c>
      <c r="C27" s="22" t="s">
        <v>77</v>
      </c>
      <c r="D27" s="22"/>
      <c r="E27" s="253">
        <v>87607.2</v>
      </c>
      <c r="F27" s="253">
        <v>109011.01436</v>
      </c>
      <c r="G27" s="253">
        <v>100261.95650999999</v>
      </c>
      <c r="H27" s="24">
        <f t="shared" si="0"/>
        <v>91.974152427288715</v>
      </c>
    </row>
    <row r="28" spans="1:8" ht="15.6" x14ac:dyDescent="0.3">
      <c r="A28" s="21" t="s">
        <v>48</v>
      </c>
      <c r="B28" s="21" t="s">
        <v>44</v>
      </c>
      <c r="C28" s="28" t="s">
        <v>78</v>
      </c>
      <c r="D28" s="28"/>
      <c r="E28" s="253">
        <v>1620.44921</v>
      </c>
      <c r="F28" s="253">
        <v>3586.9505299999996</v>
      </c>
      <c r="G28" s="253">
        <v>3539.0918199999996</v>
      </c>
      <c r="H28" s="24">
        <f t="shared" si="0"/>
        <v>98.665754947002299</v>
      </c>
    </row>
    <row r="29" spans="1:8" ht="31.2" x14ac:dyDescent="0.3">
      <c r="A29" s="21" t="s">
        <v>48</v>
      </c>
      <c r="B29" s="21" t="s">
        <v>48</v>
      </c>
      <c r="C29" s="22" t="s">
        <v>79</v>
      </c>
      <c r="D29" s="22"/>
      <c r="E29" s="254"/>
      <c r="F29" s="27"/>
      <c r="G29" s="253"/>
      <c r="H29" s="20" t="e">
        <f t="shared" si="0"/>
        <v>#DIV/0!</v>
      </c>
    </row>
    <row r="30" spans="1:8" ht="15.6" x14ac:dyDescent="0.3">
      <c r="A30" s="16" t="s">
        <v>50</v>
      </c>
      <c r="B30" s="16" t="s">
        <v>40</v>
      </c>
      <c r="C30" s="17" t="s">
        <v>80</v>
      </c>
      <c r="D30" s="17"/>
      <c r="E30" s="18">
        <f>E31</f>
        <v>0</v>
      </c>
      <c r="F30" s="18">
        <f>F31</f>
        <v>0</v>
      </c>
      <c r="G30" s="18">
        <f>G31</f>
        <v>0</v>
      </c>
      <c r="H30" s="20">
        <v>0</v>
      </c>
    </row>
    <row r="31" spans="1:8" ht="31.2" x14ac:dyDescent="0.3">
      <c r="A31" s="21" t="s">
        <v>50</v>
      </c>
      <c r="B31" s="21" t="s">
        <v>44</v>
      </c>
      <c r="C31" s="28" t="s">
        <v>81</v>
      </c>
      <c r="D31" s="28"/>
      <c r="E31" s="257"/>
      <c r="F31" s="23"/>
      <c r="G31" s="23"/>
      <c r="H31" s="20">
        <v>0</v>
      </c>
    </row>
    <row r="32" spans="1:8" ht="15.6" x14ac:dyDescent="0.3">
      <c r="A32" s="16" t="s">
        <v>52</v>
      </c>
      <c r="B32" s="16" t="s">
        <v>40</v>
      </c>
      <c r="C32" s="17" t="s">
        <v>82</v>
      </c>
      <c r="D32" s="17"/>
      <c r="E32" s="19">
        <f>E33+E34+E35+E36</f>
        <v>405330.17558000004</v>
      </c>
      <c r="F32" s="19">
        <f>F33+F34+F35+F36</f>
        <v>410185.18668000004</v>
      </c>
      <c r="G32" s="19">
        <f>G33+G34+G35+G36</f>
        <v>383151.64483000006</v>
      </c>
      <c r="H32" s="20">
        <f t="shared" si="0"/>
        <v>93.409430001895757</v>
      </c>
    </row>
    <row r="33" spans="1:8" ht="15.6" x14ac:dyDescent="0.3">
      <c r="A33" s="21" t="s">
        <v>52</v>
      </c>
      <c r="B33" s="21" t="s">
        <v>39</v>
      </c>
      <c r="C33" s="22" t="s">
        <v>83</v>
      </c>
      <c r="D33" s="22"/>
      <c r="E33" s="253">
        <v>79503.391490000009</v>
      </c>
      <c r="F33" s="253">
        <v>109813.60278</v>
      </c>
      <c r="G33" s="253">
        <v>95998.280599999998</v>
      </c>
      <c r="H33" s="24">
        <f t="shared" si="0"/>
        <v>87.419297946468845</v>
      </c>
    </row>
    <row r="34" spans="1:8" ht="15.6" x14ac:dyDescent="0.3">
      <c r="A34" s="21" t="s">
        <v>52</v>
      </c>
      <c r="B34" s="21" t="s">
        <v>42</v>
      </c>
      <c r="C34" s="22" t="s">
        <v>84</v>
      </c>
      <c r="D34" s="22"/>
      <c r="E34" s="253">
        <v>296750.89773999999</v>
      </c>
      <c r="F34" s="253">
        <v>271081.56261000002</v>
      </c>
      <c r="G34" s="253">
        <v>258597.18597999998</v>
      </c>
      <c r="H34" s="24">
        <f t="shared" si="0"/>
        <v>95.394605037023084</v>
      </c>
    </row>
    <row r="35" spans="1:8" ht="15.6" x14ac:dyDescent="0.3">
      <c r="A35" s="21" t="s">
        <v>52</v>
      </c>
      <c r="B35" s="21" t="s">
        <v>52</v>
      </c>
      <c r="C35" s="22" t="s">
        <v>85</v>
      </c>
      <c r="D35" s="22"/>
      <c r="E35" s="253">
        <v>3658.7343999999998</v>
      </c>
      <c r="F35" s="253">
        <v>4510.4865300000001</v>
      </c>
      <c r="G35" s="253">
        <v>4474.8609000000006</v>
      </c>
      <c r="H35" s="24">
        <f t="shared" si="0"/>
        <v>99.210159929243829</v>
      </c>
    </row>
    <row r="36" spans="1:8" ht="15.6" x14ac:dyDescent="0.3">
      <c r="A36" s="21" t="s">
        <v>52</v>
      </c>
      <c r="B36" s="21" t="s">
        <v>60</v>
      </c>
      <c r="C36" s="22" t="s">
        <v>86</v>
      </c>
      <c r="D36" s="22"/>
      <c r="E36" s="253">
        <v>25417.151949999999</v>
      </c>
      <c r="F36" s="253">
        <v>24779.534760000006</v>
      </c>
      <c r="G36" s="253">
        <v>24081.317350000001</v>
      </c>
      <c r="H36" s="24">
        <f t="shared" si="0"/>
        <v>97.182282005039539</v>
      </c>
    </row>
    <row r="37" spans="1:8" ht="15.6" x14ac:dyDescent="0.3">
      <c r="A37" s="16" t="s">
        <v>70</v>
      </c>
      <c r="B37" s="16" t="s">
        <v>40</v>
      </c>
      <c r="C37" s="17" t="s">
        <v>87</v>
      </c>
      <c r="D37" s="17"/>
      <c r="E37" s="18">
        <f>E38</f>
        <v>13533.24865</v>
      </c>
      <c r="F37" s="18">
        <f>F38</f>
        <v>14366.20465</v>
      </c>
      <c r="G37" s="19">
        <f>G38</f>
        <v>13749.240250000001</v>
      </c>
      <c r="H37" s="20">
        <f t="shared" si="0"/>
        <v>95.705446114468387</v>
      </c>
    </row>
    <row r="38" spans="1:8" ht="15.6" x14ac:dyDescent="0.3">
      <c r="A38" s="21" t="s">
        <v>70</v>
      </c>
      <c r="B38" s="21" t="s">
        <v>39</v>
      </c>
      <c r="C38" s="22" t="s">
        <v>88</v>
      </c>
      <c r="D38" s="22"/>
      <c r="E38" s="253">
        <v>13533.24865</v>
      </c>
      <c r="F38" s="253">
        <v>14366.20465</v>
      </c>
      <c r="G38" s="253">
        <v>13749.240250000001</v>
      </c>
      <c r="H38" s="24">
        <f t="shared" si="0"/>
        <v>95.705446114468387</v>
      </c>
    </row>
    <row r="39" spans="1:8" ht="15.6" x14ac:dyDescent="0.3">
      <c r="A39" s="16" t="s">
        <v>60</v>
      </c>
      <c r="B39" s="16" t="s">
        <v>40</v>
      </c>
      <c r="C39" s="17" t="s">
        <v>89</v>
      </c>
      <c r="D39" s="17"/>
      <c r="E39" s="18">
        <f>E41+E40</f>
        <v>573.4</v>
      </c>
      <c r="F39" s="18">
        <f>F41+F40</f>
        <v>573.39705000000004</v>
      </c>
      <c r="G39" s="18">
        <f>G41+G40</f>
        <v>544.83034999999995</v>
      </c>
      <c r="H39" s="20">
        <f t="shared" si="0"/>
        <v>95.017989715852195</v>
      </c>
    </row>
    <row r="40" spans="1:8" ht="15.6" x14ac:dyDescent="0.3">
      <c r="A40" s="21" t="s">
        <v>60</v>
      </c>
      <c r="B40" s="21" t="s">
        <v>52</v>
      </c>
      <c r="C40" s="22" t="s">
        <v>90</v>
      </c>
      <c r="D40" s="22"/>
      <c r="E40" s="254"/>
      <c r="F40" s="23"/>
      <c r="G40" s="23"/>
      <c r="H40" s="24">
        <v>0</v>
      </c>
    </row>
    <row r="41" spans="1:8" ht="15.6" x14ac:dyDescent="0.3">
      <c r="A41" s="31" t="s">
        <v>60</v>
      </c>
      <c r="B41" s="31" t="s">
        <v>60</v>
      </c>
      <c r="C41" s="26" t="s">
        <v>91</v>
      </c>
      <c r="D41" s="26"/>
      <c r="E41" s="253">
        <v>573.4</v>
      </c>
      <c r="F41" s="253">
        <v>573.39705000000004</v>
      </c>
      <c r="G41" s="253">
        <v>544.83034999999995</v>
      </c>
      <c r="H41" s="24">
        <f t="shared" si="0"/>
        <v>95.017989715852195</v>
      </c>
    </row>
    <row r="42" spans="1:8" ht="15.6" x14ac:dyDescent="0.3">
      <c r="A42" s="32" t="s">
        <v>62</v>
      </c>
      <c r="B42" s="32" t="s">
        <v>40</v>
      </c>
      <c r="C42" s="33" t="s">
        <v>92</v>
      </c>
      <c r="D42" s="33"/>
      <c r="E42" s="18">
        <f>E43+E44+E45</f>
        <v>35644.50851</v>
      </c>
      <c r="F42" s="18">
        <f>F43+F44+F45</f>
        <v>41106.276150000005</v>
      </c>
      <c r="G42" s="18">
        <f>G43+G44+G45</f>
        <v>40202.314400000003</v>
      </c>
      <c r="H42" s="20">
        <f t="shared" si="0"/>
        <v>97.800915493533452</v>
      </c>
    </row>
    <row r="43" spans="1:8" ht="15.6" x14ac:dyDescent="0.3">
      <c r="A43" s="31" t="s">
        <v>62</v>
      </c>
      <c r="B43" s="31" t="s">
        <v>39</v>
      </c>
      <c r="C43" s="26" t="s">
        <v>93</v>
      </c>
      <c r="D43" s="26"/>
      <c r="E43" s="253">
        <v>1869.00998</v>
      </c>
      <c r="F43" s="253">
        <v>1952.3503000000001</v>
      </c>
      <c r="G43" s="253">
        <v>1894.7503000000002</v>
      </c>
      <c r="H43" s="24">
        <f t="shared" si="0"/>
        <v>97.049709778004498</v>
      </c>
    </row>
    <row r="44" spans="1:8" ht="15.6" x14ac:dyDescent="0.3">
      <c r="A44" s="31" t="s">
        <v>62</v>
      </c>
      <c r="B44" s="31" t="s">
        <v>44</v>
      </c>
      <c r="C44" s="26" t="s">
        <v>94</v>
      </c>
      <c r="D44" s="26"/>
      <c r="E44" s="253">
        <v>2094.29853</v>
      </c>
      <c r="F44" s="253">
        <v>3502.7862099999998</v>
      </c>
      <c r="G44" s="253">
        <v>3178.11931</v>
      </c>
      <c r="H44" s="24">
        <f t="shared" si="0"/>
        <v>90.731181392883244</v>
      </c>
    </row>
    <row r="45" spans="1:8" ht="15.6" x14ac:dyDescent="0.3">
      <c r="A45" s="31" t="s">
        <v>62</v>
      </c>
      <c r="B45" s="31" t="s">
        <v>46</v>
      </c>
      <c r="C45" s="26" t="s">
        <v>95</v>
      </c>
      <c r="D45" s="26"/>
      <c r="E45" s="253">
        <v>31681.200000000001</v>
      </c>
      <c r="F45" s="253">
        <v>35651.139640000001</v>
      </c>
      <c r="G45" s="253">
        <v>35129.444790000001</v>
      </c>
      <c r="H45" s="24">
        <f t="shared" si="0"/>
        <v>98.536667115643425</v>
      </c>
    </row>
    <row r="46" spans="1:8" ht="15.6" x14ac:dyDescent="0.3">
      <c r="A46" s="32" t="s">
        <v>54</v>
      </c>
      <c r="B46" s="32" t="s">
        <v>40</v>
      </c>
      <c r="C46" s="33" t="s">
        <v>96</v>
      </c>
      <c r="D46" s="33"/>
      <c r="E46" s="18">
        <f>E47+E48+E49</f>
        <v>7506.9979999999996</v>
      </c>
      <c r="F46" s="18">
        <f>F47+F48+F49</f>
        <v>6036.38688</v>
      </c>
      <c r="G46" s="18">
        <f>G47+G48+G49</f>
        <v>2395.6160099999997</v>
      </c>
      <c r="H46" s="20">
        <f t="shared" si="0"/>
        <v>39.686256988220073</v>
      </c>
    </row>
    <row r="47" spans="1:8" ht="15.6" x14ac:dyDescent="0.3">
      <c r="A47" s="31" t="s">
        <v>54</v>
      </c>
      <c r="B47" s="31" t="s">
        <v>39</v>
      </c>
      <c r="C47" s="26" t="s">
        <v>97</v>
      </c>
      <c r="D47" s="26"/>
      <c r="E47" s="253">
        <v>500</v>
      </c>
      <c r="F47" s="253">
        <v>1198.7</v>
      </c>
      <c r="G47" s="253">
        <v>1196.6823999999999</v>
      </c>
      <c r="H47" s="24">
        <f t="shared" si="0"/>
        <v>99.831684324685071</v>
      </c>
    </row>
    <row r="48" spans="1:8" ht="15.6" x14ac:dyDescent="0.3">
      <c r="A48" s="31" t="s">
        <v>54</v>
      </c>
      <c r="B48" s="31" t="s">
        <v>42</v>
      </c>
      <c r="C48" s="26" t="s">
        <v>98</v>
      </c>
      <c r="D48" s="26"/>
      <c r="E48" s="253">
        <v>7006.9979999999996</v>
      </c>
      <c r="F48" s="253">
        <v>4837.6868800000002</v>
      </c>
      <c r="G48" s="253">
        <v>1198.9336099999998</v>
      </c>
      <c r="H48" s="24">
        <f t="shared" si="0"/>
        <v>24.78319989986619</v>
      </c>
    </row>
    <row r="49" spans="1:8" ht="15.6" x14ac:dyDescent="0.3">
      <c r="A49" s="31" t="s">
        <v>54</v>
      </c>
      <c r="B49" s="31" t="s">
        <v>48</v>
      </c>
      <c r="C49" s="34" t="s">
        <v>99</v>
      </c>
      <c r="D49" s="34"/>
      <c r="E49" s="258"/>
      <c r="F49" s="27"/>
      <c r="G49" s="255"/>
      <c r="H49" s="20" t="e">
        <f t="shared" si="0"/>
        <v>#DIV/0!</v>
      </c>
    </row>
    <row r="50" spans="1:8" ht="31.2" x14ac:dyDescent="0.3">
      <c r="A50" s="32" t="s">
        <v>56</v>
      </c>
      <c r="B50" s="32" t="s">
        <v>40</v>
      </c>
      <c r="C50" s="35" t="s">
        <v>100</v>
      </c>
      <c r="D50" s="35"/>
      <c r="E50" s="18">
        <f>E51</f>
        <v>51.963839999999998</v>
      </c>
      <c r="F50" s="18">
        <f>F51</f>
        <v>0</v>
      </c>
      <c r="G50" s="18">
        <f>G51</f>
        <v>0</v>
      </c>
      <c r="H50" s="20" t="e">
        <f t="shared" si="0"/>
        <v>#DIV/0!</v>
      </c>
    </row>
    <row r="51" spans="1:8" ht="31.2" x14ac:dyDescent="0.3">
      <c r="A51" s="31" t="s">
        <v>56</v>
      </c>
      <c r="B51" s="31" t="s">
        <v>39</v>
      </c>
      <c r="C51" s="34" t="s">
        <v>101</v>
      </c>
      <c r="D51" s="34"/>
      <c r="E51" s="253">
        <v>51.963839999999998</v>
      </c>
      <c r="F51" s="23"/>
      <c r="G51" s="23"/>
      <c r="H51" s="24" t="e">
        <f t="shared" si="0"/>
        <v>#DIV/0!</v>
      </c>
    </row>
    <row r="52" spans="1:8" ht="46.8" x14ac:dyDescent="0.3">
      <c r="A52" s="32" t="s">
        <v>64</v>
      </c>
      <c r="B52" s="32" t="s">
        <v>40</v>
      </c>
      <c r="C52" s="35" t="s">
        <v>102</v>
      </c>
      <c r="D52" s="35"/>
      <c r="E52" s="18">
        <f>E53+E54</f>
        <v>18000</v>
      </c>
      <c r="F52" s="18">
        <f>F53+F54</f>
        <v>18000</v>
      </c>
      <c r="G52" s="18">
        <f>G53+G54</f>
        <v>18000</v>
      </c>
      <c r="H52" s="20">
        <f t="shared" si="0"/>
        <v>100</v>
      </c>
    </row>
    <row r="53" spans="1:8" ht="46.8" x14ac:dyDescent="0.3">
      <c r="A53" s="31" t="s">
        <v>64</v>
      </c>
      <c r="B53" s="31" t="s">
        <v>39</v>
      </c>
      <c r="C53" s="34" t="s">
        <v>103</v>
      </c>
      <c r="D53" s="34"/>
      <c r="E53" s="253">
        <v>18000</v>
      </c>
      <c r="F53" s="253">
        <v>18000</v>
      </c>
      <c r="G53" s="253">
        <v>18000</v>
      </c>
      <c r="H53" s="24">
        <f t="shared" si="0"/>
        <v>100</v>
      </c>
    </row>
    <row r="54" spans="1:8" ht="15.6" x14ac:dyDescent="0.3">
      <c r="A54" s="31" t="s">
        <v>64</v>
      </c>
      <c r="B54" s="31" t="s">
        <v>44</v>
      </c>
      <c r="C54" s="34" t="s">
        <v>104</v>
      </c>
      <c r="D54" s="34"/>
      <c r="E54" s="34"/>
      <c r="F54" s="23"/>
      <c r="G54" s="25"/>
      <c r="H54" s="24" t="e">
        <f t="shared" si="0"/>
        <v>#DIV/0!</v>
      </c>
    </row>
    <row r="55" spans="1:8" ht="15.6" x14ac:dyDescent="0.3">
      <c r="A55" s="32"/>
      <c r="B55" s="32"/>
      <c r="C55" s="35"/>
      <c r="D55" s="35"/>
      <c r="E55" s="35"/>
      <c r="F55" s="36"/>
      <c r="G55" s="36"/>
      <c r="H55" s="20"/>
    </row>
    <row r="56" spans="1:8" ht="15.6" x14ac:dyDescent="0.3">
      <c r="A56" s="37" t="s">
        <v>105</v>
      </c>
      <c r="B56" s="37" t="s">
        <v>40</v>
      </c>
      <c r="C56" s="38" t="s">
        <v>106</v>
      </c>
      <c r="D56" s="38"/>
      <c r="E56" s="39">
        <f>E3+E12+E18+E25+E32+E37+E39+E42+E46+E30+E50+E52</f>
        <v>655933.78347999998</v>
      </c>
      <c r="F56" s="39">
        <f>F3+F12+F18+F25+F32+F37+F39+F42+F46+F30+F50+F52</f>
        <v>1084551.4404199999</v>
      </c>
      <c r="G56" s="39">
        <f>G3+G12+G18+G25+G32+G37+G39+G42+G46+G30+G50+G52+G55</f>
        <v>661761.60779000004</v>
      </c>
      <c r="H56" s="40">
        <f t="shared" si="0"/>
        <v>61.017078870295762</v>
      </c>
    </row>
    <row r="57" spans="1:8" ht="15.6" hidden="1" x14ac:dyDescent="0.3">
      <c r="A57" s="41"/>
      <c r="B57" s="41"/>
      <c r="C57" s="42"/>
      <c r="D57" s="42"/>
      <c r="E57" s="42"/>
      <c r="F57" s="43"/>
      <c r="G57" s="12"/>
      <c r="H57" s="40"/>
    </row>
    <row r="58" spans="1:8" ht="15.6" hidden="1" x14ac:dyDescent="0.3">
      <c r="A58" s="41"/>
      <c r="B58" s="41"/>
      <c r="C58" s="42" t="s">
        <v>107</v>
      </c>
      <c r="D58" s="42"/>
      <c r="E58" s="42"/>
      <c r="F58" s="43"/>
      <c r="G58" s="12"/>
      <c r="H58" s="40"/>
    </row>
    <row r="59" spans="1:8" ht="42" hidden="1" x14ac:dyDescent="0.3">
      <c r="A59" s="41"/>
      <c r="B59" s="41"/>
      <c r="C59" s="44" t="s">
        <v>108</v>
      </c>
      <c r="D59" s="44"/>
      <c r="E59" s="44"/>
      <c r="F59" s="23">
        <f>39838273.07+206637094.42</f>
        <v>246475367.48999998</v>
      </c>
      <c r="G59" s="45">
        <f>39316013.98+205687903.45</f>
        <v>245003917.42999998</v>
      </c>
      <c r="H59" s="46">
        <f t="shared" si="0"/>
        <v>99.40300319866256</v>
      </c>
    </row>
    <row r="60" spans="1:8" ht="28.2" hidden="1" x14ac:dyDescent="0.3">
      <c r="A60" s="41"/>
      <c r="B60" s="41"/>
      <c r="C60" s="44" t="s">
        <v>109</v>
      </c>
      <c r="D60" s="44"/>
      <c r="E60" s="44"/>
      <c r="F60" s="47">
        <v>1037</v>
      </c>
      <c r="G60" s="47">
        <v>1025</v>
      </c>
      <c r="H60" s="24">
        <f t="shared" si="0"/>
        <v>98.842815814850525</v>
      </c>
    </row>
  </sheetData>
  <mergeCells count="8">
    <mergeCell ref="H1:H2"/>
    <mergeCell ref="E1:E2"/>
    <mergeCell ref="D1:D2"/>
    <mergeCell ref="A1:A2"/>
    <mergeCell ref="B1:B2"/>
    <mergeCell ref="C1:C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26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workbookViewId="0">
      <selection activeCell="H303" sqref="H303"/>
    </sheetView>
  </sheetViews>
  <sheetFormatPr defaultRowHeight="15.6" x14ac:dyDescent="0.3"/>
  <cols>
    <col min="1" max="1" width="65.109375" style="52" customWidth="1"/>
    <col min="2" max="2" width="5.109375" style="53" customWidth="1"/>
    <col min="3" max="3" width="4.5546875" style="53" hidden="1" customWidth="1"/>
    <col min="4" max="4" width="4.6640625" style="53" hidden="1" customWidth="1"/>
    <col min="5" max="5" width="15.33203125" style="53" hidden="1" customWidth="1"/>
    <col min="6" max="6" width="4.88671875" style="53" hidden="1" customWidth="1"/>
    <col min="7" max="7" width="16.6640625" style="54" customWidth="1"/>
    <col min="8" max="8" width="16.33203125" style="55" customWidth="1"/>
    <col min="9" max="9" width="3.44140625" style="55" hidden="1" customWidth="1"/>
    <col min="10" max="10" width="8.5546875" style="55" customWidth="1"/>
    <col min="11" max="11" width="9.109375" style="55"/>
  </cols>
  <sheetData>
    <row r="1" spans="1:11" x14ac:dyDescent="0.3">
      <c r="A1" s="267" t="s">
        <v>113</v>
      </c>
      <c r="B1" s="267"/>
      <c r="C1" s="267"/>
      <c r="D1" s="267"/>
      <c r="E1" s="267"/>
      <c r="F1" s="267"/>
      <c r="G1" s="267"/>
      <c r="H1" s="267"/>
      <c r="I1" s="267"/>
      <c r="J1" s="56"/>
      <c r="K1" s="55" t="s">
        <v>114</v>
      </c>
    </row>
    <row r="2" spans="1:11" x14ac:dyDescent="0.3">
      <c r="A2" s="57"/>
      <c r="B2" s="58"/>
      <c r="C2" s="58"/>
      <c r="D2" s="58"/>
      <c r="E2" s="58"/>
      <c r="F2" s="58"/>
      <c r="G2" s="59"/>
      <c r="H2" s="56"/>
      <c r="I2" s="60" t="s">
        <v>115</v>
      </c>
      <c r="J2" s="56"/>
    </row>
    <row r="3" spans="1:11" x14ac:dyDescent="0.3">
      <c r="A3" s="268" t="s">
        <v>26</v>
      </c>
      <c r="B3" s="270" t="s">
        <v>116</v>
      </c>
      <c r="C3" s="270" t="s">
        <v>37</v>
      </c>
      <c r="D3" s="270" t="s">
        <v>38</v>
      </c>
      <c r="E3" s="272"/>
      <c r="F3" s="270" t="s">
        <v>117</v>
      </c>
      <c r="G3" s="275" t="s">
        <v>118</v>
      </c>
      <c r="H3" s="275" t="s">
        <v>119</v>
      </c>
      <c r="I3" s="61"/>
      <c r="J3" s="278" t="s">
        <v>29</v>
      </c>
    </row>
    <row r="4" spans="1:11" x14ac:dyDescent="0.3">
      <c r="A4" s="269"/>
      <c r="B4" s="271"/>
      <c r="C4" s="271"/>
      <c r="D4" s="271"/>
      <c r="E4" s="273"/>
      <c r="F4" s="271"/>
      <c r="G4" s="276"/>
      <c r="H4" s="277"/>
      <c r="I4" s="62">
        <v>2016</v>
      </c>
      <c r="J4" s="279"/>
    </row>
    <row r="5" spans="1:11" ht="18" x14ac:dyDescent="0.35">
      <c r="A5" s="63" t="s">
        <v>120</v>
      </c>
      <c r="B5" s="64" t="s">
        <v>121</v>
      </c>
      <c r="C5" s="65"/>
      <c r="D5" s="65"/>
      <c r="E5" s="65"/>
      <c r="F5" s="65"/>
      <c r="G5" s="66">
        <f>(G6+G62+G73+G144+G195+G229+G247+G255+G287)/1000</f>
        <v>578758.51271999988</v>
      </c>
      <c r="H5" s="67">
        <f>(H6+H62+H73+H144+H195+H229+H247+H255+H287)/1000</f>
        <v>180217.99154999995</v>
      </c>
      <c r="I5" s="68">
        <f>I6+I62+I73+I144+I195+I229+I247+I255+I287</f>
        <v>77309787.890000001</v>
      </c>
      <c r="J5" s="69">
        <f>H5/G5*100</f>
        <v>31.138719792306258</v>
      </c>
    </row>
    <row r="6" spans="1:11" hidden="1" x14ac:dyDescent="0.3">
      <c r="A6" s="70" t="s">
        <v>41</v>
      </c>
      <c r="B6" s="71" t="s">
        <v>121</v>
      </c>
      <c r="C6" s="72" t="s">
        <v>39</v>
      </c>
      <c r="D6" s="72" t="s">
        <v>40</v>
      </c>
      <c r="E6" s="72"/>
      <c r="F6" s="72"/>
      <c r="G6" s="73">
        <f>G7+G10+G17+G30+G33+G36+G39+G27</f>
        <v>55938235.289999999</v>
      </c>
      <c r="H6" s="74">
        <f>H7+H10+H17+H30+H33+H36+H39+H27</f>
        <v>50607881.559999995</v>
      </c>
      <c r="I6" s="68">
        <f>I7+I10+I17+I30+I33+I36+I39+I27</f>
        <v>41313893.509999998</v>
      </c>
      <c r="J6" s="69">
        <f t="shared" ref="J6:J69" si="0">H6/G6*100</f>
        <v>90.471001270658775</v>
      </c>
    </row>
    <row r="7" spans="1:11" ht="31.2" hidden="1" x14ac:dyDescent="0.3">
      <c r="A7" s="70" t="s">
        <v>43</v>
      </c>
      <c r="B7" s="71" t="s">
        <v>121</v>
      </c>
      <c r="C7" s="72" t="s">
        <v>39</v>
      </c>
      <c r="D7" s="72" t="s">
        <v>42</v>
      </c>
      <c r="E7" s="72"/>
      <c r="F7" s="72"/>
      <c r="G7" s="73">
        <f t="shared" ref="G7:I8" si="1">G8</f>
        <v>1494696</v>
      </c>
      <c r="H7" s="75">
        <f t="shared" si="1"/>
        <v>1439986</v>
      </c>
      <c r="I7" s="68">
        <f t="shared" si="1"/>
        <v>1436106</v>
      </c>
      <c r="J7" s="69">
        <f t="shared" si="0"/>
        <v>96.339723930484865</v>
      </c>
    </row>
    <row r="8" spans="1:11" ht="62.4" hidden="1" x14ac:dyDescent="0.3">
      <c r="A8" s="76" t="s">
        <v>122</v>
      </c>
      <c r="B8" s="77" t="s">
        <v>121</v>
      </c>
      <c r="C8" s="78" t="s">
        <v>39</v>
      </c>
      <c r="D8" s="78" t="s">
        <v>42</v>
      </c>
      <c r="E8" s="78" t="s">
        <v>123</v>
      </c>
      <c r="F8" s="78"/>
      <c r="G8" s="79">
        <f t="shared" si="1"/>
        <v>1494696</v>
      </c>
      <c r="H8" s="80">
        <f t="shared" si="1"/>
        <v>1439986</v>
      </c>
      <c r="I8" s="68">
        <f t="shared" si="1"/>
        <v>1436106</v>
      </c>
      <c r="J8" s="81">
        <f t="shared" si="0"/>
        <v>96.339723930484865</v>
      </c>
    </row>
    <row r="9" spans="1:11" ht="109.2" hidden="1" x14ac:dyDescent="0.3">
      <c r="A9" s="76" t="s">
        <v>124</v>
      </c>
      <c r="B9" s="77" t="s">
        <v>121</v>
      </c>
      <c r="C9" s="78" t="s">
        <v>39</v>
      </c>
      <c r="D9" s="78" t="s">
        <v>42</v>
      </c>
      <c r="E9" s="78" t="s">
        <v>123</v>
      </c>
      <c r="F9" s="82" t="s">
        <v>125</v>
      </c>
      <c r="G9" s="79">
        <v>1494696</v>
      </c>
      <c r="H9" s="83">
        <v>1439986</v>
      </c>
      <c r="I9" s="84">
        <v>1436106</v>
      </c>
      <c r="J9" s="81">
        <f t="shared" si="0"/>
        <v>96.339723930484865</v>
      </c>
    </row>
    <row r="10" spans="1:11" ht="46.8" hidden="1" x14ac:dyDescent="0.3">
      <c r="A10" s="70" t="s">
        <v>45</v>
      </c>
      <c r="B10" s="71" t="s">
        <v>121</v>
      </c>
      <c r="C10" s="72" t="s">
        <v>39</v>
      </c>
      <c r="D10" s="72" t="s">
        <v>44</v>
      </c>
      <c r="E10" s="72"/>
      <c r="F10" s="85"/>
      <c r="G10" s="73">
        <f>G11+G13</f>
        <v>2905422.7199999997</v>
      </c>
      <c r="H10" s="74">
        <f>H11+H13</f>
        <v>2757623.26</v>
      </c>
      <c r="I10" s="68">
        <f>I11+I13</f>
        <v>2316782</v>
      </c>
      <c r="J10" s="69">
        <f t="shared" si="0"/>
        <v>94.912979134409753</v>
      </c>
    </row>
    <row r="11" spans="1:11" ht="62.4" hidden="1" x14ac:dyDescent="0.3">
      <c r="A11" s="76" t="s">
        <v>126</v>
      </c>
      <c r="B11" s="77" t="s">
        <v>121</v>
      </c>
      <c r="C11" s="78" t="s">
        <v>39</v>
      </c>
      <c r="D11" s="78" t="s">
        <v>44</v>
      </c>
      <c r="E11" s="78"/>
      <c r="F11" s="82"/>
      <c r="G11" s="79">
        <f>G12</f>
        <v>1344604</v>
      </c>
      <c r="H11" s="80">
        <f>H12</f>
        <v>1317156</v>
      </c>
      <c r="I11" s="68">
        <f>I12</f>
        <v>1304604</v>
      </c>
      <c r="J11" s="81">
        <f t="shared" si="0"/>
        <v>97.958655485183741</v>
      </c>
    </row>
    <row r="12" spans="1:11" ht="140.4" hidden="1" x14ac:dyDescent="0.3">
      <c r="A12" s="86" t="s">
        <v>127</v>
      </c>
      <c r="B12" s="77" t="s">
        <v>121</v>
      </c>
      <c r="C12" s="78" t="s">
        <v>39</v>
      </c>
      <c r="D12" s="78" t="s">
        <v>44</v>
      </c>
      <c r="E12" s="78" t="s">
        <v>128</v>
      </c>
      <c r="F12" s="82" t="s">
        <v>125</v>
      </c>
      <c r="G12" s="79">
        <f>1304604+40000</f>
        <v>1344604</v>
      </c>
      <c r="H12" s="83">
        <v>1317156</v>
      </c>
      <c r="I12" s="84">
        <v>1304604</v>
      </c>
      <c r="J12" s="81">
        <f t="shared" si="0"/>
        <v>97.958655485183741</v>
      </c>
    </row>
    <row r="13" spans="1:11" ht="46.8" hidden="1" x14ac:dyDescent="0.3">
      <c r="A13" s="76" t="s">
        <v>129</v>
      </c>
      <c r="B13" s="77" t="s">
        <v>121</v>
      </c>
      <c r="C13" s="78" t="s">
        <v>39</v>
      </c>
      <c r="D13" s="78" t="s">
        <v>44</v>
      </c>
      <c r="E13" s="78" t="s">
        <v>130</v>
      </c>
      <c r="F13" s="82"/>
      <c r="G13" s="79">
        <f>G14+G15+G16</f>
        <v>1560818.72</v>
      </c>
      <c r="H13" s="87">
        <f>H14+H15+H16</f>
        <v>1440467.26</v>
      </c>
      <c r="I13" s="68">
        <f>I14+I15+I16</f>
        <v>1012178</v>
      </c>
      <c r="J13" s="81">
        <f t="shared" si="0"/>
        <v>92.289209601484018</v>
      </c>
    </row>
    <row r="14" spans="1:11" ht="140.4" hidden="1" x14ac:dyDescent="0.3">
      <c r="A14" s="86" t="s">
        <v>127</v>
      </c>
      <c r="B14" s="77" t="s">
        <v>121</v>
      </c>
      <c r="C14" s="78" t="s">
        <v>39</v>
      </c>
      <c r="D14" s="78" t="s">
        <v>44</v>
      </c>
      <c r="E14" s="78" t="s">
        <v>130</v>
      </c>
      <c r="F14" s="82" t="s">
        <v>125</v>
      </c>
      <c r="G14" s="79">
        <v>1330248.75</v>
      </c>
      <c r="H14" s="80">
        <v>1310058.22</v>
      </c>
      <c r="I14" s="84">
        <v>798000</v>
      </c>
      <c r="J14" s="81">
        <f t="shared" si="0"/>
        <v>98.482198912045575</v>
      </c>
    </row>
    <row r="15" spans="1:11" ht="62.4" hidden="1" x14ac:dyDescent="0.3">
      <c r="A15" s="88" t="s">
        <v>131</v>
      </c>
      <c r="B15" s="77" t="s">
        <v>121</v>
      </c>
      <c r="C15" s="78" t="s">
        <v>39</v>
      </c>
      <c r="D15" s="78" t="s">
        <v>44</v>
      </c>
      <c r="E15" s="78" t="s">
        <v>130</v>
      </c>
      <c r="F15" s="82" t="s">
        <v>132</v>
      </c>
      <c r="G15" s="79">
        <v>222573.32</v>
      </c>
      <c r="H15" s="83">
        <v>130409.04</v>
      </c>
      <c r="I15" s="84">
        <v>207000</v>
      </c>
      <c r="J15" s="81">
        <f t="shared" si="0"/>
        <v>58.591496950308333</v>
      </c>
    </row>
    <row r="16" spans="1:11" ht="46.8" hidden="1" x14ac:dyDescent="0.3">
      <c r="A16" s="88" t="s">
        <v>133</v>
      </c>
      <c r="B16" s="77" t="s">
        <v>121</v>
      </c>
      <c r="C16" s="78" t="s">
        <v>39</v>
      </c>
      <c r="D16" s="78" t="s">
        <v>44</v>
      </c>
      <c r="E16" s="78" t="s">
        <v>130</v>
      </c>
      <c r="F16" s="82" t="s">
        <v>134</v>
      </c>
      <c r="G16" s="79">
        <v>7996.65</v>
      </c>
      <c r="H16" s="83">
        <v>0</v>
      </c>
      <c r="I16" s="84">
        <v>7178</v>
      </c>
      <c r="J16" s="81">
        <f t="shared" si="0"/>
        <v>0</v>
      </c>
    </row>
    <row r="17" spans="1:10" ht="46.8" hidden="1" x14ac:dyDescent="0.3">
      <c r="A17" s="70" t="s">
        <v>47</v>
      </c>
      <c r="B17" s="71" t="s">
        <v>121</v>
      </c>
      <c r="C17" s="72" t="s">
        <v>39</v>
      </c>
      <c r="D17" s="72" t="s">
        <v>46</v>
      </c>
      <c r="E17" s="72"/>
      <c r="F17" s="85"/>
      <c r="G17" s="73">
        <f>G18+G20+G24</f>
        <v>29257074.439999998</v>
      </c>
      <c r="H17" s="74">
        <f>H18+H20+H24</f>
        <v>28243652.109999999</v>
      </c>
      <c r="I17" s="68">
        <f>I18+I24</f>
        <v>27153141</v>
      </c>
      <c r="J17" s="69">
        <f t="shared" si="0"/>
        <v>96.536146045366536</v>
      </c>
    </row>
    <row r="18" spans="1:10" ht="78" hidden="1" x14ac:dyDescent="0.3">
      <c r="A18" s="89" t="s">
        <v>135</v>
      </c>
      <c r="B18" s="77" t="s">
        <v>121</v>
      </c>
      <c r="C18" s="78" t="s">
        <v>39</v>
      </c>
      <c r="D18" s="78" t="s">
        <v>46</v>
      </c>
      <c r="E18" s="78" t="s">
        <v>136</v>
      </c>
      <c r="F18" s="78"/>
      <c r="G18" s="79">
        <f>G19</f>
        <v>105750</v>
      </c>
      <c r="H18" s="80">
        <f>H19</f>
        <v>105750</v>
      </c>
      <c r="I18" s="68">
        <f>I19+I22+I23</f>
        <v>27153141</v>
      </c>
      <c r="J18" s="81">
        <f t="shared" si="0"/>
        <v>100</v>
      </c>
    </row>
    <row r="19" spans="1:10" ht="46.8" hidden="1" x14ac:dyDescent="0.3">
      <c r="A19" s="88" t="s">
        <v>137</v>
      </c>
      <c r="B19" s="77" t="s">
        <v>121</v>
      </c>
      <c r="C19" s="78" t="s">
        <v>39</v>
      </c>
      <c r="D19" s="78" t="s">
        <v>46</v>
      </c>
      <c r="E19" s="78" t="s">
        <v>136</v>
      </c>
      <c r="F19" s="90">
        <v>200</v>
      </c>
      <c r="G19" s="79">
        <v>105750</v>
      </c>
      <c r="H19" s="83">
        <v>105750</v>
      </c>
      <c r="I19" s="84">
        <v>23400000</v>
      </c>
      <c r="J19" s="81">
        <f t="shared" si="0"/>
        <v>100</v>
      </c>
    </row>
    <row r="20" spans="1:10" ht="93.6" hidden="1" x14ac:dyDescent="0.3">
      <c r="A20" s="89" t="s">
        <v>138</v>
      </c>
      <c r="B20" s="77" t="s">
        <v>121</v>
      </c>
      <c r="C20" s="78" t="s">
        <v>39</v>
      </c>
      <c r="D20" s="78" t="s">
        <v>46</v>
      </c>
      <c r="E20" s="78" t="s">
        <v>139</v>
      </c>
      <c r="F20" s="90"/>
      <c r="G20" s="79">
        <f>G21+G22+G23</f>
        <v>28902841.559999999</v>
      </c>
      <c r="H20" s="80">
        <f>H21+H22+H23</f>
        <v>28128302.109999999</v>
      </c>
      <c r="I20" s="84"/>
      <c r="J20" s="81">
        <f t="shared" si="0"/>
        <v>97.320196187658169</v>
      </c>
    </row>
    <row r="21" spans="1:10" ht="93.6" hidden="1" x14ac:dyDescent="0.3">
      <c r="A21" s="86" t="s">
        <v>140</v>
      </c>
      <c r="B21" s="77" t="s">
        <v>121</v>
      </c>
      <c r="C21" s="78" t="s">
        <v>39</v>
      </c>
      <c r="D21" s="78" t="s">
        <v>46</v>
      </c>
      <c r="E21" s="78" t="s">
        <v>139</v>
      </c>
      <c r="F21" s="90">
        <v>100</v>
      </c>
      <c r="G21" s="79">
        <v>24899130.829999998</v>
      </c>
      <c r="H21" s="83">
        <v>24449372.949999999</v>
      </c>
      <c r="I21" s="84"/>
      <c r="J21" s="81">
        <f t="shared" si="0"/>
        <v>98.193680401654419</v>
      </c>
    </row>
    <row r="22" spans="1:10" ht="46.8" hidden="1" x14ac:dyDescent="0.3">
      <c r="A22" s="88" t="s">
        <v>141</v>
      </c>
      <c r="B22" s="77" t="s">
        <v>121</v>
      </c>
      <c r="C22" s="78" t="s">
        <v>39</v>
      </c>
      <c r="D22" s="78" t="s">
        <v>46</v>
      </c>
      <c r="E22" s="78" t="s">
        <v>139</v>
      </c>
      <c r="F22" s="90">
        <v>200</v>
      </c>
      <c r="G22" s="79">
        <v>3914659.54</v>
      </c>
      <c r="H22" s="83">
        <v>3634739.16</v>
      </c>
      <c r="I22" s="84">
        <v>3500000</v>
      </c>
      <c r="J22" s="81">
        <f t="shared" si="0"/>
        <v>92.849432316149773</v>
      </c>
    </row>
    <row r="23" spans="1:10" ht="31.2" hidden="1" x14ac:dyDescent="0.3">
      <c r="A23" s="88" t="s">
        <v>142</v>
      </c>
      <c r="B23" s="77" t="s">
        <v>121</v>
      </c>
      <c r="C23" s="78" t="s">
        <v>39</v>
      </c>
      <c r="D23" s="78" t="s">
        <v>46</v>
      </c>
      <c r="E23" s="78" t="s">
        <v>139</v>
      </c>
      <c r="F23" s="90">
        <v>800</v>
      </c>
      <c r="G23" s="79">
        <v>89051.19</v>
      </c>
      <c r="H23" s="83">
        <v>44190</v>
      </c>
      <c r="I23" s="84">
        <v>253141</v>
      </c>
      <c r="J23" s="81">
        <f t="shared" si="0"/>
        <v>49.623143722166994</v>
      </c>
    </row>
    <row r="24" spans="1:10" ht="46.8" hidden="1" x14ac:dyDescent="0.3">
      <c r="A24" s="76" t="s">
        <v>143</v>
      </c>
      <c r="B24" s="77" t="s">
        <v>121</v>
      </c>
      <c r="C24" s="78" t="s">
        <v>39</v>
      </c>
      <c r="D24" s="78" t="s">
        <v>46</v>
      </c>
      <c r="E24" s="78" t="s">
        <v>144</v>
      </c>
      <c r="F24" s="90"/>
      <c r="G24" s="79">
        <f>G25+G26</f>
        <v>248482.88</v>
      </c>
      <c r="H24" s="80">
        <f>H25+H26</f>
        <v>9600</v>
      </c>
      <c r="I24" s="68">
        <f>I25+I26</f>
        <v>0</v>
      </c>
      <c r="J24" s="81">
        <f t="shared" si="0"/>
        <v>3.8634452401710733</v>
      </c>
    </row>
    <row r="25" spans="1:10" ht="109.2" hidden="1" x14ac:dyDescent="0.3">
      <c r="A25" s="86" t="s">
        <v>145</v>
      </c>
      <c r="B25" s="77" t="s">
        <v>121</v>
      </c>
      <c r="C25" s="78" t="s">
        <v>39</v>
      </c>
      <c r="D25" s="78" t="s">
        <v>46</v>
      </c>
      <c r="E25" s="78" t="s">
        <v>144</v>
      </c>
      <c r="F25" s="90">
        <v>100</v>
      </c>
      <c r="G25" s="79">
        <v>156238.72</v>
      </c>
      <c r="H25" s="83">
        <v>0</v>
      </c>
      <c r="I25" s="84">
        <v>0</v>
      </c>
      <c r="J25" s="81">
        <f t="shared" si="0"/>
        <v>0</v>
      </c>
    </row>
    <row r="26" spans="1:10" ht="78" hidden="1" x14ac:dyDescent="0.3">
      <c r="A26" s="88" t="s">
        <v>146</v>
      </c>
      <c r="B26" s="77" t="s">
        <v>121</v>
      </c>
      <c r="C26" s="78" t="s">
        <v>39</v>
      </c>
      <c r="D26" s="78" t="s">
        <v>46</v>
      </c>
      <c r="E26" s="78" t="s">
        <v>144</v>
      </c>
      <c r="F26" s="90">
        <v>200</v>
      </c>
      <c r="G26" s="79">
        <v>92244.160000000003</v>
      </c>
      <c r="H26" s="83">
        <v>9600</v>
      </c>
      <c r="I26" s="84">
        <v>0</v>
      </c>
      <c r="J26" s="81">
        <f t="shared" si="0"/>
        <v>10.407162903320925</v>
      </c>
    </row>
    <row r="27" spans="1:10" hidden="1" x14ac:dyDescent="0.3">
      <c r="A27" s="70" t="s">
        <v>49</v>
      </c>
      <c r="B27" s="71" t="s">
        <v>121</v>
      </c>
      <c r="C27" s="72" t="s">
        <v>39</v>
      </c>
      <c r="D27" s="72" t="s">
        <v>48</v>
      </c>
      <c r="E27" s="72"/>
      <c r="F27" s="91"/>
      <c r="G27" s="73">
        <f t="shared" ref="G27:I28" si="2">G28</f>
        <v>24186.27</v>
      </c>
      <c r="H27" s="74">
        <f t="shared" si="2"/>
        <v>24186.27</v>
      </c>
      <c r="I27" s="68">
        <f t="shared" si="2"/>
        <v>32300</v>
      </c>
      <c r="J27" s="69">
        <f t="shared" si="0"/>
        <v>100</v>
      </c>
    </row>
    <row r="28" spans="1:10" ht="46.8" hidden="1" x14ac:dyDescent="0.3">
      <c r="A28" s="76" t="s">
        <v>147</v>
      </c>
      <c r="B28" s="77" t="s">
        <v>121</v>
      </c>
      <c r="C28" s="78" t="s">
        <v>39</v>
      </c>
      <c r="D28" s="78" t="s">
        <v>48</v>
      </c>
      <c r="E28" s="78" t="s">
        <v>148</v>
      </c>
      <c r="F28" s="90"/>
      <c r="G28" s="79">
        <f t="shared" si="2"/>
        <v>24186.27</v>
      </c>
      <c r="H28" s="87">
        <f t="shared" si="2"/>
        <v>24186.27</v>
      </c>
      <c r="I28" s="68">
        <f t="shared" si="2"/>
        <v>32300</v>
      </c>
      <c r="J28" s="81">
        <f t="shared" si="0"/>
        <v>100</v>
      </c>
    </row>
    <row r="29" spans="1:10" ht="78" hidden="1" x14ac:dyDescent="0.3">
      <c r="A29" s="88" t="s">
        <v>149</v>
      </c>
      <c r="B29" s="77" t="s">
        <v>121</v>
      </c>
      <c r="C29" s="78" t="s">
        <v>39</v>
      </c>
      <c r="D29" s="78" t="s">
        <v>48</v>
      </c>
      <c r="E29" s="78" t="s">
        <v>148</v>
      </c>
      <c r="F29" s="90">
        <v>200</v>
      </c>
      <c r="G29" s="79">
        <v>24186.27</v>
      </c>
      <c r="H29" s="92">
        <v>24186.27</v>
      </c>
      <c r="I29" s="84">
        <v>32300</v>
      </c>
      <c r="J29" s="81">
        <f t="shared" si="0"/>
        <v>100</v>
      </c>
    </row>
    <row r="30" spans="1:10" ht="31.2" hidden="1" x14ac:dyDescent="0.3">
      <c r="A30" s="70" t="s">
        <v>51</v>
      </c>
      <c r="B30" s="71" t="s">
        <v>121</v>
      </c>
      <c r="C30" s="72" t="s">
        <v>39</v>
      </c>
      <c r="D30" s="72" t="s">
        <v>50</v>
      </c>
      <c r="E30" s="72"/>
      <c r="F30" s="72"/>
      <c r="G30" s="73">
        <f t="shared" ref="G30:I31" si="3">G31</f>
        <v>263186.06</v>
      </c>
      <c r="H30" s="74">
        <f t="shared" si="3"/>
        <v>175244</v>
      </c>
      <c r="I30" s="68">
        <f t="shared" si="3"/>
        <v>579426</v>
      </c>
      <c r="J30" s="69">
        <f t="shared" si="0"/>
        <v>66.585593477101341</v>
      </c>
    </row>
    <row r="31" spans="1:10" ht="31.2" hidden="1" x14ac:dyDescent="0.3">
      <c r="A31" s="76" t="s">
        <v>150</v>
      </c>
      <c r="B31" s="77" t="s">
        <v>121</v>
      </c>
      <c r="C31" s="78" t="s">
        <v>39</v>
      </c>
      <c r="D31" s="78" t="s">
        <v>50</v>
      </c>
      <c r="E31" s="78" t="s">
        <v>151</v>
      </c>
      <c r="F31" s="78"/>
      <c r="G31" s="79">
        <f t="shared" si="3"/>
        <v>263186.06</v>
      </c>
      <c r="H31" s="87">
        <f t="shared" si="3"/>
        <v>175244</v>
      </c>
      <c r="I31" s="68">
        <f t="shared" si="3"/>
        <v>579426</v>
      </c>
      <c r="J31" s="81">
        <f t="shared" si="0"/>
        <v>66.585593477101341</v>
      </c>
    </row>
    <row r="32" spans="1:10" ht="109.2" hidden="1" x14ac:dyDescent="0.3">
      <c r="A32" s="86" t="s">
        <v>152</v>
      </c>
      <c r="B32" s="77" t="s">
        <v>121</v>
      </c>
      <c r="C32" s="78" t="s">
        <v>39</v>
      </c>
      <c r="D32" s="78" t="s">
        <v>50</v>
      </c>
      <c r="E32" s="78" t="s">
        <v>151</v>
      </c>
      <c r="F32" s="78" t="s">
        <v>125</v>
      </c>
      <c r="G32" s="79">
        <v>263186.06</v>
      </c>
      <c r="H32" s="92">
        <v>175244</v>
      </c>
      <c r="I32" s="84">
        <v>579426</v>
      </c>
      <c r="J32" s="81">
        <f t="shared" si="0"/>
        <v>66.585593477101341</v>
      </c>
    </row>
    <row r="33" spans="1:10" hidden="1" x14ac:dyDescent="0.3">
      <c r="A33" s="76" t="s">
        <v>53</v>
      </c>
      <c r="B33" s="77" t="s">
        <v>121</v>
      </c>
      <c r="C33" s="78" t="s">
        <v>39</v>
      </c>
      <c r="D33" s="78" t="s">
        <v>52</v>
      </c>
      <c r="E33" s="78"/>
      <c r="F33" s="78"/>
      <c r="G33" s="68"/>
      <c r="H33" s="68"/>
      <c r="I33" s="68">
        <f>I34</f>
        <v>0</v>
      </c>
      <c r="J33" s="69"/>
    </row>
    <row r="34" spans="1:10" hidden="1" x14ac:dyDescent="0.3">
      <c r="A34" s="76"/>
      <c r="B34" s="77"/>
      <c r="C34" s="78"/>
      <c r="D34" s="78"/>
      <c r="E34" s="78"/>
      <c r="F34" s="78"/>
      <c r="G34" s="68"/>
      <c r="H34" s="68"/>
      <c r="I34" s="68"/>
      <c r="J34" s="69"/>
    </row>
    <row r="35" spans="1:10" hidden="1" x14ac:dyDescent="0.3">
      <c r="A35" s="76"/>
      <c r="B35" s="77"/>
      <c r="C35" s="78"/>
      <c r="D35" s="78"/>
      <c r="E35" s="78"/>
      <c r="F35" s="78"/>
      <c r="G35" s="68"/>
      <c r="H35" s="84"/>
      <c r="I35" s="84"/>
      <c r="J35" s="69"/>
    </row>
    <row r="36" spans="1:10" hidden="1" x14ac:dyDescent="0.3">
      <c r="A36" s="70" t="s">
        <v>55</v>
      </c>
      <c r="B36" s="71" t="s">
        <v>121</v>
      </c>
      <c r="C36" s="72" t="s">
        <v>39</v>
      </c>
      <c r="D36" s="72" t="s">
        <v>54</v>
      </c>
      <c r="E36" s="72"/>
      <c r="F36" s="72"/>
      <c r="G36" s="73">
        <f t="shared" ref="G36:I37" si="4">G37</f>
        <v>334218</v>
      </c>
      <c r="H36" s="74">
        <f t="shared" si="4"/>
        <v>0</v>
      </c>
      <c r="I36" s="68">
        <f t="shared" si="4"/>
        <v>100000</v>
      </c>
      <c r="J36" s="69">
        <f t="shared" si="0"/>
        <v>0</v>
      </c>
    </row>
    <row r="37" spans="1:10" ht="78" hidden="1" x14ac:dyDescent="0.3">
      <c r="A37" s="93" t="s">
        <v>153</v>
      </c>
      <c r="B37" s="77" t="s">
        <v>121</v>
      </c>
      <c r="C37" s="78" t="s">
        <v>39</v>
      </c>
      <c r="D37" s="78" t="s">
        <v>54</v>
      </c>
      <c r="E37" s="78" t="s">
        <v>154</v>
      </c>
      <c r="F37" s="78"/>
      <c r="G37" s="79">
        <f t="shared" si="4"/>
        <v>334218</v>
      </c>
      <c r="H37" s="87">
        <f t="shared" si="4"/>
        <v>0</v>
      </c>
      <c r="I37" s="68">
        <f t="shared" si="4"/>
        <v>100000</v>
      </c>
      <c r="J37" s="81">
        <f t="shared" si="0"/>
        <v>0</v>
      </c>
    </row>
    <row r="38" spans="1:10" ht="31.2" hidden="1" x14ac:dyDescent="0.3">
      <c r="A38" s="88" t="s">
        <v>155</v>
      </c>
      <c r="B38" s="77" t="s">
        <v>121</v>
      </c>
      <c r="C38" s="78" t="s">
        <v>39</v>
      </c>
      <c r="D38" s="78" t="s">
        <v>54</v>
      </c>
      <c r="E38" s="78" t="s">
        <v>154</v>
      </c>
      <c r="F38" s="78" t="s">
        <v>134</v>
      </c>
      <c r="G38" s="79">
        <v>334218</v>
      </c>
      <c r="H38" s="87">
        <v>0</v>
      </c>
      <c r="I38" s="68">
        <v>100000</v>
      </c>
      <c r="J38" s="81">
        <f t="shared" si="0"/>
        <v>0</v>
      </c>
    </row>
    <row r="39" spans="1:10" hidden="1" x14ac:dyDescent="0.3">
      <c r="A39" s="70" t="s">
        <v>57</v>
      </c>
      <c r="B39" s="71" t="s">
        <v>121</v>
      </c>
      <c r="C39" s="72" t="s">
        <v>39</v>
      </c>
      <c r="D39" s="72" t="s">
        <v>56</v>
      </c>
      <c r="E39" s="72"/>
      <c r="F39" s="72"/>
      <c r="G39" s="73">
        <f>G43+G48+G52+G40+G54+G59+G50+G57+G46+G61</f>
        <v>21659451.800000001</v>
      </c>
      <c r="H39" s="74">
        <f>H43+H48+H52+H40+H54+H59+H50+H57+H46+H61</f>
        <v>17967189.919999998</v>
      </c>
      <c r="I39" s="68">
        <f>I43+I48+I52+I40+I54</f>
        <v>9696138.5099999998</v>
      </c>
      <c r="J39" s="69">
        <f t="shared" si="0"/>
        <v>82.953114815214292</v>
      </c>
    </row>
    <row r="40" spans="1:10" ht="78" hidden="1" x14ac:dyDescent="0.3">
      <c r="A40" s="89" t="s">
        <v>156</v>
      </c>
      <c r="B40" s="94" t="s">
        <v>121</v>
      </c>
      <c r="C40" s="95" t="s">
        <v>39</v>
      </c>
      <c r="D40" s="95" t="s">
        <v>56</v>
      </c>
      <c r="E40" s="78" t="s">
        <v>157</v>
      </c>
      <c r="F40" s="95"/>
      <c r="G40" s="96">
        <f>G41+G42</f>
        <v>800000</v>
      </c>
      <c r="H40" s="97">
        <f>H41+H42</f>
        <v>454529.26</v>
      </c>
      <c r="I40" s="98">
        <f>I41+I42</f>
        <v>484100</v>
      </c>
      <c r="J40" s="81">
        <f t="shared" si="0"/>
        <v>56.816157499999996</v>
      </c>
    </row>
    <row r="41" spans="1:10" ht="62.4" hidden="1" x14ac:dyDescent="0.3">
      <c r="A41" s="88" t="s">
        <v>158</v>
      </c>
      <c r="B41" s="94" t="s">
        <v>121</v>
      </c>
      <c r="C41" s="95" t="s">
        <v>39</v>
      </c>
      <c r="D41" s="95" t="s">
        <v>56</v>
      </c>
      <c r="E41" s="78" t="s">
        <v>157</v>
      </c>
      <c r="F41" s="95" t="s">
        <v>132</v>
      </c>
      <c r="G41" s="96">
        <v>800000</v>
      </c>
      <c r="H41" s="97">
        <v>454529.26</v>
      </c>
      <c r="I41" s="98">
        <v>484100</v>
      </c>
      <c r="J41" s="81">
        <f t="shared" si="0"/>
        <v>56.816157499999996</v>
      </c>
    </row>
    <row r="42" spans="1:10" hidden="1" x14ac:dyDescent="0.3">
      <c r="A42" s="99"/>
      <c r="B42" s="94"/>
      <c r="C42" s="95"/>
      <c r="D42" s="95"/>
      <c r="E42" s="95"/>
      <c r="F42" s="95"/>
      <c r="G42" s="98"/>
      <c r="H42" s="97"/>
      <c r="I42" s="98"/>
      <c r="J42" s="81"/>
    </row>
    <row r="43" spans="1:10" ht="31.2" hidden="1" x14ac:dyDescent="0.3">
      <c r="A43" s="88" t="s">
        <v>159</v>
      </c>
      <c r="B43" s="77" t="s">
        <v>121</v>
      </c>
      <c r="C43" s="78" t="s">
        <v>39</v>
      </c>
      <c r="D43" s="78" t="s">
        <v>56</v>
      </c>
      <c r="E43" s="78" t="s">
        <v>160</v>
      </c>
      <c r="F43" s="78"/>
      <c r="G43" s="79">
        <f>G44+G45</f>
        <v>542646.99</v>
      </c>
      <c r="H43" s="87">
        <f>H44+H45</f>
        <v>519507.99</v>
      </c>
      <c r="I43" s="68">
        <f>I44+I45</f>
        <v>512000</v>
      </c>
      <c r="J43" s="81">
        <f t="shared" si="0"/>
        <v>95.735901898211949</v>
      </c>
    </row>
    <row r="44" spans="1:10" ht="46.8" hidden="1" x14ac:dyDescent="0.3">
      <c r="A44" s="88" t="s">
        <v>161</v>
      </c>
      <c r="B44" s="77" t="s">
        <v>121</v>
      </c>
      <c r="C44" s="78" t="s">
        <v>39</v>
      </c>
      <c r="D44" s="78" t="s">
        <v>56</v>
      </c>
      <c r="E44" s="78" t="s">
        <v>160</v>
      </c>
      <c r="F44" s="78" t="s">
        <v>132</v>
      </c>
      <c r="G44" s="79">
        <v>542646.99</v>
      </c>
      <c r="H44" s="92">
        <v>519507.99</v>
      </c>
      <c r="I44" s="84">
        <v>512000</v>
      </c>
      <c r="J44" s="81">
        <f t="shared" si="0"/>
        <v>95.735901898211949</v>
      </c>
    </row>
    <row r="45" spans="1:10" hidden="1" x14ac:dyDescent="0.3">
      <c r="A45" s="76"/>
      <c r="B45" s="77"/>
      <c r="C45" s="78"/>
      <c r="D45" s="78"/>
      <c r="E45" s="78"/>
      <c r="F45" s="78"/>
      <c r="G45" s="68"/>
      <c r="H45" s="92"/>
      <c r="I45" s="84"/>
      <c r="J45" s="81" t="e">
        <f t="shared" si="0"/>
        <v>#DIV/0!</v>
      </c>
    </row>
    <row r="46" spans="1:10" ht="124.8" hidden="1" x14ac:dyDescent="0.35">
      <c r="A46" s="93" t="s">
        <v>162</v>
      </c>
      <c r="B46" s="77" t="s">
        <v>121</v>
      </c>
      <c r="C46" s="78" t="s">
        <v>39</v>
      </c>
      <c r="D46" s="78" t="s">
        <v>56</v>
      </c>
      <c r="E46" s="100" t="s">
        <v>163</v>
      </c>
      <c r="F46" s="78"/>
      <c r="G46" s="101">
        <f>G47</f>
        <v>300100.53999999998</v>
      </c>
      <c r="H46" s="102">
        <f>H47</f>
        <v>300100.53999999998</v>
      </c>
      <c r="I46" s="84"/>
      <c r="J46" s="81">
        <f t="shared" si="0"/>
        <v>100</v>
      </c>
    </row>
    <row r="47" spans="1:10" ht="78" hidden="1" x14ac:dyDescent="0.3">
      <c r="A47" s="103" t="s">
        <v>164</v>
      </c>
      <c r="B47" s="77" t="s">
        <v>121</v>
      </c>
      <c r="C47" s="78" t="s">
        <v>39</v>
      </c>
      <c r="D47" s="78" t="s">
        <v>56</v>
      </c>
      <c r="E47" s="104" t="s">
        <v>163</v>
      </c>
      <c r="F47" s="78" t="s">
        <v>132</v>
      </c>
      <c r="G47" s="101">
        <v>300100.53999999998</v>
      </c>
      <c r="H47" s="92">
        <v>300100.53999999998</v>
      </c>
      <c r="I47" s="84"/>
      <c r="J47" s="81">
        <f t="shared" si="0"/>
        <v>100</v>
      </c>
    </row>
    <row r="48" spans="1:10" ht="109.2" hidden="1" x14ac:dyDescent="0.3">
      <c r="A48" s="89" t="s">
        <v>165</v>
      </c>
      <c r="B48" s="77" t="s">
        <v>121</v>
      </c>
      <c r="C48" s="78" t="s">
        <v>39</v>
      </c>
      <c r="D48" s="78" t="s">
        <v>56</v>
      </c>
      <c r="E48" s="78" t="s">
        <v>166</v>
      </c>
      <c r="F48" s="78"/>
      <c r="G48" s="79">
        <f>G49</f>
        <v>14673918.83</v>
      </c>
      <c r="H48" s="87">
        <f>H49</f>
        <v>14426426.310000001</v>
      </c>
      <c r="I48" s="68">
        <f>I49</f>
        <v>8700038.5099999998</v>
      </c>
      <c r="J48" s="81">
        <f t="shared" si="0"/>
        <v>98.313384973249171</v>
      </c>
    </row>
    <row r="49" spans="1:10" ht="93.6" hidden="1" x14ac:dyDescent="0.3">
      <c r="A49" s="86" t="s">
        <v>167</v>
      </c>
      <c r="B49" s="77" t="s">
        <v>121</v>
      </c>
      <c r="C49" s="78" t="s">
        <v>39</v>
      </c>
      <c r="D49" s="78" t="s">
        <v>56</v>
      </c>
      <c r="E49" s="78" t="s">
        <v>166</v>
      </c>
      <c r="F49" s="78" t="s">
        <v>168</v>
      </c>
      <c r="G49" s="79">
        <v>14673918.83</v>
      </c>
      <c r="H49" s="92">
        <v>14426426.310000001</v>
      </c>
      <c r="I49" s="84">
        <v>8700038.5099999998</v>
      </c>
      <c r="J49" s="81">
        <f t="shared" si="0"/>
        <v>98.313384973249171</v>
      </c>
    </row>
    <row r="50" spans="1:10" ht="78" hidden="1" x14ac:dyDescent="0.3">
      <c r="A50" s="86" t="s">
        <v>169</v>
      </c>
      <c r="B50" s="77" t="s">
        <v>121</v>
      </c>
      <c r="C50" s="78" t="s">
        <v>39</v>
      </c>
      <c r="D50" s="78" t="s">
        <v>56</v>
      </c>
      <c r="E50" s="78" t="s">
        <v>170</v>
      </c>
      <c r="F50" s="78"/>
      <c r="G50" s="105">
        <f>G51</f>
        <v>604846.92000000004</v>
      </c>
      <c r="H50" s="92">
        <f>H51</f>
        <v>431544.49</v>
      </c>
      <c r="I50" s="84"/>
      <c r="J50" s="81">
        <f t="shared" si="0"/>
        <v>71.347720510836027</v>
      </c>
    </row>
    <row r="51" spans="1:10" ht="140.4" hidden="1" x14ac:dyDescent="0.3">
      <c r="A51" s="86" t="s">
        <v>171</v>
      </c>
      <c r="B51" s="77" t="s">
        <v>121</v>
      </c>
      <c r="C51" s="78" t="s">
        <v>39</v>
      </c>
      <c r="D51" s="78" t="s">
        <v>56</v>
      </c>
      <c r="E51" s="78" t="s">
        <v>170</v>
      </c>
      <c r="F51" s="78" t="s">
        <v>134</v>
      </c>
      <c r="G51" s="105">
        <v>604846.92000000004</v>
      </c>
      <c r="H51" s="92">
        <v>431544.49</v>
      </c>
      <c r="I51" s="84"/>
      <c r="J51" s="81">
        <f t="shared" si="0"/>
        <v>71.347720510836027</v>
      </c>
    </row>
    <row r="52" spans="1:10" ht="31.2" hidden="1" x14ac:dyDescent="0.3">
      <c r="A52" s="86" t="s">
        <v>172</v>
      </c>
      <c r="B52" s="77" t="s">
        <v>121</v>
      </c>
      <c r="C52" s="78" t="s">
        <v>39</v>
      </c>
      <c r="D52" s="78" t="s">
        <v>56</v>
      </c>
      <c r="E52" s="78" t="s">
        <v>173</v>
      </c>
      <c r="F52" s="78"/>
      <c r="G52" s="79">
        <f>G53</f>
        <v>320747.28000000003</v>
      </c>
      <c r="H52" s="87">
        <f>H53</f>
        <v>320747.28000000003</v>
      </c>
      <c r="I52" s="68">
        <f>I53</f>
        <v>0</v>
      </c>
      <c r="J52" s="81">
        <f t="shared" si="0"/>
        <v>100</v>
      </c>
    </row>
    <row r="53" spans="1:10" ht="109.2" hidden="1" x14ac:dyDescent="0.3">
      <c r="A53" s="86" t="s">
        <v>174</v>
      </c>
      <c r="B53" s="77" t="s">
        <v>121</v>
      </c>
      <c r="C53" s="78" t="s">
        <v>39</v>
      </c>
      <c r="D53" s="78" t="s">
        <v>56</v>
      </c>
      <c r="E53" s="78" t="s">
        <v>173</v>
      </c>
      <c r="F53" s="78" t="s">
        <v>134</v>
      </c>
      <c r="G53" s="79">
        <v>320747.28000000003</v>
      </c>
      <c r="H53" s="92">
        <v>320747.28000000003</v>
      </c>
      <c r="I53" s="84">
        <v>0</v>
      </c>
      <c r="J53" s="81">
        <f t="shared" si="0"/>
        <v>100</v>
      </c>
    </row>
    <row r="54" spans="1:10" ht="124.8" hidden="1" x14ac:dyDescent="0.3">
      <c r="A54" s="106" t="s">
        <v>175</v>
      </c>
      <c r="B54" s="77" t="s">
        <v>121</v>
      </c>
      <c r="C54" s="78" t="s">
        <v>39</v>
      </c>
      <c r="D54" s="78" t="s">
        <v>56</v>
      </c>
      <c r="E54" s="78" t="s">
        <v>176</v>
      </c>
      <c r="F54" s="78"/>
      <c r="G54" s="79">
        <f>G55+G56</f>
        <v>584381.05000000005</v>
      </c>
      <c r="H54" s="87">
        <f>H55+H56</f>
        <v>481524.41</v>
      </c>
      <c r="I54" s="68">
        <f>I55</f>
        <v>0</v>
      </c>
      <c r="J54" s="81">
        <f t="shared" si="0"/>
        <v>82.399045964957267</v>
      </c>
    </row>
    <row r="55" spans="1:10" ht="187.2" hidden="1" x14ac:dyDescent="0.3">
      <c r="A55" s="86" t="s">
        <v>177</v>
      </c>
      <c r="B55" s="77" t="s">
        <v>121</v>
      </c>
      <c r="C55" s="78" t="s">
        <v>39</v>
      </c>
      <c r="D55" s="78" t="s">
        <v>56</v>
      </c>
      <c r="E55" s="78" t="s">
        <v>176</v>
      </c>
      <c r="F55" s="78" t="s">
        <v>125</v>
      </c>
      <c r="G55" s="79">
        <v>538281.05000000005</v>
      </c>
      <c r="H55" s="92">
        <v>453925.41</v>
      </c>
      <c r="I55" s="84">
        <v>0</v>
      </c>
      <c r="J55" s="81">
        <f t="shared" si="0"/>
        <v>84.328699663493623</v>
      </c>
    </row>
    <row r="56" spans="1:10" ht="140.4" hidden="1" x14ac:dyDescent="0.3">
      <c r="A56" s="86" t="s">
        <v>178</v>
      </c>
      <c r="B56" s="77" t="s">
        <v>121</v>
      </c>
      <c r="C56" s="78" t="s">
        <v>39</v>
      </c>
      <c r="D56" s="78" t="s">
        <v>56</v>
      </c>
      <c r="E56" s="78" t="s">
        <v>176</v>
      </c>
      <c r="F56" s="78" t="s">
        <v>132</v>
      </c>
      <c r="G56" s="79">
        <v>46100</v>
      </c>
      <c r="H56" s="92">
        <v>27599</v>
      </c>
      <c r="I56" s="84"/>
      <c r="J56" s="81">
        <f t="shared" si="0"/>
        <v>59.867678958785255</v>
      </c>
    </row>
    <row r="57" spans="1:10" ht="62.4" hidden="1" x14ac:dyDescent="0.3">
      <c r="A57" s="107" t="s">
        <v>179</v>
      </c>
      <c r="B57" s="77" t="s">
        <v>121</v>
      </c>
      <c r="C57" s="78" t="s">
        <v>39</v>
      </c>
      <c r="D57" s="78" t="s">
        <v>56</v>
      </c>
      <c r="E57" s="78" t="s">
        <v>180</v>
      </c>
      <c r="F57" s="78"/>
      <c r="G57" s="79">
        <f>G58</f>
        <v>1032810.19</v>
      </c>
      <c r="H57" s="87">
        <f>H58</f>
        <v>1032809.64</v>
      </c>
      <c r="I57" s="84"/>
      <c r="J57" s="81">
        <f t="shared" si="0"/>
        <v>99.999946747233395</v>
      </c>
    </row>
    <row r="58" spans="1:10" ht="31.2" hidden="1" x14ac:dyDescent="0.3">
      <c r="A58" s="108" t="s">
        <v>181</v>
      </c>
      <c r="B58" s="77" t="s">
        <v>121</v>
      </c>
      <c r="C58" s="78" t="s">
        <v>39</v>
      </c>
      <c r="D58" s="78" t="s">
        <v>56</v>
      </c>
      <c r="E58" s="78" t="s">
        <v>180</v>
      </c>
      <c r="F58" s="78" t="s">
        <v>132</v>
      </c>
      <c r="G58" s="79">
        <v>1032810.19</v>
      </c>
      <c r="H58" s="92">
        <v>1032809.64</v>
      </c>
      <c r="I58" s="84"/>
      <c r="J58" s="81">
        <f t="shared" si="0"/>
        <v>99.999946747233395</v>
      </c>
    </row>
    <row r="59" spans="1:10" ht="31.2" hidden="1" x14ac:dyDescent="0.3">
      <c r="A59" s="106" t="s">
        <v>182</v>
      </c>
      <c r="B59" s="77" t="s">
        <v>121</v>
      </c>
      <c r="C59" s="78" t="s">
        <v>39</v>
      </c>
      <c r="D59" s="78" t="s">
        <v>56</v>
      </c>
      <c r="E59" s="78" t="s">
        <v>183</v>
      </c>
      <c r="F59" s="78"/>
      <c r="G59" s="79">
        <f>G60</f>
        <v>2800000</v>
      </c>
      <c r="H59" s="87">
        <f>H60</f>
        <v>0</v>
      </c>
      <c r="I59" s="68">
        <f>I60</f>
        <v>0</v>
      </c>
      <c r="J59" s="81">
        <f t="shared" si="0"/>
        <v>0</v>
      </c>
    </row>
    <row r="60" spans="1:10" ht="31.2" hidden="1" x14ac:dyDescent="0.3">
      <c r="A60" s="106" t="s">
        <v>184</v>
      </c>
      <c r="B60" s="77" t="s">
        <v>121</v>
      </c>
      <c r="C60" s="78" t="s">
        <v>39</v>
      </c>
      <c r="D60" s="78" t="s">
        <v>56</v>
      </c>
      <c r="E60" s="78" t="s">
        <v>183</v>
      </c>
      <c r="F60" s="78" t="s">
        <v>185</v>
      </c>
      <c r="G60" s="79">
        <v>2800000</v>
      </c>
      <c r="H60" s="92">
        <v>0</v>
      </c>
      <c r="I60" s="84">
        <v>0</v>
      </c>
      <c r="J60" s="81">
        <f t="shared" si="0"/>
        <v>0</v>
      </c>
    </row>
    <row r="61" spans="1:10" hidden="1" x14ac:dyDescent="0.3">
      <c r="A61" s="109"/>
      <c r="B61" s="110"/>
      <c r="C61" s="111"/>
      <c r="D61" s="111"/>
      <c r="E61" s="111"/>
      <c r="F61" s="111"/>
      <c r="G61" s="112"/>
      <c r="H61" s="113"/>
      <c r="I61" s="84"/>
      <c r="J61" s="81"/>
    </row>
    <row r="62" spans="1:10" hidden="1" x14ac:dyDescent="0.3">
      <c r="A62" s="70" t="s">
        <v>58</v>
      </c>
      <c r="B62" s="71" t="s">
        <v>121</v>
      </c>
      <c r="C62" s="72" t="s">
        <v>44</v>
      </c>
      <c r="D62" s="72" t="s">
        <v>40</v>
      </c>
      <c r="E62" s="72"/>
      <c r="F62" s="72"/>
      <c r="G62" s="73">
        <f>G63+G70</f>
        <v>672968.96</v>
      </c>
      <c r="H62" s="74">
        <f>H63+H70</f>
        <v>496230.04</v>
      </c>
      <c r="I62" s="68">
        <f>I63+I70</f>
        <v>472374.38</v>
      </c>
      <c r="J62" s="69">
        <f t="shared" si="0"/>
        <v>73.737433595748598</v>
      </c>
    </row>
    <row r="63" spans="1:10" ht="31.2" hidden="1" x14ac:dyDescent="0.3">
      <c r="A63" s="70" t="s">
        <v>61</v>
      </c>
      <c r="B63" s="71" t="s">
        <v>121</v>
      </c>
      <c r="C63" s="72" t="s">
        <v>44</v>
      </c>
      <c r="D63" s="72" t="s">
        <v>60</v>
      </c>
      <c r="E63" s="72"/>
      <c r="F63" s="72"/>
      <c r="G63" s="73">
        <f>G64+G66+G68</f>
        <v>670968.96</v>
      </c>
      <c r="H63" s="74">
        <f>H64+H66+H68</f>
        <v>494230.04</v>
      </c>
      <c r="I63" s="68">
        <f t="shared" ref="G63:I64" si="5">I64</f>
        <v>472374.38</v>
      </c>
      <c r="J63" s="69">
        <f t="shared" si="0"/>
        <v>73.659151088002645</v>
      </c>
    </row>
    <row r="64" spans="1:10" ht="140.4" hidden="1" x14ac:dyDescent="0.3">
      <c r="A64" s="89" t="s">
        <v>186</v>
      </c>
      <c r="B64" s="77" t="s">
        <v>121</v>
      </c>
      <c r="C64" s="78" t="s">
        <v>44</v>
      </c>
      <c r="D64" s="78" t="s">
        <v>60</v>
      </c>
      <c r="E64" s="78" t="s">
        <v>187</v>
      </c>
      <c r="F64" s="78"/>
      <c r="G64" s="79">
        <f t="shared" si="5"/>
        <v>79000</v>
      </c>
      <c r="H64" s="87">
        <f t="shared" si="5"/>
        <v>52251</v>
      </c>
      <c r="I64" s="68">
        <f t="shared" si="5"/>
        <v>472374.38</v>
      </c>
      <c r="J64" s="81">
        <f t="shared" si="0"/>
        <v>66.140506329113919</v>
      </c>
    </row>
    <row r="65" spans="1:10" ht="62.4" hidden="1" x14ac:dyDescent="0.3">
      <c r="A65" s="89" t="s">
        <v>188</v>
      </c>
      <c r="B65" s="94" t="s">
        <v>121</v>
      </c>
      <c r="C65" s="95" t="s">
        <v>44</v>
      </c>
      <c r="D65" s="95" t="s">
        <v>60</v>
      </c>
      <c r="E65" s="95" t="s">
        <v>187</v>
      </c>
      <c r="F65" s="95" t="s">
        <v>132</v>
      </c>
      <c r="G65" s="96">
        <v>79000</v>
      </c>
      <c r="H65" s="92">
        <v>52251</v>
      </c>
      <c r="I65" s="84">
        <v>472374.38</v>
      </c>
      <c r="J65" s="81">
        <f t="shared" si="0"/>
        <v>66.140506329113919</v>
      </c>
    </row>
    <row r="66" spans="1:10" ht="109.2" hidden="1" x14ac:dyDescent="0.3">
      <c r="A66" s="89" t="s">
        <v>189</v>
      </c>
      <c r="B66" s="94" t="s">
        <v>121</v>
      </c>
      <c r="C66" s="95" t="s">
        <v>44</v>
      </c>
      <c r="D66" s="95" t="s">
        <v>60</v>
      </c>
      <c r="E66" s="95" t="s">
        <v>190</v>
      </c>
      <c r="F66" s="95"/>
      <c r="G66" s="96">
        <f>G67</f>
        <v>341968.96</v>
      </c>
      <c r="H66" s="97">
        <f>H67</f>
        <v>336721.04</v>
      </c>
      <c r="I66" s="84"/>
      <c r="J66" s="81">
        <f t="shared" si="0"/>
        <v>98.46538118547366</v>
      </c>
    </row>
    <row r="67" spans="1:10" ht="46.8" hidden="1" x14ac:dyDescent="0.3">
      <c r="A67" s="89" t="s">
        <v>191</v>
      </c>
      <c r="B67" s="94" t="s">
        <v>121</v>
      </c>
      <c r="C67" s="95" t="s">
        <v>44</v>
      </c>
      <c r="D67" s="95" t="s">
        <v>60</v>
      </c>
      <c r="E67" s="95" t="s">
        <v>190</v>
      </c>
      <c r="F67" s="95" t="s">
        <v>132</v>
      </c>
      <c r="G67" s="96">
        <v>341968.96</v>
      </c>
      <c r="H67" s="92">
        <v>336721.04</v>
      </c>
      <c r="I67" s="84"/>
      <c r="J67" s="81">
        <f t="shared" si="0"/>
        <v>98.46538118547366</v>
      </c>
    </row>
    <row r="68" spans="1:10" ht="109.2" hidden="1" x14ac:dyDescent="0.3">
      <c r="A68" s="107" t="s">
        <v>192</v>
      </c>
      <c r="B68" s="94" t="s">
        <v>121</v>
      </c>
      <c r="C68" s="95" t="s">
        <v>44</v>
      </c>
      <c r="D68" s="95" t="s">
        <v>60</v>
      </c>
      <c r="E68" s="78" t="s">
        <v>193</v>
      </c>
      <c r="F68" s="95"/>
      <c r="G68" s="96">
        <f>G69</f>
        <v>250000</v>
      </c>
      <c r="H68" s="97">
        <f>H69</f>
        <v>105258</v>
      </c>
      <c r="I68" s="84"/>
      <c r="J68" s="81">
        <f t="shared" si="0"/>
        <v>42.103200000000001</v>
      </c>
    </row>
    <row r="69" spans="1:10" ht="140.4" hidden="1" x14ac:dyDescent="0.3">
      <c r="A69" s="108" t="s">
        <v>194</v>
      </c>
      <c r="B69" s="94" t="s">
        <v>121</v>
      </c>
      <c r="C69" s="95" t="s">
        <v>44</v>
      </c>
      <c r="D69" s="95" t="s">
        <v>60</v>
      </c>
      <c r="E69" s="78" t="s">
        <v>193</v>
      </c>
      <c r="F69" s="95" t="s">
        <v>132</v>
      </c>
      <c r="G69" s="96">
        <v>250000</v>
      </c>
      <c r="H69" s="92">
        <v>105258</v>
      </c>
      <c r="I69" s="84"/>
      <c r="J69" s="81">
        <f t="shared" si="0"/>
        <v>42.103200000000001</v>
      </c>
    </row>
    <row r="70" spans="1:10" hidden="1" x14ac:dyDescent="0.3">
      <c r="A70" s="114" t="s">
        <v>63</v>
      </c>
      <c r="B70" s="115" t="s">
        <v>121</v>
      </c>
      <c r="C70" s="116" t="s">
        <v>44</v>
      </c>
      <c r="D70" s="116" t="s">
        <v>62</v>
      </c>
      <c r="E70" s="116"/>
      <c r="F70" s="116"/>
      <c r="G70" s="117">
        <f t="shared" ref="G70:I71" si="6">G71</f>
        <v>2000</v>
      </c>
      <c r="H70" s="97">
        <f t="shared" si="6"/>
        <v>2000</v>
      </c>
      <c r="I70" s="98">
        <f t="shared" si="6"/>
        <v>0</v>
      </c>
      <c r="J70" s="69">
        <f t="shared" ref="J70:J121" si="7">H70/G70*100</f>
        <v>100</v>
      </c>
    </row>
    <row r="71" spans="1:10" ht="62.4" hidden="1" x14ac:dyDescent="0.3">
      <c r="A71" s="86" t="s">
        <v>195</v>
      </c>
      <c r="B71" s="94" t="s">
        <v>121</v>
      </c>
      <c r="C71" s="95" t="s">
        <v>44</v>
      </c>
      <c r="D71" s="95" t="s">
        <v>62</v>
      </c>
      <c r="E71" s="78" t="s">
        <v>196</v>
      </c>
      <c r="F71" s="78"/>
      <c r="G71" s="96">
        <f t="shared" si="6"/>
        <v>2000</v>
      </c>
      <c r="H71" s="97">
        <f t="shared" si="6"/>
        <v>2000</v>
      </c>
      <c r="I71" s="98">
        <f t="shared" si="6"/>
        <v>0</v>
      </c>
      <c r="J71" s="81">
        <f t="shared" si="7"/>
        <v>100</v>
      </c>
    </row>
    <row r="72" spans="1:10" ht="62.4" hidden="1" x14ac:dyDescent="0.3">
      <c r="A72" s="86" t="s">
        <v>197</v>
      </c>
      <c r="B72" s="94" t="s">
        <v>121</v>
      </c>
      <c r="C72" s="95" t="s">
        <v>44</v>
      </c>
      <c r="D72" s="95" t="s">
        <v>62</v>
      </c>
      <c r="E72" s="78" t="s">
        <v>196</v>
      </c>
      <c r="F72" s="78" t="s">
        <v>132</v>
      </c>
      <c r="G72" s="96">
        <v>2000</v>
      </c>
      <c r="H72" s="92">
        <v>2000</v>
      </c>
      <c r="I72" s="84">
        <v>0</v>
      </c>
      <c r="J72" s="81">
        <f t="shared" si="7"/>
        <v>100</v>
      </c>
    </row>
    <row r="73" spans="1:10" hidden="1" x14ac:dyDescent="0.3">
      <c r="A73" s="70" t="s">
        <v>66</v>
      </c>
      <c r="B73" s="115" t="s">
        <v>121</v>
      </c>
      <c r="C73" s="116" t="s">
        <v>46</v>
      </c>
      <c r="D73" s="116" t="s">
        <v>40</v>
      </c>
      <c r="E73" s="116"/>
      <c r="F73" s="116"/>
      <c r="G73" s="117">
        <f>G78+G97+G102+G119+G137+G74</f>
        <v>9618139.5700000003</v>
      </c>
      <c r="H73" s="118">
        <f>H78+H97+H102+H119+H137+H74</f>
        <v>7684453.9100000001</v>
      </c>
      <c r="I73" s="98">
        <f>I78+I97+I102+I119+I137+I74</f>
        <v>6430700</v>
      </c>
      <c r="J73" s="69">
        <f t="shared" si="7"/>
        <v>79.895429402673969</v>
      </c>
    </row>
    <row r="74" spans="1:10" hidden="1" x14ac:dyDescent="0.3">
      <c r="A74" s="99" t="s">
        <v>67</v>
      </c>
      <c r="B74" s="94" t="s">
        <v>121</v>
      </c>
      <c r="C74" s="95" t="s">
        <v>46</v>
      </c>
      <c r="D74" s="95" t="s">
        <v>39</v>
      </c>
      <c r="E74" s="95"/>
      <c r="F74" s="95"/>
      <c r="G74" s="98">
        <f>G75</f>
        <v>0</v>
      </c>
      <c r="H74" s="98">
        <f>H75</f>
        <v>0</v>
      </c>
      <c r="I74" s="98">
        <f>I75</f>
        <v>0</v>
      </c>
      <c r="J74" s="69" t="e">
        <f t="shared" si="7"/>
        <v>#DIV/0!</v>
      </c>
    </row>
    <row r="75" spans="1:10" ht="55.8" hidden="1" x14ac:dyDescent="0.3">
      <c r="A75" s="99" t="s">
        <v>198</v>
      </c>
      <c r="B75" s="94" t="s">
        <v>121</v>
      </c>
      <c r="C75" s="95" t="s">
        <v>46</v>
      </c>
      <c r="D75" s="95" t="s">
        <v>39</v>
      </c>
      <c r="E75" s="95" t="s">
        <v>199</v>
      </c>
      <c r="F75" s="95"/>
      <c r="G75" s="98">
        <f>G76+G77</f>
        <v>0</v>
      </c>
      <c r="H75" s="98">
        <f>H76+H77</f>
        <v>0</v>
      </c>
      <c r="I75" s="98">
        <f>I76+I77</f>
        <v>0</v>
      </c>
      <c r="J75" s="69" t="e">
        <f t="shared" si="7"/>
        <v>#DIV/0!</v>
      </c>
    </row>
    <row r="76" spans="1:10" ht="42" hidden="1" x14ac:dyDescent="0.3">
      <c r="A76" s="99" t="s">
        <v>200</v>
      </c>
      <c r="B76" s="94" t="s">
        <v>121</v>
      </c>
      <c r="C76" s="95" t="s">
        <v>46</v>
      </c>
      <c r="D76" s="95" t="s">
        <v>39</v>
      </c>
      <c r="E76" s="95" t="s">
        <v>199</v>
      </c>
      <c r="F76" s="95" t="s">
        <v>125</v>
      </c>
      <c r="G76" s="98">
        <v>0</v>
      </c>
      <c r="H76" s="98">
        <v>0</v>
      </c>
      <c r="I76" s="98">
        <v>0</v>
      </c>
      <c r="J76" s="69" t="e">
        <f t="shared" si="7"/>
        <v>#DIV/0!</v>
      </c>
    </row>
    <row r="77" spans="1:10" hidden="1" x14ac:dyDescent="0.3">
      <c r="A77" s="99" t="s">
        <v>201</v>
      </c>
      <c r="B77" s="94" t="s">
        <v>121</v>
      </c>
      <c r="C77" s="95" t="s">
        <v>46</v>
      </c>
      <c r="D77" s="95" t="s">
        <v>39</v>
      </c>
      <c r="E77" s="95" t="s">
        <v>199</v>
      </c>
      <c r="F77" s="95" t="s">
        <v>132</v>
      </c>
      <c r="G77" s="98">
        <v>0</v>
      </c>
      <c r="H77" s="98">
        <v>0</v>
      </c>
      <c r="I77" s="98">
        <v>0</v>
      </c>
      <c r="J77" s="69" t="e">
        <f t="shared" si="7"/>
        <v>#DIV/0!</v>
      </c>
    </row>
    <row r="78" spans="1:10" hidden="1" x14ac:dyDescent="0.3">
      <c r="A78" s="114" t="s">
        <v>68</v>
      </c>
      <c r="B78" s="115" t="s">
        <v>121</v>
      </c>
      <c r="C78" s="116" t="s">
        <v>46</v>
      </c>
      <c r="D78" s="116" t="s">
        <v>48</v>
      </c>
      <c r="E78" s="116"/>
      <c r="F78" s="116"/>
      <c r="G78" s="117">
        <f>G83+G85+G87+G79+G81+G89+G91+G93+G95</f>
        <v>120000</v>
      </c>
      <c r="H78" s="118">
        <f>H83+H85+H87+H79+H81+H89+H91+H93+H95</f>
        <v>120000</v>
      </c>
      <c r="I78" s="98">
        <f>I83+I85+I87+I79+I81</f>
        <v>2480700</v>
      </c>
      <c r="J78" s="69">
        <f t="shared" si="7"/>
        <v>100</v>
      </c>
    </row>
    <row r="79" spans="1:10" ht="93.6" hidden="1" x14ac:dyDescent="0.3">
      <c r="A79" s="89" t="s">
        <v>202</v>
      </c>
      <c r="B79" s="94" t="s">
        <v>121</v>
      </c>
      <c r="C79" s="95" t="s">
        <v>46</v>
      </c>
      <c r="D79" s="95" t="s">
        <v>48</v>
      </c>
      <c r="E79" s="95" t="s">
        <v>203</v>
      </c>
      <c r="F79" s="95"/>
      <c r="G79" s="96">
        <f>G80</f>
        <v>0</v>
      </c>
      <c r="H79" s="97">
        <f>H80</f>
        <v>0</v>
      </c>
      <c r="I79" s="98">
        <f>I80</f>
        <v>1347700</v>
      </c>
      <c r="J79" s="81">
        <v>0</v>
      </c>
    </row>
    <row r="80" spans="1:10" ht="62.4" hidden="1" x14ac:dyDescent="0.3">
      <c r="A80" s="88" t="s">
        <v>204</v>
      </c>
      <c r="B80" s="94" t="s">
        <v>121</v>
      </c>
      <c r="C80" s="95" t="s">
        <v>46</v>
      </c>
      <c r="D80" s="95" t="s">
        <v>48</v>
      </c>
      <c r="E80" s="95" t="s">
        <v>203</v>
      </c>
      <c r="F80" s="95" t="s">
        <v>132</v>
      </c>
      <c r="G80" s="79">
        <v>0</v>
      </c>
      <c r="H80" s="87">
        <v>0</v>
      </c>
      <c r="I80" s="68">
        <v>1347700</v>
      </c>
      <c r="J80" s="81">
        <v>0</v>
      </c>
    </row>
    <row r="81" spans="1:10" ht="78" hidden="1" x14ac:dyDescent="0.3">
      <c r="A81" s="89" t="s">
        <v>205</v>
      </c>
      <c r="B81" s="94" t="s">
        <v>121</v>
      </c>
      <c r="C81" s="95" t="s">
        <v>46</v>
      </c>
      <c r="D81" s="95" t="s">
        <v>48</v>
      </c>
      <c r="E81" s="95" t="s">
        <v>206</v>
      </c>
      <c r="F81" s="95"/>
      <c r="G81" s="79">
        <f>G82</f>
        <v>120000</v>
      </c>
      <c r="H81" s="87">
        <f>H82</f>
        <v>120000</v>
      </c>
      <c r="I81" s="68">
        <f>I82</f>
        <v>0</v>
      </c>
      <c r="J81" s="81">
        <f t="shared" si="7"/>
        <v>100</v>
      </c>
    </row>
    <row r="82" spans="1:10" ht="31.2" hidden="1" x14ac:dyDescent="0.3">
      <c r="A82" s="88" t="s">
        <v>207</v>
      </c>
      <c r="B82" s="94" t="s">
        <v>121</v>
      </c>
      <c r="C82" s="95" t="s">
        <v>46</v>
      </c>
      <c r="D82" s="95" t="s">
        <v>48</v>
      </c>
      <c r="E82" s="95" t="s">
        <v>206</v>
      </c>
      <c r="F82" s="95" t="s">
        <v>134</v>
      </c>
      <c r="G82" s="79">
        <v>120000</v>
      </c>
      <c r="H82" s="87">
        <v>120000</v>
      </c>
      <c r="I82" s="68">
        <v>0</v>
      </c>
      <c r="J82" s="81">
        <f t="shared" si="7"/>
        <v>100</v>
      </c>
    </row>
    <row r="83" spans="1:10" ht="93.6" hidden="1" x14ac:dyDescent="0.3">
      <c r="A83" s="89" t="s">
        <v>208</v>
      </c>
      <c r="B83" s="94" t="s">
        <v>121</v>
      </c>
      <c r="C83" s="95" t="s">
        <v>46</v>
      </c>
      <c r="D83" s="95" t="s">
        <v>48</v>
      </c>
      <c r="E83" s="95" t="s">
        <v>209</v>
      </c>
      <c r="F83" s="95"/>
      <c r="G83" s="96">
        <f>G84</f>
        <v>0</v>
      </c>
      <c r="H83" s="97">
        <f>H84</f>
        <v>0</v>
      </c>
      <c r="I83" s="98">
        <f>I84</f>
        <v>3000</v>
      </c>
      <c r="J83" s="81">
        <v>0</v>
      </c>
    </row>
    <row r="84" spans="1:10" ht="62.4" hidden="1" x14ac:dyDescent="0.3">
      <c r="A84" s="88" t="s">
        <v>210</v>
      </c>
      <c r="B84" s="94" t="s">
        <v>121</v>
      </c>
      <c r="C84" s="95" t="s">
        <v>46</v>
      </c>
      <c r="D84" s="95" t="s">
        <v>48</v>
      </c>
      <c r="E84" s="95" t="s">
        <v>209</v>
      </c>
      <c r="F84" s="119">
        <v>200</v>
      </c>
      <c r="G84" s="96">
        <v>0</v>
      </c>
      <c r="H84" s="92">
        <v>0</v>
      </c>
      <c r="I84" s="84">
        <v>3000</v>
      </c>
      <c r="J84" s="81">
        <v>0</v>
      </c>
    </row>
    <row r="85" spans="1:10" ht="78" hidden="1" x14ac:dyDescent="0.3">
      <c r="A85" s="89" t="s">
        <v>211</v>
      </c>
      <c r="B85" s="94" t="s">
        <v>121</v>
      </c>
      <c r="C85" s="95" t="s">
        <v>46</v>
      </c>
      <c r="D85" s="95" t="s">
        <v>48</v>
      </c>
      <c r="E85" s="95" t="s">
        <v>212</v>
      </c>
      <c r="F85" s="119"/>
      <c r="G85" s="96">
        <f>G86</f>
        <v>0</v>
      </c>
      <c r="H85" s="97">
        <f>H86</f>
        <v>0</v>
      </c>
      <c r="I85" s="98">
        <f>I86</f>
        <v>1060000</v>
      </c>
      <c r="J85" s="81">
        <v>0</v>
      </c>
    </row>
    <row r="86" spans="1:10" ht="46.8" hidden="1" x14ac:dyDescent="0.3">
      <c r="A86" s="88" t="s">
        <v>213</v>
      </c>
      <c r="B86" s="94" t="s">
        <v>121</v>
      </c>
      <c r="C86" s="95" t="s">
        <v>46</v>
      </c>
      <c r="D86" s="95" t="s">
        <v>48</v>
      </c>
      <c r="E86" s="95" t="s">
        <v>212</v>
      </c>
      <c r="F86" s="119">
        <v>200</v>
      </c>
      <c r="G86" s="96">
        <v>0</v>
      </c>
      <c r="H86" s="92">
        <v>0</v>
      </c>
      <c r="I86" s="84">
        <v>1060000</v>
      </c>
      <c r="J86" s="81">
        <v>0</v>
      </c>
    </row>
    <row r="87" spans="1:10" ht="78" hidden="1" x14ac:dyDescent="0.3">
      <c r="A87" s="89" t="s">
        <v>214</v>
      </c>
      <c r="B87" s="94" t="s">
        <v>121</v>
      </c>
      <c r="C87" s="95" t="s">
        <v>46</v>
      </c>
      <c r="D87" s="95" t="s">
        <v>48</v>
      </c>
      <c r="E87" s="95" t="s">
        <v>215</v>
      </c>
      <c r="F87" s="119"/>
      <c r="G87" s="96">
        <f>G88</f>
        <v>0</v>
      </c>
      <c r="H87" s="97">
        <f>H88</f>
        <v>0</v>
      </c>
      <c r="I87" s="98">
        <f>I88</f>
        <v>70000</v>
      </c>
      <c r="J87" s="81">
        <v>0</v>
      </c>
    </row>
    <row r="88" spans="1:10" ht="46.8" hidden="1" x14ac:dyDescent="0.3">
      <c r="A88" s="88" t="s">
        <v>216</v>
      </c>
      <c r="B88" s="94" t="s">
        <v>121</v>
      </c>
      <c r="C88" s="95" t="s">
        <v>46</v>
      </c>
      <c r="D88" s="95" t="s">
        <v>48</v>
      </c>
      <c r="E88" s="95" t="s">
        <v>215</v>
      </c>
      <c r="F88" s="119">
        <v>200</v>
      </c>
      <c r="G88" s="96">
        <v>0</v>
      </c>
      <c r="H88" s="92">
        <v>0</v>
      </c>
      <c r="I88" s="84">
        <v>70000</v>
      </c>
      <c r="J88" s="81">
        <v>0</v>
      </c>
    </row>
    <row r="89" spans="1:10" ht="78" hidden="1" x14ac:dyDescent="0.3">
      <c r="A89" s="89" t="s">
        <v>217</v>
      </c>
      <c r="B89" s="94" t="s">
        <v>121</v>
      </c>
      <c r="C89" s="95" t="s">
        <v>46</v>
      </c>
      <c r="D89" s="95" t="s">
        <v>48</v>
      </c>
      <c r="E89" s="95" t="s">
        <v>218</v>
      </c>
      <c r="F89" s="119"/>
      <c r="G89" s="96">
        <f>G90</f>
        <v>0</v>
      </c>
      <c r="H89" s="97">
        <f>H90</f>
        <v>0</v>
      </c>
      <c r="I89" s="84"/>
      <c r="J89" s="81">
        <v>0</v>
      </c>
    </row>
    <row r="90" spans="1:10" ht="62.4" hidden="1" x14ac:dyDescent="0.3">
      <c r="A90" s="88" t="s">
        <v>219</v>
      </c>
      <c r="B90" s="94" t="s">
        <v>121</v>
      </c>
      <c r="C90" s="95" t="s">
        <v>46</v>
      </c>
      <c r="D90" s="95" t="s">
        <v>48</v>
      </c>
      <c r="E90" s="95" t="s">
        <v>218</v>
      </c>
      <c r="F90" s="119">
        <v>200</v>
      </c>
      <c r="G90" s="96">
        <v>0</v>
      </c>
      <c r="H90" s="92">
        <v>0</v>
      </c>
      <c r="I90" s="84"/>
      <c r="J90" s="81">
        <v>0</v>
      </c>
    </row>
    <row r="91" spans="1:10" ht="62.4" hidden="1" x14ac:dyDescent="0.3">
      <c r="A91" s="89" t="s">
        <v>220</v>
      </c>
      <c r="B91" s="94" t="s">
        <v>121</v>
      </c>
      <c r="C91" s="95" t="s">
        <v>46</v>
      </c>
      <c r="D91" s="95" t="s">
        <v>48</v>
      </c>
      <c r="E91" s="95" t="s">
        <v>221</v>
      </c>
      <c r="F91" s="119"/>
      <c r="G91" s="96">
        <f>G92</f>
        <v>0</v>
      </c>
      <c r="H91" s="97">
        <f>H92</f>
        <v>0</v>
      </c>
      <c r="I91" s="84"/>
      <c r="J91" s="81">
        <v>0</v>
      </c>
    </row>
    <row r="92" spans="1:10" ht="78" hidden="1" x14ac:dyDescent="0.3">
      <c r="A92" s="88" t="s">
        <v>222</v>
      </c>
      <c r="B92" s="94" t="s">
        <v>121</v>
      </c>
      <c r="C92" s="95" t="s">
        <v>46</v>
      </c>
      <c r="D92" s="95" t="s">
        <v>48</v>
      </c>
      <c r="E92" s="95" t="s">
        <v>221</v>
      </c>
      <c r="F92" s="119">
        <v>200</v>
      </c>
      <c r="G92" s="96">
        <v>0</v>
      </c>
      <c r="H92" s="97">
        <f>H93</f>
        <v>0</v>
      </c>
      <c r="I92" s="84"/>
      <c r="J92" s="81">
        <v>0</v>
      </c>
    </row>
    <row r="93" spans="1:10" ht="93.6" hidden="1" x14ac:dyDescent="0.3">
      <c r="A93" s="120" t="s">
        <v>223</v>
      </c>
      <c r="B93" s="94" t="s">
        <v>121</v>
      </c>
      <c r="C93" s="95" t="s">
        <v>46</v>
      </c>
      <c r="D93" s="95" t="s">
        <v>48</v>
      </c>
      <c r="E93" s="95" t="s">
        <v>224</v>
      </c>
      <c r="F93" s="119"/>
      <c r="G93" s="96">
        <f>G94</f>
        <v>0</v>
      </c>
      <c r="H93" s="97">
        <f>H94</f>
        <v>0</v>
      </c>
      <c r="I93" s="84"/>
      <c r="J93" s="81">
        <v>0</v>
      </c>
    </row>
    <row r="94" spans="1:10" ht="46.8" hidden="1" x14ac:dyDescent="0.3">
      <c r="A94" s="121" t="s">
        <v>225</v>
      </c>
      <c r="B94" s="94" t="s">
        <v>121</v>
      </c>
      <c r="C94" s="95" t="s">
        <v>46</v>
      </c>
      <c r="D94" s="95" t="s">
        <v>48</v>
      </c>
      <c r="E94" s="95" t="s">
        <v>224</v>
      </c>
      <c r="F94" s="119">
        <v>800</v>
      </c>
      <c r="G94" s="96">
        <v>0</v>
      </c>
      <c r="H94" s="92">
        <v>0</v>
      </c>
      <c r="I94" s="84"/>
      <c r="J94" s="81">
        <v>0</v>
      </c>
    </row>
    <row r="95" spans="1:10" ht="124.8" hidden="1" x14ac:dyDescent="0.3">
      <c r="A95" s="121" t="s">
        <v>226</v>
      </c>
      <c r="B95" s="94" t="s">
        <v>121</v>
      </c>
      <c r="C95" s="95" t="s">
        <v>46</v>
      </c>
      <c r="D95" s="95" t="s">
        <v>48</v>
      </c>
      <c r="E95" s="95" t="s">
        <v>227</v>
      </c>
      <c r="F95" s="119"/>
      <c r="G95" s="96">
        <f>G96</f>
        <v>0</v>
      </c>
      <c r="H95" s="97">
        <f>H96</f>
        <v>0</v>
      </c>
      <c r="I95" s="84"/>
      <c r="J95" s="81">
        <v>0</v>
      </c>
    </row>
    <row r="96" spans="1:10" ht="124.8" hidden="1" x14ac:dyDescent="0.3">
      <c r="A96" s="122" t="s">
        <v>228</v>
      </c>
      <c r="B96" s="94" t="s">
        <v>121</v>
      </c>
      <c r="C96" s="95" t="s">
        <v>46</v>
      </c>
      <c r="D96" s="95" t="s">
        <v>48</v>
      </c>
      <c r="E96" s="95" t="s">
        <v>227</v>
      </c>
      <c r="F96" s="119">
        <v>800</v>
      </c>
      <c r="G96" s="96">
        <v>0</v>
      </c>
      <c r="H96" s="92">
        <v>0</v>
      </c>
      <c r="I96" s="84"/>
      <c r="J96" s="81">
        <v>0</v>
      </c>
    </row>
    <row r="97" spans="1:10" hidden="1" x14ac:dyDescent="0.3">
      <c r="A97" s="114" t="s">
        <v>69</v>
      </c>
      <c r="B97" s="115" t="s">
        <v>121</v>
      </c>
      <c r="C97" s="116" t="s">
        <v>46</v>
      </c>
      <c r="D97" s="116" t="s">
        <v>50</v>
      </c>
      <c r="E97" s="123"/>
      <c r="F97" s="123"/>
      <c r="G97" s="117">
        <f>G100+G98</f>
        <v>530000</v>
      </c>
      <c r="H97" s="118">
        <f>H100+H98</f>
        <v>530000</v>
      </c>
      <c r="I97" s="98">
        <f>I100+I98</f>
        <v>0</v>
      </c>
      <c r="J97" s="69">
        <f t="shared" si="7"/>
        <v>100</v>
      </c>
    </row>
    <row r="98" spans="1:10" ht="62.4" hidden="1" x14ac:dyDescent="0.3">
      <c r="A98" s="89" t="s">
        <v>229</v>
      </c>
      <c r="B98" s="94" t="s">
        <v>121</v>
      </c>
      <c r="C98" s="95" t="s">
        <v>46</v>
      </c>
      <c r="D98" s="95" t="s">
        <v>50</v>
      </c>
      <c r="E98" s="119" t="s">
        <v>230</v>
      </c>
      <c r="F98" s="119"/>
      <c r="G98" s="96">
        <f>G99</f>
        <v>0</v>
      </c>
      <c r="H98" s="97">
        <f>H99</f>
        <v>0</v>
      </c>
      <c r="I98" s="98">
        <f>I99</f>
        <v>0</v>
      </c>
      <c r="J98" s="81">
        <v>0</v>
      </c>
    </row>
    <row r="99" spans="1:10" ht="31.2" hidden="1" x14ac:dyDescent="0.3">
      <c r="A99" s="88" t="s">
        <v>231</v>
      </c>
      <c r="B99" s="94" t="s">
        <v>121</v>
      </c>
      <c r="C99" s="95" t="s">
        <v>46</v>
      </c>
      <c r="D99" s="95" t="s">
        <v>50</v>
      </c>
      <c r="E99" s="119" t="s">
        <v>230</v>
      </c>
      <c r="F99" s="119">
        <v>200</v>
      </c>
      <c r="G99" s="96">
        <v>0</v>
      </c>
      <c r="H99" s="97">
        <v>0</v>
      </c>
      <c r="I99" s="98">
        <v>0</v>
      </c>
      <c r="J99" s="81">
        <v>0</v>
      </c>
    </row>
    <row r="100" spans="1:10" ht="78" hidden="1" x14ac:dyDescent="0.3">
      <c r="A100" s="89" t="s">
        <v>232</v>
      </c>
      <c r="B100" s="94" t="s">
        <v>121</v>
      </c>
      <c r="C100" s="95" t="s">
        <v>46</v>
      </c>
      <c r="D100" s="95" t="s">
        <v>50</v>
      </c>
      <c r="E100" s="95" t="s">
        <v>233</v>
      </c>
      <c r="F100" s="95"/>
      <c r="G100" s="96">
        <f>G101</f>
        <v>530000</v>
      </c>
      <c r="H100" s="97">
        <f>H101</f>
        <v>530000</v>
      </c>
      <c r="I100" s="98">
        <f>I101</f>
        <v>0</v>
      </c>
      <c r="J100" s="81">
        <f t="shared" si="7"/>
        <v>100</v>
      </c>
    </row>
    <row r="101" spans="1:10" ht="46.8" hidden="1" x14ac:dyDescent="0.3">
      <c r="A101" s="88" t="s">
        <v>234</v>
      </c>
      <c r="B101" s="94" t="s">
        <v>121</v>
      </c>
      <c r="C101" s="95" t="s">
        <v>46</v>
      </c>
      <c r="D101" s="95" t="s">
        <v>50</v>
      </c>
      <c r="E101" s="95" t="s">
        <v>233</v>
      </c>
      <c r="F101" s="95" t="s">
        <v>132</v>
      </c>
      <c r="G101" s="96">
        <v>530000</v>
      </c>
      <c r="H101" s="97">
        <v>530000</v>
      </c>
      <c r="I101" s="98">
        <v>0</v>
      </c>
      <c r="J101" s="81">
        <f t="shared" si="7"/>
        <v>100</v>
      </c>
    </row>
    <row r="102" spans="1:10" hidden="1" x14ac:dyDescent="0.3">
      <c r="A102" s="114" t="s">
        <v>71</v>
      </c>
      <c r="B102" s="115" t="s">
        <v>121</v>
      </c>
      <c r="C102" s="116" t="s">
        <v>46</v>
      </c>
      <c r="D102" s="116" t="s">
        <v>70</v>
      </c>
      <c r="E102" s="123"/>
      <c r="F102" s="116"/>
      <c r="G102" s="117">
        <f>G105+G107+G109+G103+G111+G113+G115+G117</f>
        <v>5192215.6500000004</v>
      </c>
      <c r="H102" s="118">
        <f>H105+H107+H109+H103+H111+H113+H115+H117</f>
        <v>4816031.67</v>
      </c>
      <c r="I102" s="98">
        <f>I105+I107+I109+I103</f>
        <v>0</v>
      </c>
      <c r="J102" s="69">
        <f t="shared" si="7"/>
        <v>92.754846767583686</v>
      </c>
    </row>
    <row r="103" spans="1:10" ht="62.4" hidden="1" x14ac:dyDescent="0.3">
      <c r="A103" s="124" t="s">
        <v>235</v>
      </c>
      <c r="B103" s="94" t="s">
        <v>121</v>
      </c>
      <c r="C103" s="95" t="s">
        <v>46</v>
      </c>
      <c r="D103" s="95" t="s">
        <v>70</v>
      </c>
      <c r="E103" s="119" t="s">
        <v>236</v>
      </c>
      <c r="F103" s="95"/>
      <c r="G103" s="96">
        <f>G104</f>
        <v>1762666.67</v>
      </c>
      <c r="H103" s="97">
        <f>H104</f>
        <v>1762666.67</v>
      </c>
      <c r="I103" s="98">
        <f>I104</f>
        <v>0</v>
      </c>
      <c r="J103" s="81">
        <f t="shared" si="7"/>
        <v>100</v>
      </c>
    </row>
    <row r="104" spans="1:10" ht="46.8" hidden="1" x14ac:dyDescent="0.3">
      <c r="A104" s="120" t="s">
        <v>237</v>
      </c>
      <c r="B104" s="94" t="s">
        <v>121</v>
      </c>
      <c r="C104" s="95" t="s">
        <v>46</v>
      </c>
      <c r="D104" s="95" t="s">
        <v>70</v>
      </c>
      <c r="E104" s="119" t="s">
        <v>236</v>
      </c>
      <c r="F104" s="95" t="s">
        <v>132</v>
      </c>
      <c r="G104" s="96">
        <v>1762666.67</v>
      </c>
      <c r="H104" s="97">
        <v>1762666.67</v>
      </c>
      <c r="I104" s="98">
        <v>0</v>
      </c>
      <c r="J104" s="81">
        <f t="shared" si="7"/>
        <v>100</v>
      </c>
    </row>
    <row r="105" spans="1:10" ht="62.4" hidden="1" x14ac:dyDescent="0.3">
      <c r="A105" s="89" t="s">
        <v>238</v>
      </c>
      <c r="B105" s="94" t="s">
        <v>121</v>
      </c>
      <c r="C105" s="95" t="s">
        <v>46</v>
      </c>
      <c r="D105" s="95" t="s">
        <v>70</v>
      </c>
      <c r="E105" s="95" t="s">
        <v>239</v>
      </c>
      <c r="F105" s="119"/>
      <c r="G105" s="96">
        <f>G106</f>
        <v>2401183.98</v>
      </c>
      <c r="H105" s="97">
        <f>H106</f>
        <v>2025000</v>
      </c>
      <c r="I105" s="98">
        <f>I106</f>
        <v>0</v>
      </c>
      <c r="J105" s="81">
        <f t="shared" si="7"/>
        <v>84.333396227306167</v>
      </c>
    </row>
    <row r="106" spans="1:10" ht="46.8" hidden="1" x14ac:dyDescent="0.3">
      <c r="A106" s="88" t="s">
        <v>240</v>
      </c>
      <c r="B106" s="94" t="s">
        <v>121</v>
      </c>
      <c r="C106" s="95" t="s">
        <v>46</v>
      </c>
      <c r="D106" s="95" t="s">
        <v>70</v>
      </c>
      <c r="E106" s="95" t="s">
        <v>239</v>
      </c>
      <c r="F106" s="119">
        <v>200</v>
      </c>
      <c r="G106" s="96">
        <v>2401183.98</v>
      </c>
      <c r="H106" s="125">
        <v>2025000</v>
      </c>
      <c r="I106" s="84">
        <v>0</v>
      </c>
      <c r="J106" s="81">
        <f t="shared" si="7"/>
        <v>84.333396227306167</v>
      </c>
    </row>
    <row r="107" spans="1:10" ht="78" hidden="1" x14ac:dyDescent="0.3">
      <c r="A107" s="89" t="s">
        <v>241</v>
      </c>
      <c r="B107" s="94" t="s">
        <v>121</v>
      </c>
      <c r="C107" s="95" t="s">
        <v>46</v>
      </c>
      <c r="D107" s="95" t="s">
        <v>70</v>
      </c>
      <c r="E107" s="95" t="s">
        <v>242</v>
      </c>
      <c r="F107" s="119"/>
      <c r="G107" s="96">
        <f>G108</f>
        <v>276495</v>
      </c>
      <c r="H107" s="97">
        <f>H108</f>
        <v>276495</v>
      </c>
      <c r="I107" s="98">
        <f>I108</f>
        <v>0</v>
      </c>
      <c r="J107" s="81">
        <f t="shared" si="7"/>
        <v>100</v>
      </c>
    </row>
    <row r="108" spans="1:10" ht="46.8" hidden="1" x14ac:dyDescent="0.3">
      <c r="A108" s="126" t="s">
        <v>243</v>
      </c>
      <c r="B108" s="94" t="s">
        <v>121</v>
      </c>
      <c r="C108" s="95" t="s">
        <v>46</v>
      </c>
      <c r="D108" s="95" t="s">
        <v>70</v>
      </c>
      <c r="E108" s="95" t="s">
        <v>242</v>
      </c>
      <c r="F108" s="119">
        <v>200</v>
      </c>
      <c r="G108" s="96">
        <v>276495</v>
      </c>
      <c r="H108" s="92">
        <v>276495</v>
      </c>
      <c r="I108" s="84">
        <v>0</v>
      </c>
      <c r="J108" s="81">
        <f t="shared" si="7"/>
        <v>100</v>
      </c>
    </row>
    <row r="109" spans="1:10" ht="31.2" hidden="1" x14ac:dyDescent="0.3">
      <c r="A109" s="127" t="s">
        <v>244</v>
      </c>
      <c r="B109" s="94" t="s">
        <v>121</v>
      </c>
      <c r="C109" s="95" t="s">
        <v>46</v>
      </c>
      <c r="D109" s="95" t="s">
        <v>70</v>
      </c>
      <c r="E109" s="95" t="s">
        <v>245</v>
      </c>
      <c r="F109" s="119"/>
      <c r="G109" s="96">
        <f>G110</f>
        <v>91920</v>
      </c>
      <c r="H109" s="97">
        <f>H110</f>
        <v>91920</v>
      </c>
      <c r="I109" s="98">
        <f>I110</f>
        <v>0</v>
      </c>
      <c r="J109" s="81">
        <f t="shared" si="7"/>
        <v>100</v>
      </c>
    </row>
    <row r="110" spans="1:10" ht="46.8" hidden="1" x14ac:dyDescent="0.3">
      <c r="A110" s="126" t="s">
        <v>246</v>
      </c>
      <c r="B110" s="94" t="s">
        <v>121</v>
      </c>
      <c r="C110" s="95" t="s">
        <v>46</v>
      </c>
      <c r="D110" s="95" t="s">
        <v>70</v>
      </c>
      <c r="E110" s="95" t="s">
        <v>245</v>
      </c>
      <c r="F110" s="119">
        <v>200</v>
      </c>
      <c r="G110" s="96">
        <v>91920</v>
      </c>
      <c r="H110" s="92">
        <v>91920</v>
      </c>
      <c r="I110" s="84">
        <v>0</v>
      </c>
      <c r="J110" s="81">
        <f t="shared" si="7"/>
        <v>100</v>
      </c>
    </row>
    <row r="111" spans="1:10" ht="62.4" hidden="1" x14ac:dyDescent="0.3">
      <c r="A111" s="127" t="s">
        <v>247</v>
      </c>
      <c r="B111" s="94" t="s">
        <v>121</v>
      </c>
      <c r="C111" s="95" t="s">
        <v>46</v>
      </c>
      <c r="D111" s="95" t="s">
        <v>70</v>
      </c>
      <c r="E111" s="95" t="s">
        <v>248</v>
      </c>
      <c r="F111" s="119"/>
      <c r="G111" s="96">
        <f>G112</f>
        <v>561000</v>
      </c>
      <c r="H111" s="97">
        <f>H112</f>
        <v>561000</v>
      </c>
      <c r="I111" s="84"/>
      <c r="J111" s="81">
        <f t="shared" si="7"/>
        <v>100</v>
      </c>
    </row>
    <row r="112" spans="1:10" ht="31.2" hidden="1" x14ac:dyDescent="0.3">
      <c r="A112" s="126" t="s">
        <v>249</v>
      </c>
      <c r="B112" s="94" t="s">
        <v>121</v>
      </c>
      <c r="C112" s="95" t="s">
        <v>46</v>
      </c>
      <c r="D112" s="95" t="s">
        <v>70</v>
      </c>
      <c r="E112" s="95" t="s">
        <v>248</v>
      </c>
      <c r="F112" s="119">
        <v>200</v>
      </c>
      <c r="G112" s="96">
        <v>561000</v>
      </c>
      <c r="H112" s="92">
        <v>561000</v>
      </c>
      <c r="I112" s="84"/>
      <c r="J112" s="81">
        <f t="shared" si="7"/>
        <v>100</v>
      </c>
    </row>
    <row r="113" spans="1:10" ht="78" hidden="1" x14ac:dyDescent="0.3">
      <c r="A113" s="89" t="s">
        <v>250</v>
      </c>
      <c r="B113" s="94" t="s">
        <v>121</v>
      </c>
      <c r="C113" s="95" t="s">
        <v>46</v>
      </c>
      <c r="D113" s="95" t="s">
        <v>70</v>
      </c>
      <c r="E113" s="95" t="s">
        <v>251</v>
      </c>
      <c r="F113" s="119"/>
      <c r="G113" s="96">
        <f>G114</f>
        <v>0</v>
      </c>
      <c r="H113" s="97">
        <f>H114</f>
        <v>0</v>
      </c>
      <c r="I113" s="84"/>
      <c r="J113" s="81">
        <v>0</v>
      </c>
    </row>
    <row r="114" spans="1:10" ht="31.2" hidden="1" x14ac:dyDescent="0.3">
      <c r="A114" s="88" t="s">
        <v>252</v>
      </c>
      <c r="B114" s="94" t="s">
        <v>121</v>
      </c>
      <c r="C114" s="95" t="s">
        <v>46</v>
      </c>
      <c r="D114" s="95" t="s">
        <v>70</v>
      </c>
      <c r="E114" s="95" t="s">
        <v>251</v>
      </c>
      <c r="F114" s="119">
        <v>800</v>
      </c>
      <c r="G114" s="96">
        <v>0</v>
      </c>
      <c r="H114" s="92">
        <v>0</v>
      </c>
      <c r="I114" s="84"/>
      <c r="J114" s="81">
        <v>0</v>
      </c>
    </row>
    <row r="115" spans="1:10" ht="78" hidden="1" x14ac:dyDescent="0.3">
      <c r="A115" s="89" t="s">
        <v>253</v>
      </c>
      <c r="B115" s="94" t="s">
        <v>121</v>
      </c>
      <c r="C115" s="95" t="s">
        <v>46</v>
      </c>
      <c r="D115" s="95" t="s">
        <v>70</v>
      </c>
      <c r="E115" s="95" t="s">
        <v>254</v>
      </c>
      <c r="F115" s="119"/>
      <c r="G115" s="96">
        <f>G116</f>
        <v>0</v>
      </c>
      <c r="H115" s="97">
        <f>H116</f>
        <v>0</v>
      </c>
      <c r="I115" s="84"/>
      <c r="J115" s="81">
        <v>0</v>
      </c>
    </row>
    <row r="116" spans="1:10" ht="31.2" hidden="1" x14ac:dyDescent="0.3">
      <c r="A116" s="88" t="s">
        <v>255</v>
      </c>
      <c r="B116" s="94" t="s">
        <v>121</v>
      </c>
      <c r="C116" s="95" t="s">
        <v>46</v>
      </c>
      <c r="D116" s="95" t="s">
        <v>70</v>
      </c>
      <c r="E116" s="95" t="s">
        <v>254</v>
      </c>
      <c r="F116" s="119">
        <v>200</v>
      </c>
      <c r="G116" s="96">
        <v>0</v>
      </c>
      <c r="H116" s="92">
        <v>0</v>
      </c>
      <c r="I116" s="84"/>
      <c r="J116" s="81">
        <v>0</v>
      </c>
    </row>
    <row r="117" spans="1:10" ht="109.2" hidden="1" x14ac:dyDescent="0.3">
      <c r="A117" s="89" t="s">
        <v>256</v>
      </c>
      <c r="B117" s="94" t="s">
        <v>121</v>
      </c>
      <c r="C117" s="95" t="s">
        <v>46</v>
      </c>
      <c r="D117" s="95" t="s">
        <v>70</v>
      </c>
      <c r="E117" s="95" t="s">
        <v>257</v>
      </c>
      <c r="F117" s="119"/>
      <c r="G117" s="96">
        <f>G118</f>
        <v>98950</v>
      </c>
      <c r="H117" s="97">
        <f>H118</f>
        <v>98950</v>
      </c>
      <c r="I117" s="84"/>
      <c r="J117" s="81">
        <f t="shared" si="7"/>
        <v>100</v>
      </c>
    </row>
    <row r="118" spans="1:10" ht="78" hidden="1" x14ac:dyDescent="0.3">
      <c r="A118" s="86" t="s">
        <v>258</v>
      </c>
      <c r="B118" s="94" t="s">
        <v>121</v>
      </c>
      <c r="C118" s="95" t="s">
        <v>46</v>
      </c>
      <c r="D118" s="95" t="s">
        <v>70</v>
      </c>
      <c r="E118" s="95" t="s">
        <v>257</v>
      </c>
      <c r="F118" s="119">
        <v>200</v>
      </c>
      <c r="G118" s="96">
        <v>98950</v>
      </c>
      <c r="H118" s="92">
        <v>98950</v>
      </c>
      <c r="I118" s="84"/>
      <c r="J118" s="81">
        <f t="shared" si="7"/>
        <v>100</v>
      </c>
    </row>
    <row r="119" spans="1:10" hidden="1" x14ac:dyDescent="0.3">
      <c r="A119" s="114" t="s">
        <v>72</v>
      </c>
      <c r="B119" s="115" t="s">
        <v>121</v>
      </c>
      <c r="C119" s="116" t="s">
        <v>46</v>
      </c>
      <c r="D119" s="116" t="s">
        <v>60</v>
      </c>
      <c r="E119" s="123"/>
      <c r="F119" s="123"/>
      <c r="G119" s="117">
        <f>G128+G126+G120+G124+G122+G130+G135</f>
        <v>3588389.92</v>
      </c>
      <c r="H119" s="117">
        <f>H128+H126+H120+H124+H122+H130+H135</f>
        <v>2131520.7399999998</v>
      </c>
      <c r="I119" s="98">
        <f>I128+I126+I120+I124+I122</f>
        <v>3000000</v>
      </c>
      <c r="J119" s="69">
        <f t="shared" si="7"/>
        <v>59.400477303759672</v>
      </c>
    </row>
    <row r="120" spans="1:10" ht="78" hidden="1" x14ac:dyDescent="0.3">
      <c r="A120" s="89" t="s">
        <v>259</v>
      </c>
      <c r="B120" s="94" t="s">
        <v>121</v>
      </c>
      <c r="C120" s="95" t="s">
        <v>46</v>
      </c>
      <c r="D120" s="95" t="s">
        <v>60</v>
      </c>
      <c r="E120" s="95" t="s">
        <v>260</v>
      </c>
      <c r="F120" s="119"/>
      <c r="G120" s="96">
        <f>G121</f>
        <v>3490772.92</v>
      </c>
      <c r="H120" s="97">
        <f>H121</f>
        <v>2101535.7999999998</v>
      </c>
      <c r="I120" s="98">
        <f>I121</f>
        <v>3000000</v>
      </c>
      <c r="J120" s="81">
        <f t="shared" si="7"/>
        <v>60.202592610922387</v>
      </c>
    </row>
    <row r="121" spans="1:10" ht="46.8" hidden="1" x14ac:dyDescent="0.3">
      <c r="A121" s="88" t="s">
        <v>261</v>
      </c>
      <c r="B121" s="94" t="s">
        <v>121</v>
      </c>
      <c r="C121" s="95" t="s">
        <v>46</v>
      </c>
      <c r="D121" s="95" t="s">
        <v>60</v>
      </c>
      <c r="E121" s="95" t="s">
        <v>260</v>
      </c>
      <c r="F121" s="119">
        <v>200</v>
      </c>
      <c r="G121" s="96">
        <v>3490772.92</v>
      </c>
      <c r="H121" s="97">
        <v>2101535.7999999998</v>
      </c>
      <c r="I121" s="98">
        <v>3000000</v>
      </c>
      <c r="J121" s="81">
        <f t="shared" si="7"/>
        <v>60.202592610922387</v>
      </c>
    </row>
    <row r="122" spans="1:10" ht="93.6" hidden="1" x14ac:dyDescent="0.3">
      <c r="A122" s="89" t="s">
        <v>262</v>
      </c>
      <c r="B122" s="94" t="s">
        <v>121</v>
      </c>
      <c r="C122" s="95" t="s">
        <v>46</v>
      </c>
      <c r="D122" s="95" t="s">
        <v>60</v>
      </c>
      <c r="E122" s="119" t="s">
        <v>263</v>
      </c>
      <c r="F122" s="95"/>
      <c r="G122" s="96">
        <f>G123</f>
        <v>0</v>
      </c>
      <c r="H122" s="97">
        <f>H123</f>
        <v>0</v>
      </c>
      <c r="I122" s="98">
        <f>I123</f>
        <v>0</v>
      </c>
      <c r="J122" s="81">
        <v>0</v>
      </c>
    </row>
    <row r="123" spans="1:10" ht="62.4" hidden="1" x14ac:dyDescent="0.3">
      <c r="A123" s="88" t="s">
        <v>264</v>
      </c>
      <c r="B123" s="94" t="s">
        <v>121</v>
      </c>
      <c r="C123" s="95" t="s">
        <v>46</v>
      </c>
      <c r="D123" s="95" t="s">
        <v>60</v>
      </c>
      <c r="E123" s="119" t="s">
        <v>263</v>
      </c>
      <c r="F123" s="95" t="s">
        <v>132</v>
      </c>
      <c r="G123" s="96">
        <v>0</v>
      </c>
      <c r="H123" s="97">
        <v>0</v>
      </c>
      <c r="I123" s="98">
        <v>0</v>
      </c>
      <c r="J123" s="81">
        <v>0</v>
      </c>
    </row>
    <row r="124" spans="1:10" hidden="1" x14ac:dyDescent="0.3">
      <c r="A124" s="99"/>
      <c r="B124" s="94"/>
      <c r="C124" s="95"/>
      <c r="D124" s="95"/>
      <c r="E124" s="95"/>
      <c r="F124" s="119"/>
      <c r="G124" s="98"/>
      <c r="H124" s="98"/>
      <c r="I124" s="98"/>
      <c r="J124" s="81" t="e">
        <f t="shared" ref="J124:J199" si="8">H124/G124*100</f>
        <v>#DIV/0!</v>
      </c>
    </row>
    <row r="125" spans="1:10" hidden="1" x14ac:dyDescent="0.3">
      <c r="A125" s="99"/>
      <c r="B125" s="94"/>
      <c r="C125" s="95"/>
      <c r="D125" s="95"/>
      <c r="E125" s="95"/>
      <c r="F125" s="119"/>
      <c r="G125" s="98"/>
      <c r="H125" s="98"/>
      <c r="I125" s="98"/>
      <c r="J125" s="81" t="e">
        <f t="shared" si="8"/>
        <v>#DIV/0!</v>
      </c>
    </row>
    <row r="126" spans="1:10" ht="55.8" hidden="1" x14ac:dyDescent="0.3">
      <c r="A126" s="99" t="s">
        <v>265</v>
      </c>
      <c r="B126" s="94" t="s">
        <v>121</v>
      </c>
      <c r="C126" s="95" t="s">
        <v>46</v>
      </c>
      <c r="D126" s="95" t="s">
        <v>60</v>
      </c>
      <c r="E126" s="95" t="s">
        <v>266</v>
      </c>
      <c r="F126" s="119"/>
      <c r="G126" s="98">
        <f>G127</f>
        <v>0</v>
      </c>
      <c r="H126" s="98">
        <f>H127</f>
        <v>0</v>
      </c>
      <c r="I126" s="98">
        <f>I127</f>
        <v>0</v>
      </c>
      <c r="J126" s="81" t="e">
        <f t="shared" si="8"/>
        <v>#DIV/0!</v>
      </c>
    </row>
    <row r="127" spans="1:10" hidden="1" x14ac:dyDescent="0.3">
      <c r="A127" s="99" t="s">
        <v>201</v>
      </c>
      <c r="B127" s="94" t="s">
        <v>121</v>
      </c>
      <c r="C127" s="95" t="s">
        <v>267</v>
      </c>
      <c r="D127" s="95" t="s">
        <v>60</v>
      </c>
      <c r="E127" s="95" t="s">
        <v>266</v>
      </c>
      <c r="F127" s="119">
        <v>200</v>
      </c>
      <c r="G127" s="98">
        <f>2351196-2351196</f>
        <v>0</v>
      </c>
      <c r="H127" s="98">
        <f>2372706-2372706</f>
        <v>0</v>
      </c>
      <c r="I127" s="98">
        <f>2372706-2372706</f>
        <v>0</v>
      </c>
      <c r="J127" s="81" t="e">
        <f t="shared" si="8"/>
        <v>#DIV/0!</v>
      </c>
    </row>
    <row r="128" spans="1:10" ht="93.6" hidden="1" x14ac:dyDescent="0.3">
      <c r="A128" s="76" t="s">
        <v>268</v>
      </c>
      <c r="B128" s="77" t="s">
        <v>121</v>
      </c>
      <c r="C128" s="78" t="s">
        <v>46</v>
      </c>
      <c r="D128" s="78" t="s">
        <v>60</v>
      </c>
      <c r="E128" s="78" t="s">
        <v>269</v>
      </c>
      <c r="F128" s="90"/>
      <c r="G128" s="68">
        <f>G129</f>
        <v>0</v>
      </c>
      <c r="H128" s="68">
        <f>H129</f>
        <v>0</v>
      </c>
      <c r="I128" s="68">
        <f>I129</f>
        <v>0</v>
      </c>
      <c r="J128" s="81" t="e">
        <f t="shared" si="8"/>
        <v>#DIV/0!</v>
      </c>
    </row>
    <row r="129" spans="1:10" hidden="1" x14ac:dyDescent="0.3">
      <c r="A129" s="99" t="s">
        <v>201</v>
      </c>
      <c r="B129" s="77" t="s">
        <v>121</v>
      </c>
      <c r="C129" s="78" t="s">
        <v>46</v>
      </c>
      <c r="D129" s="78" t="s">
        <v>60</v>
      </c>
      <c r="E129" s="78" t="s">
        <v>269</v>
      </c>
      <c r="F129" s="90">
        <v>200</v>
      </c>
      <c r="G129" s="68">
        <v>0</v>
      </c>
      <c r="H129" s="84">
        <v>0</v>
      </c>
      <c r="I129" s="84">
        <v>0</v>
      </c>
      <c r="J129" s="81" t="e">
        <f t="shared" si="8"/>
        <v>#DIV/0!</v>
      </c>
    </row>
    <row r="130" spans="1:10" ht="46.8" hidden="1" x14ac:dyDescent="0.3">
      <c r="A130" s="128" t="s">
        <v>270</v>
      </c>
      <c r="B130" s="94" t="s">
        <v>121</v>
      </c>
      <c r="C130" s="95" t="s">
        <v>46</v>
      </c>
      <c r="D130" s="95" t="s">
        <v>60</v>
      </c>
      <c r="E130" s="78"/>
      <c r="F130" s="90"/>
      <c r="G130" s="98">
        <f>G131</f>
        <v>0</v>
      </c>
      <c r="H130" s="84">
        <f>H131</f>
        <v>0</v>
      </c>
      <c r="I130" s="84"/>
      <c r="J130" s="81">
        <v>0</v>
      </c>
    </row>
    <row r="131" spans="1:10" hidden="1" x14ac:dyDescent="0.3">
      <c r="A131" s="89" t="s">
        <v>271</v>
      </c>
      <c r="B131" s="94" t="s">
        <v>121</v>
      </c>
      <c r="C131" s="95" t="s">
        <v>46</v>
      </c>
      <c r="D131" s="95" t="s">
        <v>60</v>
      </c>
      <c r="E131" s="129" t="s">
        <v>272</v>
      </c>
      <c r="F131" s="90">
        <v>500</v>
      </c>
      <c r="G131" s="98">
        <f>G133</f>
        <v>0</v>
      </c>
      <c r="H131" s="84">
        <f>H133</f>
        <v>0</v>
      </c>
      <c r="I131" s="84"/>
      <c r="J131" s="81">
        <v>0</v>
      </c>
    </row>
    <row r="132" spans="1:10" hidden="1" x14ac:dyDescent="0.3">
      <c r="A132" s="89" t="s">
        <v>107</v>
      </c>
      <c r="B132" s="77"/>
      <c r="C132" s="78"/>
      <c r="D132" s="78"/>
      <c r="E132" s="78"/>
      <c r="F132" s="90"/>
      <c r="G132" s="98"/>
      <c r="H132" s="84"/>
      <c r="I132" s="84"/>
      <c r="J132" s="81"/>
    </row>
    <row r="133" spans="1:10" hidden="1" x14ac:dyDescent="0.3">
      <c r="A133" s="89" t="s">
        <v>273</v>
      </c>
      <c r="B133" s="94" t="s">
        <v>121</v>
      </c>
      <c r="C133" s="95" t="s">
        <v>46</v>
      </c>
      <c r="D133" s="95" t="s">
        <v>60</v>
      </c>
      <c r="E133" s="129" t="s">
        <v>272</v>
      </c>
      <c r="F133" s="130" t="s">
        <v>274</v>
      </c>
      <c r="G133" s="131">
        <v>0</v>
      </c>
      <c r="H133" s="84">
        <v>0</v>
      </c>
      <c r="I133" s="84"/>
      <c r="J133" s="81">
        <v>0</v>
      </c>
    </row>
    <row r="134" spans="1:10" hidden="1" x14ac:dyDescent="0.3">
      <c r="A134" s="99"/>
      <c r="B134" s="77"/>
      <c r="C134" s="78"/>
      <c r="D134" s="78"/>
      <c r="E134" s="78"/>
      <c r="F134" s="90"/>
      <c r="G134" s="68"/>
      <c r="H134" s="84"/>
      <c r="I134" s="84"/>
      <c r="J134" s="69"/>
    </row>
    <row r="135" spans="1:10" ht="42" hidden="1" x14ac:dyDescent="0.3">
      <c r="A135" s="132" t="s">
        <v>275</v>
      </c>
      <c r="B135" s="133" t="s">
        <v>121</v>
      </c>
      <c r="C135" s="134" t="s">
        <v>46</v>
      </c>
      <c r="D135" s="134" t="s">
        <v>60</v>
      </c>
      <c r="E135" s="111" t="s">
        <v>272</v>
      </c>
      <c r="F135" s="55"/>
      <c r="G135" s="79">
        <f>G136</f>
        <v>97617</v>
      </c>
      <c r="H135" s="92">
        <f>H136</f>
        <v>29984.94</v>
      </c>
      <c r="I135" s="135"/>
      <c r="J135" s="81">
        <f>H135/G135*100</f>
        <v>30.716924306217152</v>
      </c>
    </row>
    <row r="136" spans="1:10" ht="31.2" hidden="1" x14ac:dyDescent="0.3">
      <c r="A136" s="136" t="s">
        <v>181</v>
      </c>
      <c r="B136" s="133" t="s">
        <v>121</v>
      </c>
      <c r="C136" s="134" t="s">
        <v>46</v>
      </c>
      <c r="D136" s="134" t="s">
        <v>60</v>
      </c>
      <c r="E136" s="111" t="s">
        <v>272</v>
      </c>
      <c r="F136" s="137">
        <v>200</v>
      </c>
      <c r="G136" s="79">
        <v>97617</v>
      </c>
      <c r="H136" s="92">
        <v>29984.94</v>
      </c>
      <c r="I136" s="135"/>
      <c r="J136" s="81">
        <f>H136/G136*100</f>
        <v>30.716924306217152</v>
      </c>
    </row>
    <row r="137" spans="1:10" hidden="1" x14ac:dyDescent="0.3">
      <c r="A137" s="70" t="s">
        <v>74</v>
      </c>
      <c r="B137" s="71" t="s">
        <v>121</v>
      </c>
      <c r="C137" s="72" t="s">
        <v>46</v>
      </c>
      <c r="D137" s="72" t="s">
        <v>73</v>
      </c>
      <c r="E137" s="91"/>
      <c r="F137" s="91"/>
      <c r="G137" s="73">
        <f>G138+G140+G142</f>
        <v>187534</v>
      </c>
      <c r="H137" s="74">
        <f>H138+H140+H142</f>
        <v>86901.5</v>
      </c>
      <c r="I137" s="68">
        <f>I138+I140+I142</f>
        <v>950000</v>
      </c>
      <c r="J137" s="69">
        <f t="shared" si="8"/>
        <v>46.339063849755249</v>
      </c>
    </row>
    <row r="138" spans="1:10" ht="93.6" hidden="1" x14ac:dyDescent="0.3">
      <c r="A138" s="89" t="s">
        <v>276</v>
      </c>
      <c r="B138" s="77" t="s">
        <v>121</v>
      </c>
      <c r="C138" s="78" t="s">
        <v>46</v>
      </c>
      <c r="D138" s="78" t="s">
        <v>73</v>
      </c>
      <c r="E138" s="78" t="s">
        <v>277</v>
      </c>
      <c r="F138" s="90"/>
      <c r="G138" s="79">
        <f>G139</f>
        <v>181000</v>
      </c>
      <c r="H138" s="87">
        <f>H139</f>
        <v>80367.5</v>
      </c>
      <c r="I138" s="68">
        <f>I139</f>
        <v>800000</v>
      </c>
      <c r="J138" s="81">
        <f t="shared" si="8"/>
        <v>44.401933701657455</v>
      </c>
    </row>
    <row r="139" spans="1:10" ht="31.2" hidden="1" x14ac:dyDescent="0.3">
      <c r="A139" s="88" t="s">
        <v>278</v>
      </c>
      <c r="B139" s="77" t="s">
        <v>121</v>
      </c>
      <c r="C139" s="78" t="s">
        <v>46</v>
      </c>
      <c r="D139" s="78" t="s">
        <v>73</v>
      </c>
      <c r="E139" s="78" t="s">
        <v>277</v>
      </c>
      <c r="F139" s="90">
        <v>800</v>
      </c>
      <c r="G139" s="79">
        <v>181000</v>
      </c>
      <c r="H139" s="92">
        <v>80367.5</v>
      </c>
      <c r="I139" s="84">
        <v>800000</v>
      </c>
      <c r="J139" s="81">
        <f t="shared" si="8"/>
        <v>44.401933701657455</v>
      </c>
    </row>
    <row r="140" spans="1:10" ht="109.2" hidden="1" x14ac:dyDescent="0.3">
      <c r="A140" s="89" t="s">
        <v>279</v>
      </c>
      <c r="B140" s="77" t="s">
        <v>121</v>
      </c>
      <c r="C140" s="78" t="s">
        <v>46</v>
      </c>
      <c r="D140" s="78" t="s">
        <v>73</v>
      </c>
      <c r="E140" s="78" t="s">
        <v>280</v>
      </c>
      <c r="F140" s="90"/>
      <c r="G140" s="79">
        <f>G141</f>
        <v>0</v>
      </c>
      <c r="H140" s="87">
        <f>H141</f>
        <v>0</v>
      </c>
      <c r="I140" s="68">
        <f>I141</f>
        <v>150000</v>
      </c>
      <c r="J140" s="81">
        <v>0</v>
      </c>
    </row>
    <row r="141" spans="1:10" ht="62.4" hidden="1" x14ac:dyDescent="0.3">
      <c r="A141" s="86" t="s">
        <v>281</v>
      </c>
      <c r="B141" s="77" t="s">
        <v>121</v>
      </c>
      <c r="C141" s="78" t="s">
        <v>46</v>
      </c>
      <c r="D141" s="78" t="s">
        <v>73</v>
      </c>
      <c r="E141" s="78" t="s">
        <v>280</v>
      </c>
      <c r="F141" s="90">
        <v>800</v>
      </c>
      <c r="G141" s="79">
        <v>0</v>
      </c>
      <c r="H141" s="92">
        <v>0</v>
      </c>
      <c r="I141" s="84">
        <v>150000</v>
      </c>
      <c r="J141" s="81">
        <v>0</v>
      </c>
    </row>
    <row r="142" spans="1:10" ht="93.6" hidden="1" x14ac:dyDescent="0.3">
      <c r="A142" s="89" t="s">
        <v>282</v>
      </c>
      <c r="B142" s="77" t="s">
        <v>121</v>
      </c>
      <c r="C142" s="78" t="s">
        <v>46</v>
      </c>
      <c r="D142" s="78" t="s">
        <v>73</v>
      </c>
      <c r="E142" s="78" t="s">
        <v>283</v>
      </c>
      <c r="F142" s="90"/>
      <c r="G142" s="79">
        <f>G143</f>
        <v>6534</v>
      </c>
      <c r="H142" s="87">
        <f>H143</f>
        <v>6534</v>
      </c>
      <c r="I142" s="68">
        <f>I143</f>
        <v>0</v>
      </c>
      <c r="J142" s="81">
        <f t="shared" si="8"/>
        <v>100</v>
      </c>
    </row>
    <row r="143" spans="1:10" ht="62.4" hidden="1" x14ac:dyDescent="0.3">
      <c r="A143" s="88" t="s">
        <v>284</v>
      </c>
      <c r="B143" s="77" t="s">
        <v>121</v>
      </c>
      <c r="C143" s="78" t="s">
        <v>46</v>
      </c>
      <c r="D143" s="78" t="s">
        <v>73</v>
      </c>
      <c r="E143" s="78" t="s">
        <v>283</v>
      </c>
      <c r="F143" s="90">
        <v>200</v>
      </c>
      <c r="G143" s="79">
        <v>6534</v>
      </c>
      <c r="H143" s="92">
        <v>6534</v>
      </c>
      <c r="I143" s="84">
        <v>0</v>
      </c>
      <c r="J143" s="81">
        <f t="shared" si="8"/>
        <v>100</v>
      </c>
    </row>
    <row r="144" spans="1:10" ht="18" hidden="1" x14ac:dyDescent="0.35">
      <c r="A144" s="63" t="s">
        <v>75</v>
      </c>
      <c r="B144" s="71" t="s">
        <v>121</v>
      </c>
      <c r="C144" s="72" t="s">
        <v>48</v>
      </c>
      <c r="D144" s="72" t="s">
        <v>40</v>
      </c>
      <c r="E144" s="91"/>
      <c r="F144" s="91"/>
      <c r="G144" s="74">
        <f>G160+G170+G145</f>
        <v>485349626.55999994</v>
      </c>
      <c r="H144" s="74">
        <f>H160+H170+H145</f>
        <v>103505339.72999999</v>
      </c>
      <c r="I144" s="68">
        <f>I160+I170+I145</f>
        <v>15041300</v>
      </c>
      <c r="J144" s="69">
        <f t="shared" si="8"/>
        <v>21.325933732268865</v>
      </c>
    </row>
    <row r="145" spans="1:10" hidden="1" x14ac:dyDescent="0.3">
      <c r="A145" s="70" t="s">
        <v>76</v>
      </c>
      <c r="B145" s="71" t="s">
        <v>121</v>
      </c>
      <c r="C145" s="72" t="s">
        <v>48</v>
      </c>
      <c r="D145" s="72" t="s">
        <v>39</v>
      </c>
      <c r="E145" s="91"/>
      <c r="F145" s="91"/>
      <c r="G145" s="73">
        <f>G154+G146+G158+G153+G148+G150+G156</f>
        <v>377008478.84999996</v>
      </c>
      <c r="H145" s="74">
        <f>H154+H146+H158+H153+H148+H150+H156</f>
        <v>3961108.0599999996</v>
      </c>
      <c r="I145" s="68">
        <f>I154+I146+I158+I153+I148+I150+I156</f>
        <v>6000000</v>
      </c>
      <c r="J145" s="69">
        <f t="shared" si="8"/>
        <v>1.0506681632420267</v>
      </c>
    </row>
    <row r="146" spans="1:10" ht="140.4" hidden="1" x14ac:dyDescent="0.3">
      <c r="A146" s="89" t="s">
        <v>285</v>
      </c>
      <c r="B146" s="77" t="s">
        <v>121</v>
      </c>
      <c r="C146" s="78" t="s">
        <v>48</v>
      </c>
      <c r="D146" s="78" t="s">
        <v>39</v>
      </c>
      <c r="E146" s="78" t="s">
        <v>286</v>
      </c>
      <c r="F146" s="90"/>
      <c r="G146" s="79">
        <f>G147</f>
        <v>2500000</v>
      </c>
      <c r="H146" s="87">
        <f>H147</f>
        <v>0</v>
      </c>
      <c r="I146" s="68">
        <f>I147</f>
        <v>6000000</v>
      </c>
      <c r="J146" s="81">
        <v>0</v>
      </c>
    </row>
    <row r="147" spans="1:10" ht="78" hidden="1" x14ac:dyDescent="0.3">
      <c r="A147" s="88" t="s">
        <v>287</v>
      </c>
      <c r="B147" s="77" t="s">
        <v>121</v>
      </c>
      <c r="C147" s="78" t="s">
        <v>48</v>
      </c>
      <c r="D147" s="78" t="s">
        <v>39</v>
      </c>
      <c r="E147" s="78" t="s">
        <v>286</v>
      </c>
      <c r="F147" s="90">
        <v>400</v>
      </c>
      <c r="G147" s="79">
        <v>2500000</v>
      </c>
      <c r="H147" s="92">
        <v>0</v>
      </c>
      <c r="I147" s="84">
        <v>6000000</v>
      </c>
      <c r="J147" s="81">
        <v>0</v>
      </c>
    </row>
    <row r="148" spans="1:10" ht="140.4" hidden="1" x14ac:dyDescent="0.3">
      <c r="A148" s="76" t="s">
        <v>288</v>
      </c>
      <c r="B148" s="77" t="s">
        <v>121</v>
      </c>
      <c r="C148" s="78" t="s">
        <v>48</v>
      </c>
      <c r="D148" s="78" t="s">
        <v>39</v>
      </c>
      <c r="E148" s="78" t="s">
        <v>289</v>
      </c>
      <c r="F148" s="90"/>
      <c r="G148" s="79">
        <f>G149</f>
        <v>350366761.58999997</v>
      </c>
      <c r="H148" s="87">
        <f>H149</f>
        <v>1899570.7</v>
      </c>
      <c r="I148" s="68">
        <f>I149</f>
        <v>0</v>
      </c>
      <c r="J148" s="81">
        <f t="shared" si="8"/>
        <v>0.54216635487326337</v>
      </c>
    </row>
    <row r="149" spans="1:10" ht="31.2" hidden="1" x14ac:dyDescent="0.3">
      <c r="A149" s="76" t="s">
        <v>290</v>
      </c>
      <c r="B149" s="77" t="s">
        <v>121</v>
      </c>
      <c r="C149" s="78" t="s">
        <v>48</v>
      </c>
      <c r="D149" s="78" t="s">
        <v>39</v>
      </c>
      <c r="E149" s="78" t="s">
        <v>289</v>
      </c>
      <c r="F149" s="90">
        <v>400</v>
      </c>
      <c r="G149" s="79">
        <v>350366761.58999997</v>
      </c>
      <c r="H149" s="92">
        <v>1899570.7</v>
      </c>
      <c r="I149" s="84">
        <v>0</v>
      </c>
      <c r="J149" s="81">
        <f t="shared" si="8"/>
        <v>0.54216635487326337</v>
      </c>
    </row>
    <row r="150" spans="1:10" ht="140.4" hidden="1" x14ac:dyDescent="0.3">
      <c r="A150" s="127" t="s">
        <v>291</v>
      </c>
      <c r="B150" s="77" t="s">
        <v>121</v>
      </c>
      <c r="C150" s="78" t="s">
        <v>48</v>
      </c>
      <c r="D150" s="78" t="s">
        <v>39</v>
      </c>
      <c r="E150" s="78" t="s">
        <v>292</v>
      </c>
      <c r="F150" s="90"/>
      <c r="G150" s="79">
        <f>G151</f>
        <v>23812799.059999999</v>
      </c>
      <c r="H150" s="87">
        <f>H151</f>
        <v>1826543.3</v>
      </c>
      <c r="I150" s="68">
        <f>I151</f>
        <v>0</v>
      </c>
      <c r="J150" s="81">
        <f t="shared" si="8"/>
        <v>7.6704267121128602</v>
      </c>
    </row>
    <row r="151" spans="1:10" ht="78" hidden="1" x14ac:dyDescent="0.3">
      <c r="A151" s="126" t="s">
        <v>287</v>
      </c>
      <c r="B151" s="77" t="s">
        <v>121</v>
      </c>
      <c r="C151" s="78" t="s">
        <v>48</v>
      </c>
      <c r="D151" s="78" t="s">
        <v>39</v>
      </c>
      <c r="E151" s="78" t="s">
        <v>292</v>
      </c>
      <c r="F151" s="90">
        <v>400</v>
      </c>
      <c r="G151" s="79">
        <v>23812799.059999999</v>
      </c>
      <c r="H151" s="92">
        <v>1826543.3</v>
      </c>
      <c r="I151" s="84">
        <v>0</v>
      </c>
      <c r="J151" s="81">
        <f t="shared" si="8"/>
        <v>7.6704267121128602</v>
      </c>
    </row>
    <row r="152" spans="1:10" ht="31.2" hidden="1" x14ac:dyDescent="0.3">
      <c r="A152" s="120" t="s">
        <v>293</v>
      </c>
      <c r="B152" s="77" t="s">
        <v>121</v>
      </c>
      <c r="C152" s="78" t="s">
        <v>48</v>
      </c>
      <c r="D152" s="78" t="s">
        <v>39</v>
      </c>
      <c r="E152" s="78" t="s">
        <v>294</v>
      </c>
      <c r="F152" s="90"/>
      <c r="G152" s="79">
        <f>G153</f>
        <v>328918.2</v>
      </c>
      <c r="H152" s="87">
        <f>H153</f>
        <v>234994.06</v>
      </c>
      <c r="I152" s="68">
        <f>I153</f>
        <v>0</v>
      </c>
      <c r="J152" s="81">
        <f t="shared" si="8"/>
        <v>71.444529369308228</v>
      </c>
    </row>
    <row r="153" spans="1:10" ht="31.2" hidden="1" x14ac:dyDescent="0.3">
      <c r="A153" s="76" t="s">
        <v>201</v>
      </c>
      <c r="B153" s="77" t="s">
        <v>121</v>
      </c>
      <c r="C153" s="78" t="s">
        <v>48</v>
      </c>
      <c r="D153" s="78" t="s">
        <v>39</v>
      </c>
      <c r="E153" s="78" t="s">
        <v>294</v>
      </c>
      <c r="F153" s="90">
        <v>200</v>
      </c>
      <c r="G153" s="79">
        <v>328918.2</v>
      </c>
      <c r="H153" s="92">
        <v>234994.06</v>
      </c>
      <c r="I153" s="84">
        <v>0</v>
      </c>
      <c r="J153" s="81">
        <f t="shared" si="8"/>
        <v>71.444529369308228</v>
      </c>
    </row>
    <row r="154" spans="1:10" ht="124.8" hidden="1" x14ac:dyDescent="0.3">
      <c r="A154" s="76" t="s">
        <v>295</v>
      </c>
      <c r="B154" s="77" t="s">
        <v>121</v>
      </c>
      <c r="C154" s="78" t="s">
        <v>48</v>
      </c>
      <c r="D154" s="78" t="s">
        <v>39</v>
      </c>
      <c r="E154" s="78" t="s">
        <v>296</v>
      </c>
      <c r="F154" s="90"/>
      <c r="G154" s="68">
        <f>G155</f>
        <v>0</v>
      </c>
      <c r="H154" s="68">
        <f>H155</f>
        <v>0</v>
      </c>
      <c r="I154" s="68">
        <f>I155</f>
        <v>0</v>
      </c>
      <c r="J154" s="69" t="e">
        <f t="shared" si="8"/>
        <v>#DIV/0!</v>
      </c>
    </row>
    <row r="155" spans="1:10" ht="31.2" hidden="1" x14ac:dyDescent="0.3">
      <c r="A155" s="76" t="s">
        <v>290</v>
      </c>
      <c r="B155" s="77" t="s">
        <v>121</v>
      </c>
      <c r="C155" s="78" t="s">
        <v>48</v>
      </c>
      <c r="D155" s="78" t="s">
        <v>39</v>
      </c>
      <c r="E155" s="78" t="s">
        <v>296</v>
      </c>
      <c r="F155" s="90">
        <v>400</v>
      </c>
      <c r="G155" s="68">
        <f>2670405-2670405</f>
        <v>0</v>
      </c>
      <c r="H155" s="84">
        <v>0</v>
      </c>
      <c r="I155" s="84">
        <v>0</v>
      </c>
      <c r="J155" s="69" t="e">
        <f t="shared" si="8"/>
        <v>#DIV/0!</v>
      </c>
    </row>
    <row r="156" spans="1:10" hidden="1" x14ac:dyDescent="0.3">
      <c r="A156" s="76"/>
      <c r="B156" s="77"/>
      <c r="C156" s="78"/>
      <c r="D156" s="78"/>
      <c r="E156" s="78"/>
      <c r="F156" s="90"/>
      <c r="G156" s="68"/>
      <c r="H156" s="68"/>
      <c r="I156" s="68"/>
      <c r="J156" s="69"/>
    </row>
    <row r="157" spans="1:10" hidden="1" x14ac:dyDescent="0.3">
      <c r="A157" s="76"/>
      <c r="B157" s="77"/>
      <c r="C157" s="78"/>
      <c r="D157" s="78"/>
      <c r="E157" s="78"/>
      <c r="F157" s="90"/>
      <c r="G157" s="68"/>
      <c r="H157" s="84"/>
      <c r="I157" s="84"/>
      <c r="J157" s="69"/>
    </row>
    <row r="158" spans="1:10" hidden="1" x14ac:dyDescent="0.3">
      <c r="A158" s="76"/>
      <c r="B158" s="77"/>
      <c r="C158" s="78"/>
      <c r="D158" s="78"/>
      <c r="E158" s="78"/>
      <c r="F158" s="90"/>
      <c r="G158" s="68"/>
      <c r="H158" s="68"/>
      <c r="I158" s="68"/>
      <c r="J158" s="69"/>
    </row>
    <row r="159" spans="1:10" hidden="1" x14ac:dyDescent="0.3">
      <c r="A159" s="76"/>
      <c r="B159" s="77"/>
      <c r="C159" s="78"/>
      <c r="D159" s="78"/>
      <c r="E159" s="78"/>
      <c r="F159" s="90"/>
      <c r="G159" s="68"/>
      <c r="H159" s="84"/>
      <c r="I159" s="84"/>
      <c r="J159" s="69"/>
    </row>
    <row r="160" spans="1:10" hidden="1" x14ac:dyDescent="0.3">
      <c r="A160" s="70" t="s">
        <v>77</v>
      </c>
      <c r="B160" s="71" t="s">
        <v>121</v>
      </c>
      <c r="C160" s="72" t="s">
        <v>48</v>
      </c>
      <c r="D160" s="72" t="s">
        <v>42</v>
      </c>
      <c r="E160" s="91"/>
      <c r="F160" s="91"/>
      <c r="G160" s="73">
        <f>G166+G163+G161+G168</f>
        <v>105854436.06</v>
      </c>
      <c r="H160" s="74">
        <f>H166+H163+H161+H168</f>
        <v>97105378.209999993</v>
      </c>
      <c r="I160" s="68">
        <f>I166+I163+I161</f>
        <v>9041300</v>
      </c>
      <c r="J160" s="69">
        <f t="shared" si="8"/>
        <v>91.734821727224642</v>
      </c>
    </row>
    <row r="161" spans="1:10" ht="62.4" hidden="1" x14ac:dyDescent="0.3">
      <c r="A161" s="89" t="s">
        <v>297</v>
      </c>
      <c r="B161" s="77" t="s">
        <v>121</v>
      </c>
      <c r="C161" s="78" t="s">
        <v>48</v>
      </c>
      <c r="D161" s="78" t="s">
        <v>42</v>
      </c>
      <c r="E161" s="78" t="s">
        <v>298</v>
      </c>
      <c r="F161" s="90"/>
      <c r="G161" s="79">
        <f>G162</f>
        <v>495802</v>
      </c>
      <c r="H161" s="87">
        <f>H162</f>
        <v>429302</v>
      </c>
      <c r="I161" s="68">
        <f>I162</f>
        <v>9000000</v>
      </c>
      <c r="J161" s="81">
        <f t="shared" si="8"/>
        <v>86.587387707189563</v>
      </c>
    </row>
    <row r="162" spans="1:10" ht="46.8" hidden="1" x14ac:dyDescent="0.3">
      <c r="A162" s="138" t="s">
        <v>299</v>
      </c>
      <c r="B162" s="110" t="s">
        <v>121</v>
      </c>
      <c r="C162" s="111" t="s">
        <v>48</v>
      </c>
      <c r="D162" s="111" t="s">
        <v>42</v>
      </c>
      <c r="E162" s="111" t="s">
        <v>298</v>
      </c>
      <c r="F162" s="137">
        <v>200</v>
      </c>
      <c r="G162" s="79">
        <v>495802</v>
      </c>
      <c r="H162" s="87">
        <v>429302</v>
      </c>
      <c r="I162" s="112">
        <v>9000000</v>
      </c>
      <c r="J162" s="139">
        <f t="shared" si="8"/>
        <v>86.587387707189563</v>
      </c>
    </row>
    <row r="163" spans="1:10" ht="31.2" hidden="1" x14ac:dyDescent="0.3">
      <c r="A163" s="88" t="s">
        <v>300</v>
      </c>
      <c r="B163" s="77" t="s">
        <v>121</v>
      </c>
      <c r="C163" s="78" t="s">
        <v>48</v>
      </c>
      <c r="D163" s="78" t="s">
        <v>42</v>
      </c>
      <c r="E163" s="140" t="s">
        <v>301</v>
      </c>
      <c r="F163" s="90"/>
      <c r="G163" s="79">
        <f>G164+G165</f>
        <v>17736647.199999999</v>
      </c>
      <c r="H163" s="87">
        <f>H164+H165</f>
        <v>9451680.5999999996</v>
      </c>
      <c r="I163" s="68">
        <f>I164+I165</f>
        <v>41300</v>
      </c>
      <c r="J163" s="81">
        <f t="shared" si="8"/>
        <v>53.288992521653135</v>
      </c>
    </row>
    <row r="164" spans="1:10" ht="124.8" hidden="1" x14ac:dyDescent="0.3">
      <c r="A164" s="88" t="s">
        <v>302</v>
      </c>
      <c r="B164" s="77" t="s">
        <v>121</v>
      </c>
      <c r="C164" s="78" t="s">
        <v>48</v>
      </c>
      <c r="D164" s="78" t="s">
        <v>42</v>
      </c>
      <c r="E164" s="140" t="s">
        <v>301</v>
      </c>
      <c r="F164" s="90">
        <v>200</v>
      </c>
      <c r="G164" s="79">
        <v>17736647.199999999</v>
      </c>
      <c r="H164" s="87">
        <v>9451680.5999999996</v>
      </c>
      <c r="I164" s="68">
        <v>41300</v>
      </c>
      <c r="J164" s="81">
        <f t="shared" si="8"/>
        <v>53.288992521653135</v>
      </c>
    </row>
    <row r="165" spans="1:10" hidden="1" x14ac:dyDescent="0.3">
      <c r="A165" s="76"/>
      <c r="B165" s="77"/>
      <c r="C165" s="78"/>
      <c r="D165" s="78"/>
      <c r="E165" s="140"/>
      <c r="F165" s="90"/>
      <c r="G165" s="68"/>
      <c r="H165" s="68"/>
      <c r="I165" s="68"/>
      <c r="J165" s="81" t="e">
        <f t="shared" si="8"/>
        <v>#DIV/0!</v>
      </c>
    </row>
    <row r="166" spans="1:10" ht="140.4" hidden="1" x14ac:dyDescent="0.3">
      <c r="A166" s="106" t="s">
        <v>303</v>
      </c>
      <c r="B166" s="77" t="s">
        <v>121</v>
      </c>
      <c r="C166" s="78" t="s">
        <v>48</v>
      </c>
      <c r="D166" s="78" t="s">
        <v>42</v>
      </c>
      <c r="E166" s="78" t="s">
        <v>304</v>
      </c>
      <c r="F166" s="90"/>
      <c r="G166" s="79">
        <f>G167</f>
        <v>83821986.859999999</v>
      </c>
      <c r="H166" s="87">
        <f>H167</f>
        <v>83424395.609999999</v>
      </c>
      <c r="I166" s="68">
        <f>I167</f>
        <v>0</v>
      </c>
      <c r="J166" s="81">
        <f t="shared" si="8"/>
        <v>99.5256718852727</v>
      </c>
    </row>
    <row r="167" spans="1:10" ht="156" hidden="1" x14ac:dyDescent="0.3">
      <c r="A167" s="86" t="s">
        <v>305</v>
      </c>
      <c r="B167" s="77" t="s">
        <v>121</v>
      </c>
      <c r="C167" s="78" t="s">
        <v>48</v>
      </c>
      <c r="D167" s="78" t="s">
        <v>42</v>
      </c>
      <c r="E167" s="78" t="s">
        <v>304</v>
      </c>
      <c r="F167" s="90">
        <v>800</v>
      </c>
      <c r="G167" s="79">
        <v>83821986.859999999</v>
      </c>
      <c r="H167" s="92">
        <v>83424395.609999999</v>
      </c>
      <c r="I167" s="84">
        <v>0</v>
      </c>
      <c r="J167" s="81">
        <f t="shared" si="8"/>
        <v>99.5256718852727</v>
      </c>
    </row>
    <row r="168" spans="1:10" ht="31.2" hidden="1" x14ac:dyDescent="0.3">
      <c r="A168" s="86" t="s">
        <v>306</v>
      </c>
      <c r="B168" s="77" t="s">
        <v>121</v>
      </c>
      <c r="C168" s="78" t="s">
        <v>48</v>
      </c>
      <c r="D168" s="78" t="s">
        <v>42</v>
      </c>
      <c r="E168" s="78" t="s">
        <v>307</v>
      </c>
      <c r="F168" s="90"/>
      <c r="G168" s="79">
        <f>G169</f>
        <v>3800000</v>
      </c>
      <c r="H168" s="87">
        <f>H169</f>
        <v>3800000</v>
      </c>
      <c r="I168" s="84"/>
      <c r="J168" s="81">
        <f t="shared" si="8"/>
        <v>100</v>
      </c>
    </row>
    <row r="169" spans="1:10" ht="156" hidden="1" x14ac:dyDescent="0.3">
      <c r="A169" s="86" t="s">
        <v>308</v>
      </c>
      <c r="B169" s="77" t="s">
        <v>121</v>
      </c>
      <c r="C169" s="78" t="s">
        <v>48</v>
      </c>
      <c r="D169" s="78" t="s">
        <v>42</v>
      </c>
      <c r="E169" s="78" t="s">
        <v>307</v>
      </c>
      <c r="F169" s="90">
        <v>200</v>
      </c>
      <c r="G169" s="79">
        <v>3800000</v>
      </c>
      <c r="H169" s="92">
        <v>3800000</v>
      </c>
      <c r="I169" s="84"/>
      <c r="J169" s="81">
        <f t="shared" si="8"/>
        <v>100</v>
      </c>
    </row>
    <row r="170" spans="1:10" hidden="1" x14ac:dyDescent="0.3">
      <c r="A170" s="70" t="s">
        <v>78</v>
      </c>
      <c r="B170" s="71" t="s">
        <v>121</v>
      </c>
      <c r="C170" s="72" t="s">
        <v>48</v>
      </c>
      <c r="D170" s="72" t="s">
        <v>44</v>
      </c>
      <c r="E170" s="91"/>
      <c r="F170" s="91"/>
      <c r="G170" s="73">
        <f>G175+G171+G177+G181+G183+G185+G187+G189+G173+G179</f>
        <v>2486711.65</v>
      </c>
      <c r="H170" s="74">
        <f>H175+H171+H177+H181+H183+H185+H187+H189+H173+H179</f>
        <v>2438853.46</v>
      </c>
      <c r="I170" s="68">
        <f>I175+I171+I177+I181+I183+I185</f>
        <v>0</v>
      </c>
      <c r="J170" s="81">
        <f t="shared" si="8"/>
        <v>98.075442723727136</v>
      </c>
    </row>
    <row r="171" spans="1:10" ht="93.6" hidden="1" x14ac:dyDescent="0.3">
      <c r="A171" s="76" t="s">
        <v>309</v>
      </c>
      <c r="B171" s="77" t="s">
        <v>121</v>
      </c>
      <c r="C171" s="78" t="s">
        <v>48</v>
      </c>
      <c r="D171" s="78" t="s">
        <v>44</v>
      </c>
      <c r="E171" s="78" t="s">
        <v>310</v>
      </c>
      <c r="F171" s="90"/>
      <c r="G171" s="68">
        <f>G172</f>
        <v>0</v>
      </c>
      <c r="H171" s="68">
        <f>H172</f>
        <v>0</v>
      </c>
      <c r="I171" s="68">
        <f>I172</f>
        <v>0</v>
      </c>
      <c r="J171" s="81" t="e">
        <f t="shared" si="8"/>
        <v>#DIV/0!</v>
      </c>
    </row>
    <row r="172" spans="1:10" ht="31.2" hidden="1" x14ac:dyDescent="0.3">
      <c r="A172" s="76" t="s">
        <v>201</v>
      </c>
      <c r="B172" s="77" t="s">
        <v>121</v>
      </c>
      <c r="C172" s="78" t="s">
        <v>48</v>
      </c>
      <c r="D172" s="78" t="s">
        <v>44</v>
      </c>
      <c r="E172" s="78" t="s">
        <v>310</v>
      </c>
      <c r="F172" s="90">
        <v>200</v>
      </c>
      <c r="G172" s="68"/>
      <c r="H172" s="84"/>
      <c r="I172" s="84"/>
      <c r="J172" s="81" t="e">
        <f t="shared" si="8"/>
        <v>#DIV/0!</v>
      </c>
    </row>
    <row r="173" spans="1:10" ht="109.2" hidden="1" x14ac:dyDescent="0.3">
      <c r="A173" s="141" t="s">
        <v>311</v>
      </c>
      <c r="B173" s="77" t="s">
        <v>121</v>
      </c>
      <c r="C173" s="78" t="s">
        <v>48</v>
      </c>
      <c r="D173" s="78" t="s">
        <v>44</v>
      </c>
      <c r="E173" s="78" t="s">
        <v>312</v>
      </c>
      <c r="F173" s="90"/>
      <c r="G173" s="79">
        <f>G174</f>
        <v>279990</v>
      </c>
      <c r="H173" s="87">
        <f>H174</f>
        <v>279536</v>
      </c>
      <c r="I173" s="84"/>
      <c r="J173" s="81">
        <f t="shared" si="8"/>
        <v>99.83785135183399</v>
      </c>
    </row>
    <row r="174" spans="1:10" ht="93.6" hidden="1" x14ac:dyDescent="0.3">
      <c r="A174" s="142" t="s">
        <v>313</v>
      </c>
      <c r="B174" s="77" t="s">
        <v>121</v>
      </c>
      <c r="C174" s="78" t="s">
        <v>48</v>
      </c>
      <c r="D174" s="78" t="s">
        <v>44</v>
      </c>
      <c r="E174" s="78" t="s">
        <v>312</v>
      </c>
      <c r="F174" s="90">
        <v>200</v>
      </c>
      <c r="G174" s="79">
        <v>279990</v>
      </c>
      <c r="H174" s="92">
        <v>279536</v>
      </c>
      <c r="I174" s="84"/>
      <c r="J174" s="81">
        <f t="shared" si="8"/>
        <v>99.83785135183399</v>
      </c>
    </row>
    <row r="175" spans="1:10" ht="62.4" hidden="1" x14ac:dyDescent="0.3">
      <c r="A175" s="89" t="s">
        <v>314</v>
      </c>
      <c r="B175" s="77" t="s">
        <v>121</v>
      </c>
      <c r="C175" s="78" t="s">
        <v>48</v>
      </c>
      <c r="D175" s="78" t="s">
        <v>44</v>
      </c>
      <c r="E175" s="78" t="s">
        <v>315</v>
      </c>
      <c r="F175" s="90"/>
      <c r="G175" s="79">
        <f>G176</f>
        <v>0</v>
      </c>
      <c r="H175" s="87">
        <f>H176</f>
        <v>0</v>
      </c>
      <c r="I175" s="68">
        <f>I176</f>
        <v>0</v>
      </c>
      <c r="J175" s="81">
        <v>0</v>
      </c>
    </row>
    <row r="176" spans="1:10" ht="31.2" hidden="1" x14ac:dyDescent="0.3">
      <c r="A176" s="88" t="s">
        <v>316</v>
      </c>
      <c r="B176" s="77" t="s">
        <v>121</v>
      </c>
      <c r="C176" s="78" t="s">
        <v>48</v>
      </c>
      <c r="D176" s="78" t="s">
        <v>44</v>
      </c>
      <c r="E176" s="78" t="s">
        <v>315</v>
      </c>
      <c r="F176" s="90">
        <v>200</v>
      </c>
      <c r="G176" s="79">
        <v>0</v>
      </c>
      <c r="H176" s="92">
        <v>0</v>
      </c>
      <c r="I176" s="84">
        <v>0</v>
      </c>
      <c r="J176" s="81">
        <v>0</v>
      </c>
    </row>
    <row r="177" spans="1:10" hidden="1" x14ac:dyDescent="0.3">
      <c r="A177" s="89" t="s">
        <v>317</v>
      </c>
      <c r="B177" s="77" t="s">
        <v>121</v>
      </c>
      <c r="C177" s="78" t="s">
        <v>48</v>
      </c>
      <c r="D177" s="78" t="s">
        <v>44</v>
      </c>
      <c r="E177" s="78" t="s">
        <v>318</v>
      </c>
      <c r="F177" s="90"/>
      <c r="G177" s="79">
        <f>G178</f>
        <v>78000</v>
      </c>
      <c r="H177" s="87">
        <f>H178</f>
        <v>78000</v>
      </c>
      <c r="I177" s="68">
        <f>I178</f>
        <v>0</v>
      </c>
      <c r="J177" s="81">
        <f t="shared" si="8"/>
        <v>100</v>
      </c>
    </row>
    <row r="178" spans="1:10" ht="62.4" hidden="1" x14ac:dyDescent="0.3">
      <c r="A178" s="88" t="s">
        <v>319</v>
      </c>
      <c r="B178" s="77" t="s">
        <v>121</v>
      </c>
      <c r="C178" s="78" t="s">
        <v>48</v>
      </c>
      <c r="D178" s="78" t="s">
        <v>44</v>
      </c>
      <c r="E178" s="78" t="s">
        <v>318</v>
      </c>
      <c r="F178" s="90">
        <v>200</v>
      </c>
      <c r="G178" s="79">
        <v>78000</v>
      </c>
      <c r="H178" s="92">
        <v>78000</v>
      </c>
      <c r="I178" s="84"/>
      <c r="J178" s="81">
        <f t="shared" si="8"/>
        <v>100</v>
      </c>
    </row>
    <row r="179" spans="1:10" ht="31.2" hidden="1" x14ac:dyDescent="0.3">
      <c r="A179" s="93" t="s">
        <v>320</v>
      </c>
      <c r="B179" s="77" t="s">
        <v>121</v>
      </c>
      <c r="C179" s="78" t="s">
        <v>48</v>
      </c>
      <c r="D179" s="78" t="s">
        <v>44</v>
      </c>
      <c r="E179" s="143" t="s">
        <v>321</v>
      </c>
      <c r="F179" s="90"/>
      <c r="G179" s="79">
        <f>G180</f>
        <v>20531.04</v>
      </c>
      <c r="H179" s="79">
        <f>H180</f>
        <v>0</v>
      </c>
      <c r="I179" s="84"/>
      <c r="J179" s="81">
        <f t="shared" si="8"/>
        <v>0</v>
      </c>
    </row>
    <row r="180" spans="1:10" ht="109.2" hidden="1" x14ac:dyDescent="0.3">
      <c r="A180" s="103" t="s">
        <v>322</v>
      </c>
      <c r="B180" s="77" t="s">
        <v>121</v>
      </c>
      <c r="C180" s="78" t="s">
        <v>48</v>
      </c>
      <c r="D180" s="78" t="s">
        <v>44</v>
      </c>
      <c r="E180" s="144" t="s">
        <v>321</v>
      </c>
      <c r="F180" s="90">
        <v>200</v>
      </c>
      <c r="G180" s="79">
        <v>20531.04</v>
      </c>
      <c r="H180" s="92">
        <v>0</v>
      </c>
      <c r="I180" s="84"/>
      <c r="J180" s="81">
        <v>0</v>
      </c>
    </row>
    <row r="181" spans="1:10" ht="62.4" hidden="1" x14ac:dyDescent="0.3">
      <c r="A181" s="89" t="s">
        <v>323</v>
      </c>
      <c r="B181" s="77" t="s">
        <v>121</v>
      </c>
      <c r="C181" s="78" t="s">
        <v>48</v>
      </c>
      <c r="D181" s="78" t="s">
        <v>44</v>
      </c>
      <c r="E181" s="78" t="s">
        <v>324</v>
      </c>
      <c r="F181" s="90"/>
      <c r="G181" s="79">
        <f>G182</f>
        <v>40000</v>
      </c>
      <c r="H181" s="87">
        <f>H182</f>
        <v>39943.85</v>
      </c>
      <c r="I181" s="68">
        <f>I182</f>
        <v>0</v>
      </c>
      <c r="J181" s="81">
        <f t="shared" si="8"/>
        <v>99.859624999999994</v>
      </c>
    </row>
    <row r="182" spans="1:10" ht="46.8" hidden="1" x14ac:dyDescent="0.3">
      <c r="A182" s="88" t="s">
        <v>325</v>
      </c>
      <c r="B182" s="77" t="s">
        <v>121</v>
      </c>
      <c r="C182" s="78" t="s">
        <v>48</v>
      </c>
      <c r="D182" s="78" t="s">
        <v>44</v>
      </c>
      <c r="E182" s="78" t="s">
        <v>324</v>
      </c>
      <c r="F182" s="90">
        <v>200</v>
      </c>
      <c r="G182" s="79">
        <v>40000</v>
      </c>
      <c r="H182" s="92">
        <v>39943.85</v>
      </c>
      <c r="I182" s="84"/>
      <c r="J182" s="81">
        <f t="shared" si="8"/>
        <v>99.859624999999994</v>
      </c>
    </row>
    <row r="183" spans="1:10" hidden="1" x14ac:dyDescent="0.3">
      <c r="A183" s="89" t="s">
        <v>326</v>
      </c>
      <c r="B183" s="77" t="s">
        <v>121</v>
      </c>
      <c r="C183" s="78" t="s">
        <v>48</v>
      </c>
      <c r="D183" s="78" t="s">
        <v>44</v>
      </c>
      <c r="E183" s="78" t="s">
        <v>327</v>
      </c>
      <c r="F183" s="90"/>
      <c r="G183" s="79">
        <f>G184</f>
        <v>1826518.98</v>
      </c>
      <c r="H183" s="87">
        <f>H184</f>
        <v>1826518.98</v>
      </c>
      <c r="I183" s="68">
        <f>I184</f>
        <v>0</v>
      </c>
      <c r="J183" s="81">
        <f t="shared" si="8"/>
        <v>100</v>
      </c>
    </row>
    <row r="184" spans="1:10" ht="31.2" hidden="1" x14ac:dyDescent="0.3">
      <c r="A184" s="88" t="s">
        <v>328</v>
      </c>
      <c r="B184" s="77" t="s">
        <v>121</v>
      </c>
      <c r="C184" s="78" t="s">
        <v>48</v>
      </c>
      <c r="D184" s="78" t="s">
        <v>44</v>
      </c>
      <c r="E184" s="78" t="s">
        <v>327</v>
      </c>
      <c r="F184" s="90">
        <v>200</v>
      </c>
      <c r="G184" s="79">
        <v>1826518.98</v>
      </c>
      <c r="H184" s="92">
        <v>1826518.98</v>
      </c>
      <c r="I184" s="84"/>
      <c r="J184" s="81">
        <f t="shared" si="8"/>
        <v>100</v>
      </c>
    </row>
    <row r="185" spans="1:10" ht="62.4" hidden="1" x14ac:dyDescent="0.3">
      <c r="A185" s="89" t="s">
        <v>329</v>
      </c>
      <c r="B185" s="77" t="s">
        <v>121</v>
      </c>
      <c r="C185" s="78" t="s">
        <v>48</v>
      </c>
      <c r="D185" s="78" t="s">
        <v>44</v>
      </c>
      <c r="E185" s="78" t="s">
        <v>330</v>
      </c>
      <c r="F185" s="90"/>
      <c r="G185" s="79">
        <f>G186</f>
        <v>200000</v>
      </c>
      <c r="H185" s="87">
        <f>H186</f>
        <v>173183</v>
      </c>
      <c r="I185" s="68">
        <f>I186</f>
        <v>0</v>
      </c>
      <c r="J185" s="81">
        <f t="shared" si="8"/>
        <v>86.591499999999996</v>
      </c>
    </row>
    <row r="186" spans="1:10" ht="46.8" hidden="1" x14ac:dyDescent="0.3">
      <c r="A186" s="88" t="s">
        <v>331</v>
      </c>
      <c r="B186" s="77" t="s">
        <v>121</v>
      </c>
      <c r="C186" s="78" t="s">
        <v>48</v>
      </c>
      <c r="D186" s="78" t="s">
        <v>44</v>
      </c>
      <c r="E186" s="78" t="s">
        <v>330</v>
      </c>
      <c r="F186" s="90">
        <v>200</v>
      </c>
      <c r="G186" s="79">
        <v>200000</v>
      </c>
      <c r="H186" s="92">
        <v>173183</v>
      </c>
      <c r="I186" s="84">
        <v>0</v>
      </c>
      <c r="J186" s="81">
        <f t="shared" si="8"/>
        <v>86.591499999999996</v>
      </c>
    </row>
    <row r="187" spans="1:10" ht="62.4" hidden="1" x14ac:dyDescent="0.3">
      <c r="A187" s="89" t="s">
        <v>332</v>
      </c>
      <c r="B187" s="77" t="s">
        <v>121</v>
      </c>
      <c r="C187" s="78" t="s">
        <v>48</v>
      </c>
      <c r="D187" s="78" t="s">
        <v>44</v>
      </c>
      <c r="E187" s="78" t="s">
        <v>333</v>
      </c>
      <c r="F187" s="90"/>
      <c r="G187" s="79">
        <f>G188</f>
        <v>0</v>
      </c>
      <c r="H187" s="87">
        <f>H188</f>
        <v>0</v>
      </c>
      <c r="I187" s="84"/>
      <c r="J187" s="81">
        <v>0</v>
      </c>
    </row>
    <row r="188" spans="1:10" ht="31.2" hidden="1" x14ac:dyDescent="0.3">
      <c r="A188" s="88" t="s">
        <v>334</v>
      </c>
      <c r="B188" s="77" t="s">
        <v>121</v>
      </c>
      <c r="C188" s="78" t="s">
        <v>48</v>
      </c>
      <c r="D188" s="78" t="s">
        <v>44</v>
      </c>
      <c r="E188" s="78" t="s">
        <v>333</v>
      </c>
      <c r="F188" s="90">
        <v>200</v>
      </c>
      <c r="G188" s="79">
        <v>0</v>
      </c>
      <c r="H188" s="92">
        <v>0</v>
      </c>
      <c r="I188" s="84"/>
      <c r="J188" s="81">
        <v>0</v>
      </c>
    </row>
    <row r="189" spans="1:10" ht="78" hidden="1" x14ac:dyDescent="0.3">
      <c r="A189" s="89" t="s">
        <v>335</v>
      </c>
      <c r="B189" s="77" t="s">
        <v>121</v>
      </c>
      <c r="C189" s="78" t="s">
        <v>48</v>
      </c>
      <c r="D189" s="78" t="s">
        <v>44</v>
      </c>
      <c r="E189" s="78" t="s">
        <v>336</v>
      </c>
      <c r="F189" s="90"/>
      <c r="G189" s="79">
        <f>G190</f>
        <v>41671.629999999997</v>
      </c>
      <c r="H189" s="87">
        <f>H190</f>
        <v>41671.629999999997</v>
      </c>
      <c r="I189" s="84"/>
      <c r="J189" s="81">
        <f t="shared" si="8"/>
        <v>100</v>
      </c>
    </row>
    <row r="190" spans="1:10" ht="46.8" hidden="1" x14ac:dyDescent="0.3">
      <c r="A190" s="88" t="s">
        <v>337</v>
      </c>
      <c r="B190" s="77" t="s">
        <v>121</v>
      </c>
      <c r="C190" s="78" t="s">
        <v>48</v>
      </c>
      <c r="D190" s="78" t="s">
        <v>44</v>
      </c>
      <c r="E190" s="78" t="s">
        <v>336</v>
      </c>
      <c r="F190" s="90">
        <v>200</v>
      </c>
      <c r="G190" s="79">
        <v>41671.629999999997</v>
      </c>
      <c r="H190" s="92">
        <v>41671.629999999997</v>
      </c>
      <c r="I190" s="84"/>
      <c r="J190" s="81">
        <f t="shared" si="8"/>
        <v>100</v>
      </c>
    </row>
    <row r="191" spans="1:10" hidden="1" x14ac:dyDescent="0.3">
      <c r="A191" s="70" t="s">
        <v>80</v>
      </c>
      <c r="B191" s="71" t="s">
        <v>121</v>
      </c>
      <c r="C191" s="72" t="s">
        <v>50</v>
      </c>
      <c r="D191" s="72" t="s">
        <v>40</v>
      </c>
      <c r="E191" s="72"/>
      <c r="F191" s="91"/>
      <c r="G191" s="73">
        <f t="shared" ref="G191:I192" si="9">G192</f>
        <v>0</v>
      </c>
      <c r="H191" s="74">
        <f t="shared" si="9"/>
        <v>0</v>
      </c>
      <c r="I191" s="68">
        <f t="shared" si="9"/>
        <v>0</v>
      </c>
      <c r="J191" s="69">
        <v>0</v>
      </c>
    </row>
    <row r="192" spans="1:10" ht="31.2" hidden="1" x14ac:dyDescent="0.3">
      <c r="A192" s="70" t="s">
        <v>81</v>
      </c>
      <c r="B192" s="71" t="s">
        <v>121</v>
      </c>
      <c r="C192" s="72" t="s">
        <v>50</v>
      </c>
      <c r="D192" s="72" t="s">
        <v>44</v>
      </c>
      <c r="E192" s="72"/>
      <c r="F192" s="91"/>
      <c r="G192" s="73">
        <f t="shared" si="9"/>
        <v>0</v>
      </c>
      <c r="H192" s="74">
        <f t="shared" si="9"/>
        <v>0</v>
      </c>
      <c r="I192" s="68">
        <f t="shared" si="9"/>
        <v>0</v>
      </c>
      <c r="J192" s="69">
        <v>0</v>
      </c>
    </row>
    <row r="193" spans="1:10" hidden="1" x14ac:dyDescent="0.3">
      <c r="A193" s="76"/>
      <c r="B193" s="77"/>
      <c r="C193" s="78"/>
      <c r="D193" s="78"/>
      <c r="E193" s="78"/>
      <c r="F193" s="90"/>
      <c r="G193" s="68"/>
      <c r="H193" s="25"/>
      <c r="I193" s="68"/>
      <c r="J193" s="69"/>
    </row>
    <row r="194" spans="1:10" hidden="1" x14ac:dyDescent="0.3">
      <c r="A194" s="76"/>
      <c r="B194" s="77"/>
      <c r="C194" s="78"/>
      <c r="D194" s="78"/>
      <c r="E194" s="78"/>
      <c r="F194" s="90"/>
      <c r="G194" s="68"/>
      <c r="H194" s="145"/>
      <c r="I194" s="84"/>
      <c r="J194" s="69"/>
    </row>
    <row r="195" spans="1:10" hidden="1" x14ac:dyDescent="0.3">
      <c r="A195" s="70" t="s">
        <v>82</v>
      </c>
      <c r="B195" s="71" t="s">
        <v>121</v>
      </c>
      <c r="C195" s="72" t="s">
        <v>52</v>
      </c>
      <c r="D195" s="72" t="s">
        <v>40</v>
      </c>
      <c r="E195" s="91"/>
      <c r="F195" s="91"/>
      <c r="G195" s="73">
        <f>G196+G199+G204+G225</f>
        <v>5819501.9000000004</v>
      </c>
      <c r="H195" s="74">
        <f>H196+H199+H204+H225</f>
        <v>978489.98</v>
      </c>
      <c r="I195" s="68">
        <f>I196+I199+I204+I225</f>
        <v>3573400</v>
      </c>
      <c r="J195" s="69">
        <f t="shared" si="8"/>
        <v>16.813981622722725</v>
      </c>
    </row>
    <row r="196" spans="1:10" hidden="1" x14ac:dyDescent="0.3">
      <c r="A196" s="70" t="s">
        <v>83</v>
      </c>
      <c r="B196" s="71" t="s">
        <v>121</v>
      </c>
      <c r="C196" s="72" t="s">
        <v>52</v>
      </c>
      <c r="D196" s="72" t="s">
        <v>39</v>
      </c>
      <c r="E196" s="91"/>
      <c r="F196" s="91"/>
      <c r="G196" s="73">
        <f>G197</f>
        <v>0</v>
      </c>
      <c r="H196" s="74">
        <f>H197</f>
        <v>0</v>
      </c>
      <c r="I196" s="68">
        <f>I197</f>
        <v>0</v>
      </c>
      <c r="J196" s="69"/>
    </row>
    <row r="197" spans="1:10" hidden="1" x14ac:dyDescent="0.3">
      <c r="A197" s="76"/>
      <c r="B197" s="77"/>
      <c r="C197" s="78"/>
      <c r="D197" s="78"/>
      <c r="E197" s="78"/>
      <c r="F197" s="90"/>
      <c r="G197" s="68"/>
      <c r="H197" s="25"/>
      <c r="I197" s="68"/>
      <c r="J197" s="69"/>
    </row>
    <row r="198" spans="1:10" hidden="1" x14ac:dyDescent="0.3">
      <c r="A198" s="76"/>
      <c r="B198" s="77"/>
      <c r="C198" s="78"/>
      <c r="D198" s="78"/>
      <c r="E198" s="78"/>
      <c r="F198" s="90"/>
      <c r="G198" s="68"/>
      <c r="H198" s="25"/>
      <c r="I198" s="68"/>
      <c r="J198" s="69"/>
    </row>
    <row r="199" spans="1:10" hidden="1" x14ac:dyDescent="0.3">
      <c r="A199" s="70" t="s">
        <v>84</v>
      </c>
      <c r="B199" s="71" t="s">
        <v>121</v>
      </c>
      <c r="C199" s="72" t="s">
        <v>52</v>
      </c>
      <c r="D199" s="72" t="s">
        <v>42</v>
      </c>
      <c r="E199" s="72"/>
      <c r="F199" s="91"/>
      <c r="G199" s="73">
        <f>G202+G200</f>
        <v>4801370.4000000004</v>
      </c>
      <c r="H199" s="74">
        <f>H202</f>
        <v>0</v>
      </c>
      <c r="I199" s="146">
        <f>I202</f>
        <v>0</v>
      </c>
      <c r="J199" s="69">
        <f t="shared" si="8"/>
        <v>0</v>
      </c>
    </row>
    <row r="200" spans="1:10" ht="78" hidden="1" x14ac:dyDescent="0.3">
      <c r="A200" s="89" t="s">
        <v>338</v>
      </c>
      <c r="B200" s="77" t="s">
        <v>121</v>
      </c>
      <c r="C200" s="78" t="s">
        <v>52</v>
      </c>
      <c r="D200" s="78" t="s">
        <v>42</v>
      </c>
      <c r="E200" s="78" t="s">
        <v>339</v>
      </c>
      <c r="F200" s="90"/>
      <c r="G200" s="79">
        <f>G201</f>
        <v>4801370.4000000004</v>
      </c>
      <c r="H200" s="87">
        <f>H201</f>
        <v>0</v>
      </c>
      <c r="I200" s="68"/>
      <c r="J200" s="81">
        <v>0</v>
      </c>
    </row>
    <row r="201" spans="1:10" ht="46.8" hidden="1" x14ac:dyDescent="0.3">
      <c r="A201" s="88" t="s">
        <v>340</v>
      </c>
      <c r="B201" s="77" t="s">
        <v>121</v>
      </c>
      <c r="C201" s="78" t="s">
        <v>52</v>
      </c>
      <c r="D201" s="78" t="s">
        <v>42</v>
      </c>
      <c r="E201" s="78" t="s">
        <v>339</v>
      </c>
      <c r="F201" s="90">
        <v>200</v>
      </c>
      <c r="G201" s="79">
        <v>4801370.4000000004</v>
      </c>
      <c r="H201" s="87">
        <v>0</v>
      </c>
      <c r="I201" s="68">
        <v>0</v>
      </c>
      <c r="J201" s="81">
        <v>0</v>
      </c>
    </row>
    <row r="202" spans="1:10" hidden="1" x14ac:dyDescent="0.3">
      <c r="A202" s="76"/>
      <c r="B202" s="77"/>
      <c r="C202" s="78"/>
      <c r="D202" s="78"/>
      <c r="E202" s="78"/>
      <c r="F202" s="90"/>
      <c r="G202" s="68"/>
      <c r="H202" s="68"/>
      <c r="I202" s="68"/>
      <c r="J202" s="69"/>
    </row>
    <row r="203" spans="1:10" hidden="1" x14ac:dyDescent="0.3">
      <c r="A203" s="76"/>
      <c r="B203" s="77"/>
      <c r="C203" s="78"/>
      <c r="D203" s="78"/>
      <c r="E203" s="78"/>
      <c r="F203" s="90"/>
      <c r="G203" s="68"/>
      <c r="H203" s="68"/>
      <c r="I203" s="68"/>
      <c r="J203" s="69"/>
    </row>
    <row r="204" spans="1:10" hidden="1" x14ac:dyDescent="0.3">
      <c r="A204" s="70" t="s">
        <v>85</v>
      </c>
      <c r="B204" s="71" t="s">
        <v>121</v>
      </c>
      <c r="C204" s="72" t="s">
        <v>52</v>
      </c>
      <c r="D204" s="72" t="s">
        <v>52</v>
      </c>
      <c r="E204" s="72"/>
      <c r="F204" s="91"/>
      <c r="G204" s="73">
        <f>G213+G217+G221+G205+G207+G209+G211+G215+G219+G223</f>
        <v>444734.4</v>
      </c>
      <c r="H204" s="74">
        <f>H213+H217+H221+H205+H207+H209+H211+H215+H219+H223</f>
        <v>409108.77</v>
      </c>
      <c r="I204" s="146">
        <f>I213+I217+I221+I205+I207+I209+I211+I215+I219+I223</f>
        <v>3000000</v>
      </c>
      <c r="J204" s="69">
        <f t="shared" ref="J204:J273" si="10">H204/G204*100</f>
        <v>91.989459326735229</v>
      </c>
    </row>
    <row r="205" spans="1:10" ht="78" hidden="1" x14ac:dyDescent="0.3">
      <c r="A205" s="89" t="s">
        <v>341</v>
      </c>
      <c r="B205" s="77" t="s">
        <v>121</v>
      </c>
      <c r="C205" s="78" t="s">
        <v>52</v>
      </c>
      <c r="D205" s="78" t="s">
        <v>52</v>
      </c>
      <c r="E205" s="78" t="s">
        <v>342</v>
      </c>
      <c r="F205" s="90"/>
      <c r="G205" s="79">
        <f>G206</f>
        <v>50000</v>
      </c>
      <c r="H205" s="87">
        <f>H206</f>
        <v>49999.99</v>
      </c>
      <c r="I205" s="68">
        <f>I206</f>
        <v>0</v>
      </c>
      <c r="J205" s="81">
        <f t="shared" si="10"/>
        <v>99.999979999999994</v>
      </c>
    </row>
    <row r="206" spans="1:10" ht="46.8" hidden="1" x14ac:dyDescent="0.3">
      <c r="A206" s="88" t="s">
        <v>343</v>
      </c>
      <c r="B206" s="77" t="s">
        <v>121</v>
      </c>
      <c r="C206" s="78" t="s">
        <v>52</v>
      </c>
      <c r="D206" s="78" t="s">
        <v>52</v>
      </c>
      <c r="E206" s="78" t="s">
        <v>342</v>
      </c>
      <c r="F206" s="90">
        <v>200</v>
      </c>
      <c r="G206" s="79">
        <v>50000</v>
      </c>
      <c r="H206" s="92">
        <v>49999.99</v>
      </c>
      <c r="I206" s="84">
        <v>0</v>
      </c>
      <c r="J206" s="81">
        <f t="shared" si="10"/>
        <v>99.999979999999994</v>
      </c>
    </row>
    <row r="207" spans="1:10" ht="124.8" hidden="1" x14ac:dyDescent="0.3">
      <c r="A207" s="89" t="s">
        <v>344</v>
      </c>
      <c r="B207" s="77" t="s">
        <v>121</v>
      </c>
      <c r="C207" s="78" t="s">
        <v>52</v>
      </c>
      <c r="D207" s="78" t="s">
        <v>52</v>
      </c>
      <c r="E207" s="78" t="s">
        <v>345</v>
      </c>
      <c r="F207" s="90"/>
      <c r="G207" s="79">
        <f>G208</f>
        <v>0</v>
      </c>
      <c r="H207" s="87">
        <f>H208</f>
        <v>0</v>
      </c>
      <c r="I207" s="68">
        <f>I208</f>
        <v>0</v>
      </c>
      <c r="J207" s="81">
        <v>0</v>
      </c>
    </row>
    <row r="208" spans="1:10" ht="46.8" hidden="1" x14ac:dyDescent="0.3">
      <c r="A208" s="88" t="s">
        <v>346</v>
      </c>
      <c r="B208" s="77" t="s">
        <v>121</v>
      </c>
      <c r="C208" s="78" t="s">
        <v>52</v>
      </c>
      <c r="D208" s="78" t="s">
        <v>52</v>
      </c>
      <c r="E208" s="78" t="s">
        <v>345</v>
      </c>
      <c r="F208" s="90">
        <v>200</v>
      </c>
      <c r="G208" s="79">
        <v>0</v>
      </c>
      <c r="H208" s="92">
        <v>0</v>
      </c>
      <c r="I208" s="84">
        <v>0</v>
      </c>
      <c r="J208" s="81">
        <v>0</v>
      </c>
    </row>
    <row r="209" spans="1:10" ht="62.4" hidden="1" x14ac:dyDescent="0.3">
      <c r="A209" s="76" t="s">
        <v>347</v>
      </c>
      <c r="B209" s="77" t="s">
        <v>121</v>
      </c>
      <c r="C209" s="78" t="s">
        <v>52</v>
      </c>
      <c r="D209" s="78" t="s">
        <v>52</v>
      </c>
      <c r="E209" s="78" t="s">
        <v>348</v>
      </c>
      <c r="F209" s="90"/>
      <c r="G209" s="68">
        <f>G210</f>
        <v>0</v>
      </c>
      <c r="H209" s="68">
        <f>H210</f>
        <v>0</v>
      </c>
      <c r="I209" s="68">
        <f>I210</f>
        <v>0</v>
      </c>
      <c r="J209" s="69" t="e">
        <f t="shared" si="10"/>
        <v>#DIV/0!</v>
      </c>
    </row>
    <row r="210" spans="1:10" ht="31.2" hidden="1" x14ac:dyDescent="0.3">
      <c r="A210" s="76" t="s">
        <v>201</v>
      </c>
      <c r="B210" s="77" t="s">
        <v>121</v>
      </c>
      <c r="C210" s="78" t="s">
        <v>52</v>
      </c>
      <c r="D210" s="78" t="s">
        <v>52</v>
      </c>
      <c r="E210" s="78" t="s">
        <v>348</v>
      </c>
      <c r="F210" s="90">
        <v>200</v>
      </c>
      <c r="G210" s="68"/>
      <c r="H210" s="84"/>
      <c r="I210" s="84"/>
      <c r="J210" s="69" t="e">
        <f t="shared" si="10"/>
        <v>#DIV/0!</v>
      </c>
    </row>
    <row r="211" spans="1:10" ht="78" hidden="1" x14ac:dyDescent="0.3">
      <c r="A211" s="76" t="s">
        <v>349</v>
      </c>
      <c r="B211" s="77" t="s">
        <v>121</v>
      </c>
      <c r="C211" s="78" t="s">
        <v>52</v>
      </c>
      <c r="D211" s="78" t="s">
        <v>52</v>
      </c>
      <c r="E211" s="78" t="s">
        <v>350</v>
      </c>
      <c r="F211" s="90"/>
      <c r="G211" s="68">
        <f>G212</f>
        <v>0</v>
      </c>
      <c r="H211" s="68">
        <f>H212</f>
        <v>0</v>
      </c>
      <c r="I211" s="68">
        <f>I212</f>
        <v>0</v>
      </c>
      <c r="J211" s="69" t="e">
        <f t="shared" si="10"/>
        <v>#DIV/0!</v>
      </c>
    </row>
    <row r="212" spans="1:10" ht="31.2" hidden="1" x14ac:dyDescent="0.3">
      <c r="A212" s="76" t="s">
        <v>201</v>
      </c>
      <c r="B212" s="77" t="s">
        <v>121</v>
      </c>
      <c r="C212" s="78" t="s">
        <v>52</v>
      </c>
      <c r="D212" s="78" t="s">
        <v>52</v>
      </c>
      <c r="E212" s="78" t="s">
        <v>350</v>
      </c>
      <c r="F212" s="90">
        <v>200</v>
      </c>
      <c r="G212" s="68"/>
      <c r="H212" s="84"/>
      <c r="I212" s="84"/>
      <c r="J212" s="69" t="e">
        <f t="shared" si="10"/>
        <v>#DIV/0!</v>
      </c>
    </row>
    <row r="213" spans="1:10" ht="93.6" hidden="1" x14ac:dyDescent="0.3">
      <c r="A213" s="89" t="s">
        <v>351</v>
      </c>
      <c r="B213" s="77" t="s">
        <v>121</v>
      </c>
      <c r="C213" s="78" t="s">
        <v>52</v>
      </c>
      <c r="D213" s="78" t="s">
        <v>52</v>
      </c>
      <c r="E213" s="78" t="s">
        <v>352</v>
      </c>
      <c r="F213" s="90"/>
      <c r="G213" s="79">
        <f>G214</f>
        <v>0</v>
      </c>
      <c r="H213" s="87">
        <f>H214</f>
        <v>0</v>
      </c>
      <c r="I213" s="68">
        <f>I214</f>
        <v>0</v>
      </c>
      <c r="J213" s="81">
        <v>0</v>
      </c>
    </row>
    <row r="214" spans="1:10" ht="46.8" hidden="1" x14ac:dyDescent="0.3">
      <c r="A214" s="88" t="s">
        <v>353</v>
      </c>
      <c r="B214" s="77" t="s">
        <v>121</v>
      </c>
      <c r="C214" s="78" t="s">
        <v>52</v>
      </c>
      <c r="D214" s="78" t="s">
        <v>52</v>
      </c>
      <c r="E214" s="78" t="s">
        <v>352</v>
      </c>
      <c r="F214" s="90">
        <v>200</v>
      </c>
      <c r="G214" s="79">
        <v>0</v>
      </c>
      <c r="H214" s="92">
        <v>0</v>
      </c>
      <c r="I214" s="84">
        <v>0</v>
      </c>
      <c r="J214" s="81">
        <v>0</v>
      </c>
    </row>
    <row r="215" spans="1:10" ht="124.8" hidden="1" x14ac:dyDescent="0.3">
      <c r="A215" s="89" t="s">
        <v>354</v>
      </c>
      <c r="B215" s="77" t="s">
        <v>121</v>
      </c>
      <c r="C215" s="78" t="s">
        <v>52</v>
      </c>
      <c r="D215" s="78" t="s">
        <v>52</v>
      </c>
      <c r="E215" s="78" t="s">
        <v>355</v>
      </c>
      <c r="F215" s="90"/>
      <c r="G215" s="79">
        <f>G216</f>
        <v>30000</v>
      </c>
      <c r="H215" s="87">
        <f>H216</f>
        <v>29928</v>
      </c>
      <c r="I215" s="68">
        <f>I216</f>
        <v>0</v>
      </c>
      <c r="J215" s="81">
        <f t="shared" si="10"/>
        <v>99.76</v>
      </c>
    </row>
    <row r="216" spans="1:10" ht="140.4" hidden="1" x14ac:dyDescent="0.3">
      <c r="A216" s="89" t="s">
        <v>356</v>
      </c>
      <c r="B216" s="77" t="s">
        <v>121</v>
      </c>
      <c r="C216" s="78" t="s">
        <v>52</v>
      </c>
      <c r="D216" s="78" t="s">
        <v>52</v>
      </c>
      <c r="E216" s="78" t="s">
        <v>355</v>
      </c>
      <c r="F216" s="90">
        <v>200</v>
      </c>
      <c r="G216" s="79">
        <v>30000</v>
      </c>
      <c r="H216" s="92">
        <v>29928</v>
      </c>
      <c r="I216" s="84">
        <v>0</v>
      </c>
      <c r="J216" s="81">
        <f t="shared" si="10"/>
        <v>99.76</v>
      </c>
    </row>
    <row r="217" spans="1:10" ht="78" hidden="1" x14ac:dyDescent="0.3">
      <c r="A217" s="76" t="s">
        <v>357</v>
      </c>
      <c r="B217" s="77" t="s">
        <v>121</v>
      </c>
      <c r="C217" s="78" t="s">
        <v>52</v>
      </c>
      <c r="D217" s="78" t="s">
        <v>52</v>
      </c>
      <c r="E217" s="78" t="s">
        <v>358</v>
      </c>
      <c r="F217" s="90"/>
      <c r="G217" s="68">
        <f>G218</f>
        <v>0</v>
      </c>
      <c r="H217" s="68">
        <f>H218</f>
        <v>0</v>
      </c>
      <c r="I217" s="68">
        <f>I218</f>
        <v>0</v>
      </c>
      <c r="J217" s="69" t="e">
        <f t="shared" si="10"/>
        <v>#DIV/0!</v>
      </c>
    </row>
    <row r="218" spans="1:10" ht="31.2" hidden="1" x14ac:dyDescent="0.3">
      <c r="A218" s="76" t="s">
        <v>201</v>
      </c>
      <c r="B218" s="77" t="s">
        <v>121</v>
      </c>
      <c r="C218" s="78" t="s">
        <v>52</v>
      </c>
      <c r="D218" s="78" t="s">
        <v>52</v>
      </c>
      <c r="E218" s="78" t="s">
        <v>358</v>
      </c>
      <c r="F218" s="90">
        <v>200</v>
      </c>
      <c r="G218" s="68"/>
      <c r="H218" s="84"/>
      <c r="I218" s="84"/>
      <c r="J218" s="69" t="e">
        <f t="shared" si="10"/>
        <v>#DIV/0!</v>
      </c>
    </row>
    <row r="219" spans="1:10" ht="62.4" hidden="1" x14ac:dyDescent="0.3">
      <c r="A219" s="76" t="s">
        <v>359</v>
      </c>
      <c r="B219" s="77" t="s">
        <v>121</v>
      </c>
      <c r="C219" s="78" t="s">
        <v>52</v>
      </c>
      <c r="D219" s="78" t="s">
        <v>52</v>
      </c>
      <c r="E219" s="78" t="s">
        <v>360</v>
      </c>
      <c r="F219" s="90"/>
      <c r="G219" s="68">
        <f>G220</f>
        <v>0</v>
      </c>
      <c r="H219" s="68">
        <f>H220</f>
        <v>0</v>
      </c>
      <c r="I219" s="68">
        <f>I220</f>
        <v>0</v>
      </c>
      <c r="J219" s="69" t="e">
        <f t="shared" si="10"/>
        <v>#DIV/0!</v>
      </c>
    </row>
    <row r="220" spans="1:10" ht="31.2" hidden="1" x14ac:dyDescent="0.3">
      <c r="A220" s="76" t="s">
        <v>201</v>
      </c>
      <c r="B220" s="77" t="s">
        <v>121</v>
      </c>
      <c r="C220" s="78" t="s">
        <v>52</v>
      </c>
      <c r="D220" s="78" t="s">
        <v>52</v>
      </c>
      <c r="E220" s="78" t="s">
        <v>360</v>
      </c>
      <c r="F220" s="90">
        <v>200</v>
      </c>
      <c r="G220" s="68"/>
      <c r="H220" s="84"/>
      <c r="I220" s="84"/>
      <c r="J220" s="69" t="e">
        <f t="shared" si="10"/>
        <v>#DIV/0!</v>
      </c>
    </row>
    <row r="221" spans="1:10" ht="78" hidden="1" x14ac:dyDescent="0.3">
      <c r="A221" s="89" t="s">
        <v>361</v>
      </c>
      <c r="B221" s="77" t="s">
        <v>121</v>
      </c>
      <c r="C221" s="78" t="s">
        <v>52</v>
      </c>
      <c r="D221" s="78" t="s">
        <v>52</v>
      </c>
      <c r="E221" s="78" t="s">
        <v>362</v>
      </c>
      <c r="F221" s="90"/>
      <c r="G221" s="79">
        <f>G222</f>
        <v>364734.4</v>
      </c>
      <c r="H221" s="87">
        <f>H222</f>
        <v>329180.78000000003</v>
      </c>
      <c r="I221" s="68">
        <f>I222</f>
        <v>3000000</v>
      </c>
      <c r="J221" s="81">
        <f t="shared" si="10"/>
        <v>90.252188990125418</v>
      </c>
    </row>
    <row r="222" spans="1:10" ht="46.8" hidden="1" x14ac:dyDescent="0.3">
      <c r="A222" s="88" t="s">
        <v>363</v>
      </c>
      <c r="B222" s="77" t="s">
        <v>121</v>
      </c>
      <c r="C222" s="78" t="s">
        <v>52</v>
      </c>
      <c r="D222" s="78" t="s">
        <v>52</v>
      </c>
      <c r="E222" s="78" t="s">
        <v>362</v>
      </c>
      <c r="F222" s="90">
        <v>200</v>
      </c>
      <c r="G222" s="79">
        <v>364734.4</v>
      </c>
      <c r="H222" s="92">
        <v>329180.78000000003</v>
      </c>
      <c r="I222" s="84">
        <v>3000000</v>
      </c>
      <c r="J222" s="81">
        <f t="shared" si="10"/>
        <v>90.252188990125418</v>
      </c>
    </row>
    <row r="223" spans="1:10" hidden="1" x14ac:dyDescent="0.3">
      <c r="A223" s="76"/>
      <c r="B223" s="77"/>
      <c r="C223" s="78"/>
      <c r="D223" s="78"/>
      <c r="E223" s="78"/>
      <c r="F223" s="90"/>
      <c r="G223" s="68"/>
      <c r="H223" s="68"/>
      <c r="I223" s="68"/>
      <c r="J223" s="69"/>
    </row>
    <row r="224" spans="1:10" hidden="1" x14ac:dyDescent="0.3">
      <c r="A224" s="76"/>
      <c r="B224" s="77"/>
      <c r="C224" s="78"/>
      <c r="D224" s="78"/>
      <c r="E224" s="78"/>
      <c r="F224" s="90"/>
      <c r="G224" s="68"/>
      <c r="H224" s="84"/>
      <c r="I224" s="84"/>
      <c r="J224" s="69"/>
    </row>
    <row r="225" spans="1:10" hidden="1" x14ac:dyDescent="0.3">
      <c r="A225" s="70" t="s">
        <v>86</v>
      </c>
      <c r="B225" s="71" t="s">
        <v>121</v>
      </c>
      <c r="C225" s="72" t="s">
        <v>52</v>
      </c>
      <c r="D225" s="72" t="s">
        <v>60</v>
      </c>
      <c r="E225" s="91"/>
      <c r="F225" s="91"/>
      <c r="G225" s="73">
        <f>G226</f>
        <v>573397.1</v>
      </c>
      <c r="H225" s="74">
        <f>H226</f>
        <v>569381.21</v>
      </c>
      <c r="I225" s="68">
        <f>I226</f>
        <v>573400</v>
      </c>
      <c r="J225" s="69">
        <f t="shared" si="10"/>
        <v>99.29963196535175</v>
      </c>
    </row>
    <row r="226" spans="1:10" ht="78" hidden="1" x14ac:dyDescent="0.3">
      <c r="A226" s="93" t="s">
        <v>364</v>
      </c>
      <c r="B226" s="77" t="s">
        <v>121</v>
      </c>
      <c r="C226" s="78" t="s">
        <v>52</v>
      </c>
      <c r="D226" s="78" t="s">
        <v>60</v>
      </c>
      <c r="E226" s="140" t="s">
        <v>365</v>
      </c>
      <c r="F226" s="90"/>
      <c r="G226" s="79">
        <f>G227+G228</f>
        <v>573397.1</v>
      </c>
      <c r="H226" s="87">
        <f>H227+H228</f>
        <v>569381.21</v>
      </c>
      <c r="I226" s="68">
        <f>I227+I228</f>
        <v>573400</v>
      </c>
      <c r="J226" s="81">
        <f t="shared" si="10"/>
        <v>99.29963196535175</v>
      </c>
    </row>
    <row r="227" spans="1:10" ht="124.8" hidden="1" x14ac:dyDescent="0.3">
      <c r="A227" s="147" t="s">
        <v>366</v>
      </c>
      <c r="B227" s="77" t="s">
        <v>121</v>
      </c>
      <c r="C227" s="78" t="s">
        <v>52</v>
      </c>
      <c r="D227" s="78" t="s">
        <v>60</v>
      </c>
      <c r="E227" s="140" t="s">
        <v>365</v>
      </c>
      <c r="F227" s="90">
        <v>100</v>
      </c>
      <c r="G227" s="79">
        <v>540730.1</v>
      </c>
      <c r="H227" s="92">
        <v>536714.21</v>
      </c>
      <c r="I227" s="84">
        <v>513000</v>
      </c>
      <c r="J227" s="81">
        <f t="shared" si="10"/>
        <v>99.257320796456497</v>
      </c>
    </row>
    <row r="228" spans="1:10" ht="93.6" hidden="1" x14ac:dyDescent="0.3">
      <c r="A228" s="86" t="s">
        <v>367</v>
      </c>
      <c r="B228" s="77" t="s">
        <v>121</v>
      </c>
      <c r="C228" s="78" t="s">
        <v>52</v>
      </c>
      <c r="D228" s="78" t="s">
        <v>60</v>
      </c>
      <c r="E228" s="140" t="s">
        <v>365</v>
      </c>
      <c r="F228" s="90">
        <v>200</v>
      </c>
      <c r="G228" s="79">
        <v>32667</v>
      </c>
      <c r="H228" s="92">
        <v>32667</v>
      </c>
      <c r="I228" s="84">
        <v>60400</v>
      </c>
      <c r="J228" s="81">
        <f t="shared" si="10"/>
        <v>100</v>
      </c>
    </row>
    <row r="229" spans="1:10" hidden="1" x14ac:dyDescent="0.3">
      <c r="A229" s="70" t="s">
        <v>87</v>
      </c>
      <c r="B229" s="71" t="s">
        <v>121</v>
      </c>
      <c r="C229" s="72" t="s">
        <v>70</v>
      </c>
      <c r="D229" s="72" t="s">
        <v>40</v>
      </c>
      <c r="E229" s="91"/>
      <c r="F229" s="91"/>
      <c r="G229" s="73">
        <f>G230</f>
        <v>2168800</v>
      </c>
      <c r="H229" s="74">
        <f>H230</f>
        <v>1842472.36</v>
      </c>
      <c r="I229" s="68">
        <f>I230</f>
        <v>500000</v>
      </c>
      <c r="J229" s="69">
        <f t="shared" si="10"/>
        <v>84.953539284396911</v>
      </c>
    </row>
    <row r="230" spans="1:10" hidden="1" x14ac:dyDescent="0.3">
      <c r="A230" s="70" t="s">
        <v>368</v>
      </c>
      <c r="B230" s="71" t="s">
        <v>121</v>
      </c>
      <c r="C230" s="72" t="s">
        <v>70</v>
      </c>
      <c r="D230" s="72" t="s">
        <v>39</v>
      </c>
      <c r="E230" s="91"/>
      <c r="F230" s="91"/>
      <c r="G230" s="73">
        <f>G245+G231+G233+G235+G239+G241+G243+G237</f>
        <v>2168800</v>
      </c>
      <c r="H230" s="74">
        <f>H245+H231+H233+H235+H239+H241+H243+H237</f>
        <v>1842472.36</v>
      </c>
      <c r="I230" s="68">
        <f>I245+I231+I233+I235+I239+I241+I243+I237</f>
        <v>500000</v>
      </c>
      <c r="J230" s="69">
        <f t="shared" si="10"/>
        <v>84.953539284396911</v>
      </c>
    </row>
    <row r="231" spans="1:10" ht="78" hidden="1" x14ac:dyDescent="0.3">
      <c r="A231" s="89" t="s">
        <v>369</v>
      </c>
      <c r="B231" s="77" t="s">
        <v>121</v>
      </c>
      <c r="C231" s="78" t="s">
        <v>70</v>
      </c>
      <c r="D231" s="78" t="s">
        <v>39</v>
      </c>
      <c r="E231" s="78" t="s">
        <v>370</v>
      </c>
      <c r="F231" s="90"/>
      <c r="G231" s="79">
        <f>G232</f>
        <v>0</v>
      </c>
      <c r="H231" s="87">
        <f>H232</f>
        <v>0</v>
      </c>
      <c r="I231" s="68">
        <f>I232</f>
        <v>0</v>
      </c>
      <c r="J231" s="81">
        <v>0</v>
      </c>
    </row>
    <row r="232" spans="1:10" ht="46.8" hidden="1" x14ac:dyDescent="0.3">
      <c r="A232" s="88" t="s">
        <v>371</v>
      </c>
      <c r="B232" s="77" t="s">
        <v>121</v>
      </c>
      <c r="C232" s="78" t="s">
        <v>70</v>
      </c>
      <c r="D232" s="78" t="s">
        <v>39</v>
      </c>
      <c r="E232" s="78" t="s">
        <v>370</v>
      </c>
      <c r="F232" s="90">
        <v>200</v>
      </c>
      <c r="G232" s="79">
        <v>0</v>
      </c>
      <c r="H232" s="87">
        <v>0</v>
      </c>
      <c r="I232" s="68">
        <v>0</v>
      </c>
      <c r="J232" s="81">
        <v>0</v>
      </c>
    </row>
    <row r="233" spans="1:10" ht="93.6" hidden="1" x14ac:dyDescent="0.3">
      <c r="A233" s="76" t="s">
        <v>372</v>
      </c>
      <c r="B233" s="77" t="s">
        <v>121</v>
      </c>
      <c r="C233" s="78" t="s">
        <v>70</v>
      </c>
      <c r="D233" s="78" t="s">
        <v>39</v>
      </c>
      <c r="E233" s="78" t="s">
        <v>373</v>
      </c>
      <c r="F233" s="90"/>
      <c r="G233" s="68">
        <f>G234</f>
        <v>0</v>
      </c>
      <c r="H233" s="87">
        <f>H234</f>
        <v>0</v>
      </c>
      <c r="I233" s="68">
        <f>I234</f>
        <v>0</v>
      </c>
      <c r="J233" s="81" t="e">
        <f t="shared" si="10"/>
        <v>#DIV/0!</v>
      </c>
    </row>
    <row r="234" spans="1:10" ht="31.2" hidden="1" x14ac:dyDescent="0.3">
      <c r="A234" s="76" t="s">
        <v>201</v>
      </c>
      <c r="B234" s="77" t="s">
        <v>121</v>
      </c>
      <c r="C234" s="78" t="s">
        <v>70</v>
      </c>
      <c r="D234" s="78" t="s">
        <v>39</v>
      </c>
      <c r="E234" s="78" t="s">
        <v>373</v>
      </c>
      <c r="F234" s="90">
        <v>200</v>
      </c>
      <c r="G234" s="68"/>
      <c r="H234" s="87"/>
      <c r="I234" s="68"/>
      <c r="J234" s="81" t="e">
        <f t="shared" si="10"/>
        <v>#DIV/0!</v>
      </c>
    </row>
    <row r="235" spans="1:10" ht="78" hidden="1" x14ac:dyDescent="0.3">
      <c r="A235" s="76" t="s">
        <v>374</v>
      </c>
      <c r="B235" s="77" t="s">
        <v>121</v>
      </c>
      <c r="C235" s="78" t="s">
        <v>70</v>
      </c>
      <c r="D235" s="78" t="s">
        <v>39</v>
      </c>
      <c r="E235" s="78" t="s">
        <v>375</v>
      </c>
      <c r="F235" s="90"/>
      <c r="G235" s="68">
        <f>G236</f>
        <v>0</v>
      </c>
      <c r="H235" s="87">
        <f>H236</f>
        <v>0</v>
      </c>
      <c r="I235" s="68">
        <f>I236</f>
        <v>0</v>
      </c>
      <c r="J235" s="81" t="e">
        <f t="shared" si="10"/>
        <v>#DIV/0!</v>
      </c>
    </row>
    <row r="236" spans="1:10" ht="31.2" hidden="1" x14ac:dyDescent="0.3">
      <c r="A236" s="76" t="s">
        <v>201</v>
      </c>
      <c r="B236" s="77" t="s">
        <v>121</v>
      </c>
      <c r="C236" s="78" t="s">
        <v>70</v>
      </c>
      <c r="D236" s="78" t="s">
        <v>39</v>
      </c>
      <c r="E236" s="78" t="s">
        <v>375</v>
      </c>
      <c r="F236" s="90">
        <v>200</v>
      </c>
      <c r="G236" s="68"/>
      <c r="H236" s="87"/>
      <c r="I236" s="68"/>
      <c r="J236" s="81" t="e">
        <f t="shared" si="10"/>
        <v>#DIV/0!</v>
      </c>
    </row>
    <row r="237" spans="1:10" ht="78" hidden="1" x14ac:dyDescent="0.3">
      <c r="A237" s="89" t="s">
        <v>376</v>
      </c>
      <c r="B237" s="77" t="s">
        <v>121</v>
      </c>
      <c r="C237" s="78" t="s">
        <v>70</v>
      </c>
      <c r="D237" s="78" t="s">
        <v>39</v>
      </c>
      <c r="E237" s="78" t="s">
        <v>377</v>
      </c>
      <c r="F237" s="90"/>
      <c r="G237" s="79">
        <f>G238</f>
        <v>0</v>
      </c>
      <c r="H237" s="87">
        <f>H238</f>
        <v>0</v>
      </c>
      <c r="I237" s="68">
        <f>I238</f>
        <v>0</v>
      </c>
      <c r="J237" s="81">
        <v>0</v>
      </c>
    </row>
    <row r="238" spans="1:10" ht="46.8" hidden="1" x14ac:dyDescent="0.3">
      <c r="A238" s="88" t="s">
        <v>371</v>
      </c>
      <c r="B238" s="77" t="s">
        <v>121</v>
      </c>
      <c r="C238" s="78" t="s">
        <v>70</v>
      </c>
      <c r="D238" s="78" t="s">
        <v>39</v>
      </c>
      <c r="E238" s="78" t="s">
        <v>377</v>
      </c>
      <c r="F238" s="90">
        <v>200</v>
      </c>
      <c r="G238" s="79">
        <v>0</v>
      </c>
      <c r="H238" s="87">
        <v>0</v>
      </c>
      <c r="I238" s="68">
        <v>0</v>
      </c>
      <c r="J238" s="81">
        <v>0</v>
      </c>
    </row>
    <row r="239" spans="1:10" hidden="1" x14ac:dyDescent="0.3">
      <c r="A239" s="76"/>
      <c r="B239" s="77"/>
      <c r="C239" s="78"/>
      <c r="D239" s="78"/>
      <c r="E239" s="78"/>
      <c r="F239" s="90"/>
      <c r="G239" s="68"/>
      <c r="H239" s="25"/>
      <c r="I239" s="68"/>
      <c r="J239" s="69"/>
    </row>
    <row r="240" spans="1:10" hidden="1" x14ac:dyDescent="0.3">
      <c r="A240" s="76"/>
      <c r="B240" s="77"/>
      <c r="C240" s="78"/>
      <c r="D240" s="78"/>
      <c r="E240" s="78"/>
      <c r="F240" s="90"/>
      <c r="G240" s="68"/>
      <c r="H240" s="25"/>
      <c r="I240" s="68"/>
      <c r="J240" s="69"/>
    </row>
    <row r="241" spans="1:10" ht="109.2" hidden="1" x14ac:dyDescent="0.3">
      <c r="A241" s="89" t="s">
        <v>378</v>
      </c>
      <c r="B241" s="77" t="s">
        <v>121</v>
      </c>
      <c r="C241" s="78" t="s">
        <v>70</v>
      </c>
      <c r="D241" s="78" t="s">
        <v>39</v>
      </c>
      <c r="E241" s="78" t="s">
        <v>379</v>
      </c>
      <c r="F241" s="90"/>
      <c r="G241" s="79">
        <f>G242</f>
        <v>100000</v>
      </c>
      <c r="H241" s="87">
        <f>H242</f>
        <v>0</v>
      </c>
      <c r="I241" s="68">
        <f>I242</f>
        <v>0</v>
      </c>
      <c r="J241" s="81">
        <v>0</v>
      </c>
    </row>
    <row r="242" spans="1:10" ht="46.8" hidden="1" x14ac:dyDescent="0.3">
      <c r="A242" s="88" t="s">
        <v>380</v>
      </c>
      <c r="B242" s="77" t="s">
        <v>121</v>
      </c>
      <c r="C242" s="78" t="s">
        <v>70</v>
      </c>
      <c r="D242" s="78" t="s">
        <v>39</v>
      </c>
      <c r="E242" s="78" t="s">
        <v>379</v>
      </c>
      <c r="F242" s="90">
        <v>200</v>
      </c>
      <c r="G242" s="79">
        <v>100000</v>
      </c>
      <c r="H242" s="87">
        <v>0</v>
      </c>
      <c r="I242" s="68">
        <v>0</v>
      </c>
      <c r="J242" s="81">
        <v>0</v>
      </c>
    </row>
    <row r="243" spans="1:10" ht="93.6" hidden="1" x14ac:dyDescent="0.3">
      <c r="A243" s="89" t="s">
        <v>381</v>
      </c>
      <c r="B243" s="77" t="s">
        <v>121</v>
      </c>
      <c r="C243" s="78" t="s">
        <v>70</v>
      </c>
      <c r="D243" s="78" t="s">
        <v>39</v>
      </c>
      <c r="E243" s="78" t="s">
        <v>382</v>
      </c>
      <c r="F243" s="90"/>
      <c r="G243" s="79">
        <f>G244</f>
        <v>0</v>
      </c>
      <c r="H243" s="87">
        <f>H244</f>
        <v>0</v>
      </c>
      <c r="I243" s="68">
        <f>I244</f>
        <v>0</v>
      </c>
      <c r="J243" s="81">
        <v>0</v>
      </c>
    </row>
    <row r="244" spans="1:10" ht="46.8" hidden="1" x14ac:dyDescent="0.3">
      <c r="A244" s="88" t="s">
        <v>383</v>
      </c>
      <c r="B244" s="77" t="s">
        <v>121</v>
      </c>
      <c r="C244" s="78" t="s">
        <v>70</v>
      </c>
      <c r="D244" s="78" t="s">
        <v>39</v>
      </c>
      <c r="E244" s="78" t="s">
        <v>382</v>
      </c>
      <c r="F244" s="90">
        <v>200</v>
      </c>
      <c r="G244" s="79">
        <v>0</v>
      </c>
      <c r="H244" s="87">
        <v>0</v>
      </c>
      <c r="I244" s="68">
        <v>0</v>
      </c>
      <c r="J244" s="81">
        <v>0</v>
      </c>
    </row>
    <row r="245" spans="1:10" ht="46.8" hidden="1" x14ac:dyDescent="0.3">
      <c r="A245" s="89" t="s">
        <v>384</v>
      </c>
      <c r="B245" s="77" t="s">
        <v>121</v>
      </c>
      <c r="C245" s="78" t="s">
        <v>70</v>
      </c>
      <c r="D245" s="78" t="s">
        <v>39</v>
      </c>
      <c r="E245" s="78" t="s">
        <v>385</v>
      </c>
      <c r="F245" s="90"/>
      <c r="G245" s="79">
        <f>G246</f>
        <v>2068800</v>
      </c>
      <c r="H245" s="87">
        <f>H246</f>
        <v>1842472.36</v>
      </c>
      <c r="I245" s="68">
        <f>I246</f>
        <v>500000</v>
      </c>
      <c r="J245" s="81">
        <f t="shared" si="10"/>
        <v>89.059955529775721</v>
      </c>
    </row>
    <row r="246" spans="1:10" ht="78" hidden="1" x14ac:dyDescent="0.3">
      <c r="A246" s="88" t="s">
        <v>386</v>
      </c>
      <c r="B246" s="77" t="s">
        <v>121</v>
      </c>
      <c r="C246" s="78" t="s">
        <v>70</v>
      </c>
      <c r="D246" s="78" t="s">
        <v>39</v>
      </c>
      <c r="E246" s="78" t="s">
        <v>385</v>
      </c>
      <c r="F246" s="90">
        <v>200</v>
      </c>
      <c r="G246" s="79">
        <v>2068800</v>
      </c>
      <c r="H246" s="92">
        <v>1842472.36</v>
      </c>
      <c r="I246" s="84">
        <v>500000</v>
      </c>
      <c r="J246" s="81">
        <f t="shared" si="10"/>
        <v>89.059955529775721</v>
      </c>
    </row>
    <row r="247" spans="1:10" hidden="1" x14ac:dyDescent="0.3">
      <c r="A247" s="70" t="s">
        <v>89</v>
      </c>
      <c r="B247" s="71" t="s">
        <v>121</v>
      </c>
      <c r="C247" s="72" t="s">
        <v>60</v>
      </c>
      <c r="D247" s="72" t="s">
        <v>40</v>
      </c>
      <c r="E247" s="91"/>
      <c r="F247" s="91"/>
      <c r="G247" s="73">
        <f>G251+G248</f>
        <v>573397.05000000005</v>
      </c>
      <c r="H247" s="74">
        <f>H251+H248</f>
        <v>544830.35</v>
      </c>
      <c r="I247" s="68">
        <f>I251+I248</f>
        <v>573400</v>
      </c>
      <c r="J247" s="69">
        <f t="shared" si="10"/>
        <v>95.017989715852195</v>
      </c>
    </row>
    <row r="248" spans="1:10" hidden="1" x14ac:dyDescent="0.3">
      <c r="A248" s="70" t="s">
        <v>90</v>
      </c>
      <c r="B248" s="71" t="s">
        <v>121</v>
      </c>
      <c r="C248" s="72" t="s">
        <v>60</v>
      </c>
      <c r="D248" s="72" t="s">
        <v>52</v>
      </c>
      <c r="E248" s="91"/>
      <c r="F248" s="91"/>
      <c r="G248" s="73">
        <f t="shared" ref="G248:I249" si="11">G249</f>
        <v>0</v>
      </c>
      <c r="H248" s="74">
        <f t="shared" si="11"/>
        <v>0</v>
      </c>
      <c r="I248" s="68">
        <f t="shared" si="11"/>
        <v>0</v>
      </c>
      <c r="J248" s="69" t="e">
        <f t="shared" si="10"/>
        <v>#DIV/0!</v>
      </c>
    </row>
    <row r="249" spans="1:10" ht="31.2" hidden="1" x14ac:dyDescent="0.3">
      <c r="A249" s="70" t="s">
        <v>387</v>
      </c>
      <c r="B249" s="71" t="s">
        <v>121</v>
      </c>
      <c r="C249" s="72" t="s">
        <v>60</v>
      </c>
      <c r="D249" s="72" t="s">
        <v>52</v>
      </c>
      <c r="E249" s="148">
        <v>5701</v>
      </c>
      <c r="F249" s="91"/>
      <c r="G249" s="73">
        <f t="shared" si="11"/>
        <v>0</v>
      </c>
      <c r="H249" s="74">
        <f t="shared" si="11"/>
        <v>0</v>
      </c>
      <c r="I249" s="68">
        <f t="shared" si="11"/>
        <v>0</v>
      </c>
      <c r="J249" s="69" t="e">
        <f t="shared" si="10"/>
        <v>#DIV/0!</v>
      </c>
    </row>
    <row r="250" spans="1:10" ht="31.2" hidden="1" x14ac:dyDescent="0.3">
      <c r="A250" s="70" t="s">
        <v>201</v>
      </c>
      <c r="B250" s="71" t="s">
        <v>121</v>
      </c>
      <c r="C250" s="72" t="s">
        <v>60</v>
      </c>
      <c r="D250" s="72" t="s">
        <v>52</v>
      </c>
      <c r="E250" s="148">
        <v>5701</v>
      </c>
      <c r="F250" s="91">
        <v>200</v>
      </c>
      <c r="G250" s="73">
        <f>1347700+45.05-1347745.05</f>
        <v>0</v>
      </c>
      <c r="H250" s="74">
        <f>1347700-1347700</f>
        <v>0</v>
      </c>
      <c r="I250" s="68">
        <f>1347700-1347700</f>
        <v>0</v>
      </c>
      <c r="J250" s="69" t="e">
        <f t="shared" si="10"/>
        <v>#DIV/0!</v>
      </c>
    </row>
    <row r="251" spans="1:10" hidden="1" x14ac:dyDescent="0.3">
      <c r="A251" s="70" t="s">
        <v>91</v>
      </c>
      <c r="B251" s="71" t="s">
        <v>121</v>
      </c>
      <c r="C251" s="72" t="s">
        <v>60</v>
      </c>
      <c r="D251" s="72" t="s">
        <v>60</v>
      </c>
      <c r="E251" s="91"/>
      <c r="F251" s="91"/>
      <c r="G251" s="73">
        <f>G252</f>
        <v>573397.05000000005</v>
      </c>
      <c r="H251" s="74">
        <f>H252</f>
        <v>544830.35</v>
      </c>
      <c r="I251" s="68">
        <f>I252</f>
        <v>573400</v>
      </c>
      <c r="J251" s="69">
        <f t="shared" si="10"/>
        <v>95.017989715852195</v>
      </c>
    </row>
    <row r="252" spans="1:10" ht="156" hidden="1" x14ac:dyDescent="0.3">
      <c r="A252" s="106" t="s">
        <v>388</v>
      </c>
      <c r="B252" s="77" t="s">
        <v>121</v>
      </c>
      <c r="C252" s="78" t="s">
        <v>60</v>
      </c>
      <c r="D252" s="78" t="s">
        <v>60</v>
      </c>
      <c r="E252" s="140" t="s">
        <v>389</v>
      </c>
      <c r="F252" s="90"/>
      <c r="G252" s="79">
        <f>G253+G254</f>
        <v>573397.05000000005</v>
      </c>
      <c r="H252" s="87">
        <f>H253+H254</f>
        <v>544830.35</v>
      </c>
      <c r="I252" s="68">
        <f>I253+I254</f>
        <v>573400</v>
      </c>
      <c r="J252" s="81">
        <f t="shared" si="10"/>
        <v>95.017989715852195</v>
      </c>
    </row>
    <row r="253" spans="1:10" ht="218.4" hidden="1" x14ac:dyDescent="0.3">
      <c r="A253" s="86" t="s">
        <v>390</v>
      </c>
      <c r="B253" s="77" t="s">
        <v>121</v>
      </c>
      <c r="C253" s="78" t="s">
        <v>60</v>
      </c>
      <c r="D253" s="78" t="s">
        <v>60</v>
      </c>
      <c r="E253" s="140" t="s">
        <v>389</v>
      </c>
      <c r="F253" s="90">
        <v>100</v>
      </c>
      <c r="G253" s="79">
        <v>531681.05000000005</v>
      </c>
      <c r="H253" s="92">
        <v>503114.35</v>
      </c>
      <c r="I253" s="84">
        <v>511000</v>
      </c>
      <c r="J253" s="81">
        <f t="shared" si="10"/>
        <v>94.627098332731606</v>
      </c>
    </row>
    <row r="254" spans="1:10" ht="187.2" hidden="1" x14ac:dyDescent="0.3">
      <c r="A254" s="86" t="s">
        <v>391</v>
      </c>
      <c r="B254" s="77" t="s">
        <v>121</v>
      </c>
      <c r="C254" s="78" t="s">
        <v>60</v>
      </c>
      <c r="D254" s="78" t="s">
        <v>60</v>
      </c>
      <c r="E254" s="140" t="s">
        <v>389</v>
      </c>
      <c r="F254" s="82" t="s">
        <v>132</v>
      </c>
      <c r="G254" s="79">
        <v>41716</v>
      </c>
      <c r="H254" s="92">
        <v>41716</v>
      </c>
      <c r="I254" s="84">
        <v>62400</v>
      </c>
      <c r="J254" s="81">
        <f t="shared" si="10"/>
        <v>100</v>
      </c>
    </row>
    <row r="255" spans="1:10" hidden="1" x14ac:dyDescent="0.3">
      <c r="A255" s="70" t="s">
        <v>92</v>
      </c>
      <c r="B255" s="71" t="s">
        <v>121</v>
      </c>
      <c r="C255" s="72" t="s">
        <v>62</v>
      </c>
      <c r="D255" s="72" t="s">
        <v>40</v>
      </c>
      <c r="E255" s="72"/>
      <c r="F255" s="72"/>
      <c r="G255" s="74">
        <f>G256+G261+G281</f>
        <v>12581456.51</v>
      </c>
      <c r="H255" s="74">
        <f>H256+H261+H281</f>
        <v>12162677.609999999</v>
      </c>
      <c r="I255" s="68">
        <f>I256+I261+I281</f>
        <v>9404720</v>
      </c>
      <c r="J255" s="69">
        <f t="shared" si="10"/>
        <v>96.671459304674727</v>
      </c>
    </row>
    <row r="256" spans="1:10" hidden="1" x14ac:dyDescent="0.3">
      <c r="A256" s="70" t="s">
        <v>93</v>
      </c>
      <c r="B256" s="71" t="s">
        <v>121</v>
      </c>
      <c r="C256" s="72" t="s">
        <v>62</v>
      </c>
      <c r="D256" s="72" t="s">
        <v>39</v>
      </c>
      <c r="E256" s="72"/>
      <c r="F256" s="72"/>
      <c r="G256" s="73">
        <f>G257+G259</f>
        <v>1557054.3</v>
      </c>
      <c r="H256" s="73">
        <f>H257+H259</f>
        <v>1499454.3</v>
      </c>
      <c r="I256" s="68">
        <f t="shared" ref="G256:I257" si="12">I257</f>
        <v>1231720</v>
      </c>
      <c r="J256" s="69">
        <f t="shared" si="10"/>
        <v>96.300707046632866</v>
      </c>
    </row>
    <row r="257" spans="1:10" ht="62.4" hidden="1" x14ac:dyDescent="0.3">
      <c r="A257" s="89" t="s">
        <v>392</v>
      </c>
      <c r="B257" s="77" t="s">
        <v>121</v>
      </c>
      <c r="C257" s="78" t="s">
        <v>62</v>
      </c>
      <c r="D257" s="78" t="s">
        <v>39</v>
      </c>
      <c r="E257" s="78" t="s">
        <v>393</v>
      </c>
      <c r="F257" s="78"/>
      <c r="G257" s="79">
        <f t="shared" si="12"/>
        <v>1441854.3</v>
      </c>
      <c r="H257" s="87">
        <f t="shared" si="12"/>
        <v>1441854.3</v>
      </c>
      <c r="I257" s="68">
        <f t="shared" si="12"/>
        <v>1231720</v>
      </c>
      <c r="J257" s="81">
        <f t="shared" si="10"/>
        <v>100</v>
      </c>
    </row>
    <row r="258" spans="1:10" ht="62.4" hidden="1" x14ac:dyDescent="0.3">
      <c r="A258" s="88" t="s">
        <v>394</v>
      </c>
      <c r="B258" s="77" t="s">
        <v>121</v>
      </c>
      <c r="C258" s="78" t="s">
        <v>62</v>
      </c>
      <c r="D258" s="78" t="s">
        <v>39</v>
      </c>
      <c r="E258" s="78" t="s">
        <v>393</v>
      </c>
      <c r="F258" s="78" t="s">
        <v>395</v>
      </c>
      <c r="G258" s="79">
        <v>1441854.3</v>
      </c>
      <c r="H258" s="92">
        <v>1441854.3</v>
      </c>
      <c r="I258" s="84">
        <v>1231720</v>
      </c>
      <c r="J258" s="81">
        <f t="shared" si="10"/>
        <v>100</v>
      </c>
    </row>
    <row r="259" spans="1:10" ht="109.2" hidden="1" x14ac:dyDescent="0.3">
      <c r="A259" s="106" t="s">
        <v>396</v>
      </c>
      <c r="B259" s="77" t="s">
        <v>121</v>
      </c>
      <c r="C259" s="78" t="s">
        <v>62</v>
      </c>
      <c r="D259" s="78" t="s">
        <v>39</v>
      </c>
      <c r="E259" s="78" t="s">
        <v>397</v>
      </c>
      <c r="F259" s="78"/>
      <c r="G259" s="79">
        <f>G260</f>
        <v>115200</v>
      </c>
      <c r="H259" s="87">
        <f>H260</f>
        <v>57600</v>
      </c>
      <c r="I259" s="84"/>
      <c r="J259" s="81">
        <f t="shared" si="10"/>
        <v>50</v>
      </c>
    </row>
    <row r="260" spans="1:10" ht="124.8" hidden="1" x14ac:dyDescent="0.3">
      <c r="A260" s="86" t="s">
        <v>398</v>
      </c>
      <c r="B260" s="77" t="s">
        <v>121</v>
      </c>
      <c r="C260" s="78" t="s">
        <v>62</v>
      </c>
      <c r="D260" s="78" t="s">
        <v>39</v>
      </c>
      <c r="E260" s="78" t="s">
        <v>397</v>
      </c>
      <c r="F260" s="78" t="s">
        <v>395</v>
      </c>
      <c r="G260" s="79">
        <v>115200</v>
      </c>
      <c r="H260" s="92">
        <v>57600</v>
      </c>
      <c r="I260" s="84"/>
      <c r="J260" s="81">
        <f t="shared" si="10"/>
        <v>50</v>
      </c>
    </row>
    <row r="261" spans="1:10" hidden="1" x14ac:dyDescent="0.3">
      <c r="A261" s="70" t="s">
        <v>94</v>
      </c>
      <c r="B261" s="71" t="s">
        <v>121</v>
      </c>
      <c r="C261" s="72" t="s">
        <v>62</v>
      </c>
      <c r="D261" s="72" t="s">
        <v>44</v>
      </c>
      <c r="E261" s="72"/>
      <c r="F261" s="72"/>
      <c r="G261" s="73">
        <f>G275+G277+G279+G262+G270+G264+G272+G266+G268</f>
        <v>3502786.21</v>
      </c>
      <c r="H261" s="74">
        <f>H275+H277+H279+H262+H270+H264+H272+H266+H268</f>
        <v>3178119.31</v>
      </c>
      <c r="I261" s="146">
        <f>I275+I277+I279+I262+I270+I264+I272</f>
        <v>550000</v>
      </c>
      <c r="J261" s="69">
        <f t="shared" si="10"/>
        <v>90.731181392883244</v>
      </c>
    </row>
    <row r="262" spans="1:10" ht="109.2" hidden="1" x14ac:dyDescent="0.3">
      <c r="A262" s="89" t="s">
        <v>399</v>
      </c>
      <c r="B262" s="77" t="s">
        <v>121</v>
      </c>
      <c r="C262" s="78" t="s">
        <v>62</v>
      </c>
      <c r="D262" s="78" t="s">
        <v>44</v>
      </c>
      <c r="E262" s="78" t="s">
        <v>400</v>
      </c>
      <c r="F262" s="78"/>
      <c r="G262" s="79">
        <f>G263</f>
        <v>6732</v>
      </c>
      <c r="H262" s="87">
        <f>H263</f>
        <v>6732</v>
      </c>
      <c r="I262" s="68">
        <f>I263</f>
        <v>100000</v>
      </c>
      <c r="J262" s="81">
        <f t="shared" si="10"/>
        <v>100</v>
      </c>
    </row>
    <row r="263" spans="1:10" ht="62.4" hidden="1" x14ac:dyDescent="0.3">
      <c r="A263" s="88" t="s">
        <v>401</v>
      </c>
      <c r="B263" s="77" t="s">
        <v>121</v>
      </c>
      <c r="C263" s="78" t="s">
        <v>62</v>
      </c>
      <c r="D263" s="78" t="s">
        <v>44</v>
      </c>
      <c r="E263" s="78" t="s">
        <v>400</v>
      </c>
      <c r="F263" s="78" t="s">
        <v>132</v>
      </c>
      <c r="G263" s="79">
        <v>6732</v>
      </c>
      <c r="H263" s="87">
        <v>6732</v>
      </c>
      <c r="I263" s="68">
        <v>100000</v>
      </c>
      <c r="J263" s="81">
        <f t="shared" si="10"/>
        <v>100</v>
      </c>
    </row>
    <row r="264" spans="1:10" ht="78" hidden="1" x14ac:dyDescent="0.3">
      <c r="A264" s="89" t="s">
        <v>402</v>
      </c>
      <c r="B264" s="77" t="s">
        <v>121</v>
      </c>
      <c r="C264" s="78" t="s">
        <v>62</v>
      </c>
      <c r="D264" s="78" t="s">
        <v>44</v>
      </c>
      <c r="E264" s="78" t="s">
        <v>403</v>
      </c>
      <c r="F264" s="78"/>
      <c r="G264" s="79">
        <f>G265</f>
        <v>1000000</v>
      </c>
      <c r="H264" s="87">
        <f>H265</f>
        <v>1000000</v>
      </c>
      <c r="I264" s="68">
        <f>I265</f>
        <v>0</v>
      </c>
      <c r="J264" s="81">
        <f t="shared" si="10"/>
        <v>100</v>
      </c>
    </row>
    <row r="265" spans="1:10" ht="46.8" hidden="1" x14ac:dyDescent="0.3">
      <c r="A265" s="88" t="s">
        <v>404</v>
      </c>
      <c r="B265" s="77" t="s">
        <v>121</v>
      </c>
      <c r="C265" s="78" t="s">
        <v>62</v>
      </c>
      <c r="D265" s="78" t="s">
        <v>44</v>
      </c>
      <c r="E265" s="78" t="s">
        <v>403</v>
      </c>
      <c r="F265" s="78" t="s">
        <v>395</v>
      </c>
      <c r="G265" s="79">
        <v>1000000</v>
      </c>
      <c r="H265" s="87">
        <v>1000000</v>
      </c>
      <c r="I265" s="68">
        <v>0</v>
      </c>
      <c r="J265" s="81">
        <f t="shared" si="10"/>
        <v>100</v>
      </c>
    </row>
    <row r="266" spans="1:10" ht="78" hidden="1" x14ac:dyDescent="0.3">
      <c r="A266" s="149" t="s">
        <v>405</v>
      </c>
      <c r="B266" s="77" t="s">
        <v>121</v>
      </c>
      <c r="C266" s="78" t="s">
        <v>62</v>
      </c>
      <c r="D266" s="78" t="s">
        <v>44</v>
      </c>
      <c r="E266" s="143" t="s">
        <v>406</v>
      </c>
      <c r="F266" s="78"/>
      <c r="G266" s="150">
        <f>G267</f>
        <v>471100</v>
      </c>
      <c r="H266" s="151">
        <f>H267</f>
        <v>471100</v>
      </c>
      <c r="I266" s="68"/>
      <c r="J266" s="81">
        <f t="shared" si="10"/>
        <v>100</v>
      </c>
    </row>
    <row r="267" spans="1:10" hidden="1" x14ac:dyDescent="0.3">
      <c r="A267" s="142" t="s">
        <v>407</v>
      </c>
      <c r="B267" s="77" t="s">
        <v>121</v>
      </c>
      <c r="C267" s="78" t="s">
        <v>62</v>
      </c>
      <c r="D267" s="78" t="s">
        <v>44</v>
      </c>
      <c r="E267" s="143" t="s">
        <v>406</v>
      </c>
      <c r="F267" s="78" t="s">
        <v>395</v>
      </c>
      <c r="G267" s="150">
        <v>471100</v>
      </c>
      <c r="H267" s="152">
        <v>471100</v>
      </c>
      <c r="I267" s="68"/>
      <c r="J267" s="81">
        <f t="shared" si="10"/>
        <v>100</v>
      </c>
    </row>
    <row r="268" spans="1:10" ht="78" hidden="1" x14ac:dyDescent="0.3">
      <c r="A268" s="153" t="s">
        <v>408</v>
      </c>
      <c r="B268" s="77" t="s">
        <v>121</v>
      </c>
      <c r="C268" s="78" t="s">
        <v>62</v>
      </c>
      <c r="D268" s="78" t="s">
        <v>44</v>
      </c>
      <c r="E268" s="144" t="s">
        <v>409</v>
      </c>
      <c r="F268" s="78"/>
      <c r="G268" s="79">
        <f>G269</f>
        <v>400000</v>
      </c>
      <c r="H268" s="87">
        <f>H269</f>
        <v>400000</v>
      </c>
      <c r="I268" s="68"/>
      <c r="J268" s="81">
        <f t="shared" si="10"/>
        <v>100</v>
      </c>
    </row>
    <row r="269" spans="1:10" hidden="1" x14ac:dyDescent="0.3">
      <c r="A269" s="154" t="s">
        <v>407</v>
      </c>
      <c r="B269" s="77" t="s">
        <v>121</v>
      </c>
      <c r="C269" s="78" t="s">
        <v>62</v>
      </c>
      <c r="D269" s="78" t="s">
        <v>44</v>
      </c>
      <c r="E269" s="144" t="s">
        <v>409</v>
      </c>
      <c r="F269" s="78" t="s">
        <v>395</v>
      </c>
      <c r="G269" s="79">
        <v>400000</v>
      </c>
      <c r="H269" s="87">
        <v>400000</v>
      </c>
      <c r="I269" s="68"/>
      <c r="J269" s="81">
        <f t="shared" si="10"/>
        <v>100</v>
      </c>
    </row>
    <row r="270" spans="1:10" ht="46.8" hidden="1" x14ac:dyDescent="0.3">
      <c r="A270" s="89" t="s">
        <v>410</v>
      </c>
      <c r="B270" s="77" t="s">
        <v>121</v>
      </c>
      <c r="C270" s="78" t="s">
        <v>62</v>
      </c>
      <c r="D270" s="78" t="s">
        <v>44</v>
      </c>
      <c r="E270" s="78" t="s">
        <v>411</v>
      </c>
      <c r="F270" s="78"/>
      <c r="G270" s="79">
        <f>G271</f>
        <v>0</v>
      </c>
      <c r="H270" s="87">
        <f>H271</f>
        <v>0</v>
      </c>
      <c r="I270" s="68">
        <f>I271</f>
        <v>150000</v>
      </c>
      <c r="J270" s="81">
        <v>0</v>
      </c>
    </row>
    <row r="271" spans="1:10" ht="62.4" hidden="1" x14ac:dyDescent="0.3">
      <c r="A271" s="88" t="s">
        <v>412</v>
      </c>
      <c r="B271" s="77" t="s">
        <v>121</v>
      </c>
      <c r="C271" s="78" t="s">
        <v>62</v>
      </c>
      <c r="D271" s="78" t="s">
        <v>44</v>
      </c>
      <c r="E271" s="78" t="s">
        <v>411</v>
      </c>
      <c r="F271" s="78" t="s">
        <v>132</v>
      </c>
      <c r="G271" s="79">
        <v>0</v>
      </c>
      <c r="H271" s="87">
        <v>0</v>
      </c>
      <c r="I271" s="68">
        <v>150000</v>
      </c>
      <c r="J271" s="81">
        <v>0</v>
      </c>
    </row>
    <row r="272" spans="1:10" ht="31.2" hidden="1" x14ac:dyDescent="0.3">
      <c r="A272" s="89" t="s">
        <v>413</v>
      </c>
      <c r="B272" s="77" t="s">
        <v>121</v>
      </c>
      <c r="C272" s="78" t="s">
        <v>62</v>
      </c>
      <c r="D272" s="78" t="s">
        <v>44</v>
      </c>
      <c r="E272" s="78" t="s">
        <v>414</v>
      </c>
      <c r="F272" s="78"/>
      <c r="G272" s="79">
        <f>G274+G273</f>
        <v>1264954.21</v>
      </c>
      <c r="H272" s="87">
        <f>H274+H273</f>
        <v>940287.31</v>
      </c>
      <c r="I272" s="68">
        <f>I274</f>
        <v>0</v>
      </c>
      <c r="J272" s="81">
        <f t="shared" si="10"/>
        <v>74.333703351997229</v>
      </c>
    </row>
    <row r="273" spans="1:10" ht="62.4" hidden="1" x14ac:dyDescent="0.3">
      <c r="A273" s="89" t="s">
        <v>415</v>
      </c>
      <c r="B273" s="77" t="s">
        <v>121</v>
      </c>
      <c r="C273" s="78" t="s">
        <v>62</v>
      </c>
      <c r="D273" s="78" t="s">
        <v>44</v>
      </c>
      <c r="E273" s="78" t="s">
        <v>414</v>
      </c>
      <c r="F273" s="78" t="s">
        <v>132</v>
      </c>
      <c r="G273" s="79">
        <v>321300</v>
      </c>
      <c r="H273" s="87">
        <v>249367.93</v>
      </c>
      <c r="I273" s="68"/>
      <c r="J273" s="81">
        <f t="shared" si="10"/>
        <v>77.612178649237478</v>
      </c>
    </row>
    <row r="274" spans="1:10" ht="46.8" hidden="1" x14ac:dyDescent="0.3">
      <c r="A274" s="88" t="s">
        <v>416</v>
      </c>
      <c r="B274" s="77" t="s">
        <v>121</v>
      </c>
      <c r="C274" s="78" t="s">
        <v>62</v>
      </c>
      <c r="D274" s="78" t="s">
        <v>44</v>
      </c>
      <c r="E274" s="78" t="s">
        <v>414</v>
      </c>
      <c r="F274" s="78" t="s">
        <v>395</v>
      </c>
      <c r="G274" s="79">
        <v>943654.21</v>
      </c>
      <c r="H274" s="87">
        <v>690919.38</v>
      </c>
      <c r="I274" s="68">
        <v>0</v>
      </c>
      <c r="J274" s="81">
        <f>H274/G274*100</f>
        <v>73.217432050666105</v>
      </c>
    </row>
    <row r="275" spans="1:10" ht="62.4" hidden="1" x14ac:dyDescent="0.3">
      <c r="A275" s="155" t="s">
        <v>417</v>
      </c>
      <c r="B275" s="77" t="s">
        <v>121</v>
      </c>
      <c r="C275" s="78" t="s">
        <v>62</v>
      </c>
      <c r="D275" s="78" t="s">
        <v>44</v>
      </c>
      <c r="E275" s="78" t="s">
        <v>418</v>
      </c>
      <c r="F275" s="78"/>
      <c r="G275" s="79">
        <f>G276</f>
        <v>360000</v>
      </c>
      <c r="H275" s="87">
        <f>H276</f>
        <v>360000</v>
      </c>
      <c r="I275" s="68">
        <f>I276</f>
        <v>300000</v>
      </c>
      <c r="J275" s="81">
        <f>H275/G275*100</f>
        <v>100</v>
      </c>
    </row>
    <row r="276" spans="1:10" ht="62.4" hidden="1" x14ac:dyDescent="0.3">
      <c r="A276" s="155" t="s">
        <v>417</v>
      </c>
      <c r="B276" s="77" t="s">
        <v>121</v>
      </c>
      <c r="C276" s="78" t="s">
        <v>62</v>
      </c>
      <c r="D276" s="78" t="s">
        <v>44</v>
      </c>
      <c r="E276" s="78" t="s">
        <v>418</v>
      </c>
      <c r="F276" s="78" t="s">
        <v>395</v>
      </c>
      <c r="G276" s="79">
        <v>360000</v>
      </c>
      <c r="H276" s="79">
        <v>360000</v>
      </c>
      <c r="I276" s="68">
        <v>300000</v>
      </c>
      <c r="J276" s="81">
        <f>H276/G276*100</f>
        <v>100</v>
      </c>
    </row>
    <row r="277" spans="1:10" hidden="1" x14ac:dyDescent="0.3">
      <c r="A277" s="76"/>
      <c r="B277" s="77"/>
      <c r="C277" s="78"/>
      <c r="D277" s="78"/>
      <c r="E277" s="78"/>
      <c r="F277" s="78"/>
      <c r="G277" s="68"/>
      <c r="H277" s="68"/>
      <c r="I277" s="68"/>
      <c r="J277" s="69"/>
    </row>
    <row r="278" spans="1:10" hidden="1" x14ac:dyDescent="0.3">
      <c r="A278" s="76"/>
      <c r="B278" s="77"/>
      <c r="C278" s="78"/>
      <c r="D278" s="78"/>
      <c r="E278" s="78"/>
      <c r="F278" s="78"/>
      <c r="G278" s="68"/>
      <c r="H278" s="84"/>
      <c r="I278" s="84"/>
      <c r="J278" s="69"/>
    </row>
    <row r="279" spans="1:10" hidden="1" x14ac:dyDescent="0.3">
      <c r="A279" s="76"/>
      <c r="B279" s="77"/>
      <c r="C279" s="78"/>
      <c r="D279" s="78"/>
      <c r="E279" s="78"/>
      <c r="F279" s="78"/>
      <c r="G279" s="68"/>
      <c r="H279" s="68"/>
      <c r="I279" s="68"/>
      <c r="J279" s="69"/>
    </row>
    <row r="280" spans="1:10" hidden="1" x14ac:dyDescent="0.3">
      <c r="A280" s="76"/>
      <c r="B280" s="77"/>
      <c r="C280" s="78"/>
      <c r="D280" s="78"/>
      <c r="E280" s="78"/>
      <c r="F280" s="78"/>
      <c r="G280" s="68"/>
      <c r="H280" s="84"/>
      <c r="I280" s="84"/>
      <c r="J280" s="69"/>
    </row>
    <row r="281" spans="1:10" hidden="1" x14ac:dyDescent="0.3">
      <c r="A281" s="70" t="s">
        <v>95</v>
      </c>
      <c r="B281" s="71" t="s">
        <v>121</v>
      </c>
      <c r="C281" s="72" t="s">
        <v>62</v>
      </c>
      <c r="D281" s="72" t="s">
        <v>46</v>
      </c>
      <c r="E281" s="72"/>
      <c r="F281" s="72"/>
      <c r="G281" s="73">
        <f>G284+G282+G286</f>
        <v>7521616</v>
      </c>
      <c r="H281" s="74">
        <f>H284+H282+H286</f>
        <v>7485104</v>
      </c>
      <c r="I281" s="146">
        <f>I284+I282</f>
        <v>7623000</v>
      </c>
      <c r="J281" s="69">
        <f t="shared" ref="J281:J290" si="13">H281/G281*100</f>
        <v>99.514572400399061</v>
      </c>
    </row>
    <row r="282" spans="1:10" ht="62.4" hidden="1" x14ac:dyDescent="0.3">
      <c r="A282" s="88" t="s">
        <v>419</v>
      </c>
      <c r="B282" s="77" t="s">
        <v>121</v>
      </c>
      <c r="C282" s="78" t="s">
        <v>62</v>
      </c>
      <c r="D282" s="78" t="s">
        <v>46</v>
      </c>
      <c r="E282" s="78" t="s">
        <v>420</v>
      </c>
      <c r="F282" s="78"/>
      <c r="G282" s="79">
        <f>G283</f>
        <v>5343616</v>
      </c>
      <c r="H282" s="87">
        <f>H283</f>
        <v>5307104</v>
      </c>
      <c r="I282" s="68">
        <f>I283</f>
        <v>4356000</v>
      </c>
      <c r="J282" s="81">
        <f t="shared" si="13"/>
        <v>99.316717368912734</v>
      </c>
    </row>
    <row r="283" spans="1:10" ht="140.4" hidden="1" x14ac:dyDescent="0.3">
      <c r="A283" s="89" t="s">
        <v>421</v>
      </c>
      <c r="B283" s="77" t="s">
        <v>121</v>
      </c>
      <c r="C283" s="78" t="s">
        <v>62</v>
      </c>
      <c r="D283" s="78" t="s">
        <v>46</v>
      </c>
      <c r="E283" s="78" t="s">
        <v>420</v>
      </c>
      <c r="F283" s="78" t="s">
        <v>185</v>
      </c>
      <c r="G283" s="79">
        <v>5343616</v>
      </c>
      <c r="H283" s="87">
        <v>5307104</v>
      </c>
      <c r="I283" s="68">
        <v>4356000</v>
      </c>
      <c r="J283" s="81">
        <f t="shared" si="13"/>
        <v>99.316717368912734</v>
      </c>
    </row>
    <row r="284" spans="1:10" ht="156" hidden="1" x14ac:dyDescent="0.3">
      <c r="A284" s="89" t="s">
        <v>422</v>
      </c>
      <c r="B284" s="77" t="s">
        <v>121</v>
      </c>
      <c r="C284" s="78" t="s">
        <v>62</v>
      </c>
      <c r="D284" s="78" t="s">
        <v>46</v>
      </c>
      <c r="E284" s="78" t="s">
        <v>423</v>
      </c>
      <c r="F284" s="78"/>
      <c r="G284" s="79">
        <f>G285</f>
        <v>2178000</v>
      </c>
      <c r="H284" s="87">
        <f>H285</f>
        <v>2178000</v>
      </c>
      <c r="I284" s="68">
        <f>I285</f>
        <v>3267000</v>
      </c>
      <c r="J284" s="81">
        <f t="shared" si="13"/>
        <v>100</v>
      </c>
    </row>
    <row r="285" spans="1:10" ht="78" hidden="1" x14ac:dyDescent="0.3">
      <c r="A285" s="86" t="s">
        <v>424</v>
      </c>
      <c r="B285" s="77" t="s">
        <v>121</v>
      </c>
      <c r="C285" s="78" t="s">
        <v>62</v>
      </c>
      <c r="D285" s="78" t="s">
        <v>46</v>
      </c>
      <c r="E285" s="78" t="s">
        <v>423</v>
      </c>
      <c r="F285" s="78" t="s">
        <v>185</v>
      </c>
      <c r="G285" s="79">
        <v>2178000</v>
      </c>
      <c r="H285" s="92">
        <v>2178000</v>
      </c>
      <c r="I285" s="84">
        <f>3267000</f>
        <v>3267000</v>
      </c>
      <c r="J285" s="81">
        <f t="shared" si="13"/>
        <v>100</v>
      </c>
    </row>
    <row r="286" spans="1:10" ht="140.4" hidden="1" x14ac:dyDescent="0.3">
      <c r="A286" s="86" t="s">
        <v>425</v>
      </c>
      <c r="B286" s="77" t="s">
        <v>121</v>
      </c>
      <c r="C286" s="78" t="s">
        <v>62</v>
      </c>
      <c r="D286" s="78" t="s">
        <v>46</v>
      </c>
      <c r="E286" s="78" t="s">
        <v>426</v>
      </c>
      <c r="F286" s="78" t="s">
        <v>185</v>
      </c>
      <c r="G286" s="156">
        <v>0</v>
      </c>
      <c r="H286" s="113">
        <v>0</v>
      </c>
      <c r="I286" s="84"/>
      <c r="J286" s="81" t="e">
        <f t="shared" si="13"/>
        <v>#DIV/0!</v>
      </c>
    </row>
    <row r="287" spans="1:10" hidden="1" x14ac:dyDescent="0.3">
      <c r="A287" s="70" t="s">
        <v>96</v>
      </c>
      <c r="B287" s="71" t="s">
        <v>121</v>
      </c>
      <c r="C287" s="72" t="s">
        <v>54</v>
      </c>
      <c r="D287" s="72" t="s">
        <v>40</v>
      </c>
      <c r="E287" s="72"/>
      <c r="F287" s="72"/>
      <c r="G287" s="73">
        <f>G288+G293+G300</f>
        <v>6036386.8799999999</v>
      </c>
      <c r="H287" s="146">
        <f>H288+H293+H300</f>
        <v>2395616.0099999998</v>
      </c>
      <c r="I287" s="68">
        <f>I288+I293+I300</f>
        <v>0</v>
      </c>
      <c r="J287" s="69">
        <f t="shared" si="13"/>
        <v>39.686256988220073</v>
      </c>
    </row>
    <row r="288" spans="1:10" hidden="1" x14ac:dyDescent="0.3">
      <c r="A288" s="70" t="s">
        <v>427</v>
      </c>
      <c r="B288" s="71" t="s">
        <v>121</v>
      </c>
      <c r="C288" s="72" t="s">
        <v>54</v>
      </c>
      <c r="D288" s="72" t="s">
        <v>39</v>
      </c>
      <c r="E288" s="72"/>
      <c r="F288" s="72"/>
      <c r="G288" s="73">
        <f>G289+G291</f>
        <v>1198700</v>
      </c>
      <c r="H288" s="74">
        <f>H289+H291</f>
        <v>1196682.3999999999</v>
      </c>
      <c r="I288" s="68">
        <f>I289</f>
        <v>0</v>
      </c>
      <c r="J288" s="69">
        <f t="shared" si="13"/>
        <v>99.831684324685071</v>
      </c>
    </row>
    <row r="289" spans="1:11" ht="93.6" hidden="1" x14ac:dyDescent="0.3">
      <c r="A289" s="89" t="s">
        <v>428</v>
      </c>
      <c r="B289" s="77" t="s">
        <v>121</v>
      </c>
      <c r="C289" s="78" t="s">
        <v>54</v>
      </c>
      <c r="D289" s="78" t="s">
        <v>39</v>
      </c>
      <c r="E289" s="129" t="s">
        <v>429</v>
      </c>
      <c r="F289" s="78"/>
      <c r="G289" s="79">
        <f>G290</f>
        <v>1198700</v>
      </c>
      <c r="H289" s="87">
        <f>H290</f>
        <v>1196682.3999999999</v>
      </c>
      <c r="I289" s="68">
        <f>I292+I302</f>
        <v>0</v>
      </c>
      <c r="J289" s="81">
        <f t="shared" si="13"/>
        <v>99.831684324685071</v>
      </c>
    </row>
    <row r="290" spans="1:11" ht="46.8" hidden="1" x14ac:dyDescent="0.3">
      <c r="A290" s="88" t="s">
        <v>430</v>
      </c>
      <c r="B290" s="77" t="s">
        <v>121</v>
      </c>
      <c r="C290" s="78" t="s">
        <v>54</v>
      </c>
      <c r="D290" s="78" t="s">
        <v>39</v>
      </c>
      <c r="E290" s="129" t="s">
        <v>429</v>
      </c>
      <c r="F290" s="78" t="s">
        <v>132</v>
      </c>
      <c r="G290" s="79">
        <v>1198700</v>
      </c>
      <c r="H290" s="87">
        <v>1196682.3999999999</v>
      </c>
      <c r="I290" s="68"/>
      <c r="J290" s="81">
        <f t="shared" si="13"/>
        <v>99.831684324685071</v>
      </c>
    </row>
    <row r="291" spans="1:11" ht="93.6" hidden="1" x14ac:dyDescent="0.3">
      <c r="A291" s="89" t="s">
        <v>431</v>
      </c>
      <c r="B291" s="77" t="s">
        <v>121</v>
      </c>
      <c r="C291" s="78" t="s">
        <v>54</v>
      </c>
      <c r="D291" s="78" t="s">
        <v>39</v>
      </c>
      <c r="E291" s="78" t="s">
        <v>432</v>
      </c>
      <c r="F291" s="78"/>
      <c r="G291" s="79">
        <f>G292</f>
        <v>0</v>
      </c>
      <c r="H291" s="87">
        <f>H292</f>
        <v>0</v>
      </c>
      <c r="I291" s="68"/>
      <c r="J291" s="81">
        <v>0</v>
      </c>
    </row>
    <row r="292" spans="1:11" ht="46.8" hidden="1" x14ac:dyDescent="0.3">
      <c r="A292" s="88" t="s">
        <v>433</v>
      </c>
      <c r="B292" s="77" t="s">
        <v>121</v>
      </c>
      <c r="C292" s="78" t="s">
        <v>54</v>
      </c>
      <c r="D292" s="78" t="s">
        <v>39</v>
      </c>
      <c r="E292" s="78" t="s">
        <v>432</v>
      </c>
      <c r="F292" s="78" t="s">
        <v>132</v>
      </c>
      <c r="G292" s="79">
        <v>0</v>
      </c>
      <c r="H292" s="92">
        <v>0</v>
      </c>
      <c r="I292" s="84">
        <v>0</v>
      </c>
      <c r="J292" s="81">
        <v>0</v>
      </c>
    </row>
    <row r="293" spans="1:11" hidden="1" x14ac:dyDescent="0.3">
      <c r="A293" s="70" t="s">
        <v>98</v>
      </c>
      <c r="B293" s="71" t="s">
        <v>121</v>
      </c>
      <c r="C293" s="72" t="s">
        <v>54</v>
      </c>
      <c r="D293" s="72" t="s">
        <v>42</v>
      </c>
      <c r="E293" s="72"/>
      <c r="F293" s="72"/>
      <c r="G293" s="73">
        <f>G294+G296+G298</f>
        <v>4837686.88</v>
      </c>
      <c r="H293" s="74">
        <f>H294+H296+H298</f>
        <v>1198933.6099999999</v>
      </c>
      <c r="I293" s="68">
        <f>I294+I296</f>
        <v>0</v>
      </c>
      <c r="J293" s="69">
        <f t="shared" ref="J293:J301" si="14">H293/G293*100</f>
        <v>24.783199899866194</v>
      </c>
    </row>
    <row r="294" spans="1:11" ht="93.6" hidden="1" x14ac:dyDescent="0.3">
      <c r="A294" s="89" t="s">
        <v>434</v>
      </c>
      <c r="B294" s="77" t="s">
        <v>121</v>
      </c>
      <c r="C294" s="78" t="s">
        <v>54</v>
      </c>
      <c r="D294" s="78" t="s">
        <v>42</v>
      </c>
      <c r="E294" s="78" t="s">
        <v>435</v>
      </c>
      <c r="F294" s="78"/>
      <c r="G294" s="79">
        <f>G295</f>
        <v>326999</v>
      </c>
      <c r="H294" s="87">
        <f>H295</f>
        <v>239846.08</v>
      </c>
      <c r="I294" s="68">
        <f>I295</f>
        <v>0</v>
      </c>
      <c r="J294" s="81">
        <f t="shared" si="14"/>
        <v>73.347649381190763</v>
      </c>
    </row>
    <row r="295" spans="1:11" ht="31.2" hidden="1" x14ac:dyDescent="0.3">
      <c r="A295" s="88" t="s">
        <v>436</v>
      </c>
      <c r="B295" s="77" t="s">
        <v>121</v>
      </c>
      <c r="C295" s="78" t="s">
        <v>54</v>
      </c>
      <c r="D295" s="78" t="s">
        <v>42</v>
      </c>
      <c r="E295" s="78" t="s">
        <v>435</v>
      </c>
      <c r="F295" s="78" t="s">
        <v>132</v>
      </c>
      <c r="G295" s="79">
        <v>326999</v>
      </c>
      <c r="H295" s="92">
        <v>239846.08</v>
      </c>
      <c r="I295" s="84">
        <v>0</v>
      </c>
      <c r="J295" s="81">
        <f t="shared" si="14"/>
        <v>73.347649381190763</v>
      </c>
    </row>
    <row r="296" spans="1:11" ht="78" hidden="1" x14ac:dyDescent="0.3">
      <c r="A296" s="89" t="s">
        <v>437</v>
      </c>
      <c r="B296" s="77" t="s">
        <v>121</v>
      </c>
      <c r="C296" s="78" t="s">
        <v>54</v>
      </c>
      <c r="D296" s="78" t="s">
        <v>42</v>
      </c>
      <c r="E296" s="78" t="s">
        <v>438</v>
      </c>
      <c r="F296" s="78"/>
      <c r="G296" s="79">
        <f>G297</f>
        <v>679999</v>
      </c>
      <c r="H296" s="87">
        <f>H297</f>
        <v>568381.53</v>
      </c>
      <c r="I296" s="68">
        <f>I299</f>
        <v>0</v>
      </c>
      <c r="J296" s="81">
        <f t="shared" si="14"/>
        <v>83.58564203770888</v>
      </c>
    </row>
    <row r="297" spans="1:11" ht="31.2" hidden="1" x14ac:dyDescent="0.3">
      <c r="A297" s="88" t="s">
        <v>439</v>
      </c>
      <c r="B297" s="77" t="s">
        <v>121</v>
      </c>
      <c r="C297" s="78" t="s">
        <v>54</v>
      </c>
      <c r="D297" s="78" t="s">
        <v>42</v>
      </c>
      <c r="E297" s="78" t="s">
        <v>438</v>
      </c>
      <c r="F297" s="78" t="s">
        <v>132</v>
      </c>
      <c r="G297" s="79">
        <v>679999</v>
      </c>
      <c r="H297" s="87">
        <v>568381.53</v>
      </c>
      <c r="I297" s="68"/>
      <c r="J297" s="81">
        <f t="shared" si="14"/>
        <v>83.58564203770888</v>
      </c>
    </row>
    <row r="298" spans="1:11" ht="93.6" hidden="1" x14ac:dyDescent="0.3">
      <c r="A298" s="89" t="s">
        <v>440</v>
      </c>
      <c r="B298" s="77" t="s">
        <v>121</v>
      </c>
      <c r="C298" s="78" t="s">
        <v>54</v>
      </c>
      <c r="D298" s="78" t="s">
        <v>42</v>
      </c>
      <c r="E298" s="78" t="s">
        <v>441</v>
      </c>
      <c r="F298" s="78"/>
      <c r="G298" s="79">
        <f>G299</f>
        <v>3830688.88</v>
      </c>
      <c r="H298" s="87">
        <f>H299</f>
        <v>390706</v>
      </c>
      <c r="I298" s="68"/>
      <c r="J298" s="81">
        <f t="shared" si="14"/>
        <v>10.199366543179043</v>
      </c>
    </row>
    <row r="299" spans="1:11" ht="31.2" hidden="1" x14ac:dyDescent="0.3">
      <c r="A299" s="157" t="s">
        <v>290</v>
      </c>
      <c r="B299" s="77" t="s">
        <v>121</v>
      </c>
      <c r="C299" s="78" t="s">
        <v>54</v>
      </c>
      <c r="D299" s="78" t="s">
        <v>42</v>
      </c>
      <c r="E299" s="78" t="s">
        <v>441</v>
      </c>
      <c r="F299" s="78" t="s">
        <v>185</v>
      </c>
      <c r="G299" s="79">
        <v>3830688.88</v>
      </c>
      <c r="H299" s="92">
        <v>390706</v>
      </c>
      <c r="I299" s="84">
        <v>0</v>
      </c>
      <c r="J299" s="81">
        <f t="shared" si="14"/>
        <v>10.199366543179043</v>
      </c>
    </row>
    <row r="300" spans="1:11" ht="31.2" hidden="1" x14ac:dyDescent="0.3">
      <c r="A300" s="76" t="s">
        <v>442</v>
      </c>
      <c r="B300" s="77" t="s">
        <v>121</v>
      </c>
      <c r="C300" s="78" t="s">
        <v>54</v>
      </c>
      <c r="D300" s="78" t="s">
        <v>46</v>
      </c>
      <c r="E300" s="78"/>
      <c r="F300" s="78"/>
      <c r="G300" s="68">
        <f t="shared" ref="G300:I301" si="15">G301</f>
        <v>0</v>
      </c>
      <c r="H300" s="68">
        <f t="shared" si="15"/>
        <v>0</v>
      </c>
      <c r="I300" s="68">
        <f t="shared" si="15"/>
        <v>0</v>
      </c>
      <c r="J300" s="69" t="e">
        <f t="shared" si="14"/>
        <v>#DIV/0!</v>
      </c>
    </row>
    <row r="301" spans="1:11" ht="78" hidden="1" x14ac:dyDescent="0.3">
      <c r="A301" s="76" t="s">
        <v>443</v>
      </c>
      <c r="B301" s="77" t="s">
        <v>121</v>
      </c>
      <c r="C301" s="78" t="s">
        <v>54</v>
      </c>
      <c r="D301" s="78" t="s">
        <v>46</v>
      </c>
      <c r="E301" s="78" t="s">
        <v>444</v>
      </c>
      <c r="F301" s="78"/>
      <c r="G301" s="68">
        <f t="shared" si="15"/>
        <v>0</v>
      </c>
      <c r="H301" s="68">
        <f t="shared" si="15"/>
        <v>0</v>
      </c>
      <c r="I301" s="68">
        <f t="shared" si="15"/>
        <v>0</v>
      </c>
      <c r="J301" s="69" t="e">
        <f t="shared" si="14"/>
        <v>#DIV/0!</v>
      </c>
    </row>
    <row r="302" spans="1:11" hidden="1" x14ac:dyDescent="0.3">
      <c r="A302" s="76"/>
      <c r="B302" s="77"/>
      <c r="C302" s="78"/>
      <c r="D302" s="78"/>
      <c r="E302" s="78"/>
      <c r="F302" s="78"/>
      <c r="G302" s="68"/>
      <c r="H302" s="84"/>
      <c r="I302" s="84"/>
      <c r="J302" s="69"/>
    </row>
    <row r="303" spans="1:11" ht="36" x14ac:dyDescent="0.35">
      <c r="A303" s="63" t="s">
        <v>445</v>
      </c>
      <c r="B303" s="64" t="s">
        <v>446</v>
      </c>
      <c r="C303" s="65"/>
      <c r="D303" s="65"/>
      <c r="E303" s="65"/>
      <c r="F303" s="65"/>
      <c r="G303" s="66">
        <f>(G307+G392+G398+G304+G328+G353+G339+G387+G322)/1000</f>
        <v>50828.161180000003</v>
      </c>
      <c r="H303" s="66">
        <f>(H307+H392+H398+H304+H328+H353+H339+H387+H322)/1000</f>
        <v>50486.392749999999</v>
      </c>
      <c r="I303" s="158">
        <f>I307+I392+I398+I304</f>
        <v>23506776</v>
      </c>
      <c r="J303" s="69">
        <f t="shared" ref="J303:J318" si="16">H303/G303*100</f>
        <v>99.327600247450064</v>
      </c>
    </row>
    <row r="304" spans="1:11" hidden="1" x14ac:dyDescent="0.3">
      <c r="A304" s="70" t="s">
        <v>447</v>
      </c>
      <c r="B304" s="71" t="s">
        <v>446</v>
      </c>
      <c r="C304" s="72" t="s">
        <v>40</v>
      </c>
      <c r="D304" s="72" t="s">
        <v>40</v>
      </c>
      <c r="E304" s="72"/>
      <c r="F304" s="72"/>
      <c r="G304" s="146">
        <f t="shared" ref="G304:I305" si="17">G305</f>
        <v>0</v>
      </c>
      <c r="H304" s="146">
        <f t="shared" si="17"/>
        <v>0</v>
      </c>
      <c r="I304" s="68">
        <f t="shared" si="17"/>
        <v>0</v>
      </c>
      <c r="J304" s="69" t="e">
        <f t="shared" si="16"/>
        <v>#DIV/0!</v>
      </c>
      <c r="K304" s="159"/>
    </row>
    <row r="305" spans="1:11" hidden="1" x14ac:dyDescent="0.3">
      <c r="A305" s="70" t="s">
        <v>448</v>
      </c>
      <c r="B305" s="71" t="s">
        <v>446</v>
      </c>
      <c r="C305" s="72" t="s">
        <v>40</v>
      </c>
      <c r="D305" s="72" t="s">
        <v>40</v>
      </c>
      <c r="E305" s="72" t="s">
        <v>449</v>
      </c>
      <c r="F305" s="72"/>
      <c r="G305" s="146">
        <f t="shared" si="17"/>
        <v>0</v>
      </c>
      <c r="H305" s="146">
        <f t="shared" si="17"/>
        <v>0</v>
      </c>
      <c r="I305" s="68">
        <f t="shared" si="17"/>
        <v>0</v>
      </c>
      <c r="J305" s="69" t="e">
        <f t="shared" si="16"/>
        <v>#DIV/0!</v>
      </c>
      <c r="K305" s="159"/>
    </row>
    <row r="306" spans="1:11" hidden="1" x14ac:dyDescent="0.3">
      <c r="A306" s="70"/>
      <c r="B306" s="71"/>
      <c r="C306" s="72"/>
      <c r="D306" s="72"/>
      <c r="E306" s="72"/>
      <c r="F306" s="72"/>
      <c r="G306" s="146"/>
      <c r="H306" s="146"/>
      <c r="I306" s="68"/>
      <c r="J306" s="69"/>
      <c r="K306" s="159"/>
    </row>
    <row r="307" spans="1:11" hidden="1" x14ac:dyDescent="0.3">
      <c r="A307" s="70" t="s">
        <v>41</v>
      </c>
      <c r="B307" s="71" t="s">
        <v>446</v>
      </c>
      <c r="C307" s="72" t="s">
        <v>39</v>
      </c>
      <c r="D307" s="72" t="s">
        <v>40</v>
      </c>
      <c r="E307" s="72"/>
      <c r="F307" s="72"/>
      <c r="G307" s="73">
        <f>G308+G319</f>
        <v>11031254.289999999</v>
      </c>
      <c r="H307" s="73">
        <f>H308+H319</f>
        <v>10689486.379999999</v>
      </c>
      <c r="I307" s="68">
        <f>I308+I319</f>
        <v>10501776</v>
      </c>
      <c r="J307" s="69">
        <f t="shared" si="16"/>
        <v>96.901821850758907</v>
      </c>
    </row>
    <row r="308" spans="1:11" ht="31.2" hidden="1" x14ac:dyDescent="0.3">
      <c r="A308" s="70" t="s">
        <v>51</v>
      </c>
      <c r="B308" s="71" t="s">
        <v>446</v>
      </c>
      <c r="C308" s="72" t="s">
        <v>39</v>
      </c>
      <c r="D308" s="72" t="s">
        <v>50</v>
      </c>
      <c r="E308" s="72"/>
      <c r="F308" s="72"/>
      <c r="G308" s="73">
        <f>G309+G313</f>
        <v>11031254.289999999</v>
      </c>
      <c r="H308" s="73">
        <f>H309+H313</f>
        <v>10689486.379999999</v>
      </c>
      <c r="I308" s="146">
        <f>I309+I313</f>
        <v>10501776</v>
      </c>
      <c r="J308" s="69">
        <f t="shared" si="16"/>
        <v>96.901821850758907</v>
      </c>
    </row>
    <row r="309" spans="1:11" ht="93.6" hidden="1" x14ac:dyDescent="0.3">
      <c r="A309" s="89" t="s">
        <v>450</v>
      </c>
      <c r="B309" s="77" t="s">
        <v>446</v>
      </c>
      <c r="C309" s="78" t="s">
        <v>39</v>
      </c>
      <c r="D309" s="78" t="s">
        <v>50</v>
      </c>
      <c r="E309" s="78" t="s">
        <v>451</v>
      </c>
      <c r="F309" s="78"/>
      <c r="G309" s="79">
        <f>G310+G311+G312</f>
        <v>10421254.289999999</v>
      </c>
      <c r="H309" s="87">
        <f>H310+H311+H312</f>
        <v>10079486.379999999</v>
      </c>
      <c r="I309" s="68">
        <f>I310+I311+I312</f>
        <v>10110825</v>
      </c>
      <c r="J309" s="81">
        <f t="shared" si="16"/>
        <v>96.720472406781653</v>
      </c>
    </row>
    <row r="310" spans="1:11" ht="78" hidden="1" x14ac:dyDescent="0.3">
      <c r="A310" s="88" t="s">
        <v>452</v>
      </c>
      <c r="B310" s="77" t="s">
        <v>446</v>
      </c>
      <c r="C310" s="78" t="s">
        <v>39</v>
      </c>
      <c r="D310" s="78" t="s">
        <v>50</v>
      </c>
      <c r="E310" s="78" t="s">
        <v>451</v>
      </c>
      <c r="F310" s="78" t="s">
        <v>125</v>
      </c>
      <c r="G310" s="79">
        <v>9646260.6099999994</v>
      </c>
      <c r="H310" s="92">
        <v>9615746.6500000004</v>
      </c>
      <c r="I310" s="84">
        <v>9045825</v>
      </c>
      <c r="J310" s="81">
        <f t="shared" si="16"/>
        <v>99.683670582480772</v>
      </c>
    </row>
    <row r="311" spans="1:11" ht="46.8" hidden="1" x14ac:dyDescent="0.3">
      <c r="A311" s="88" t="s">
        <v>453</v>
      </c>
      <c r="B311" s="77" t="s">
        <v>446</v>
      </c>
      <c r="C311" s="78" t="s">
        <v>39</v>
      </c>
      <c r="D311" s="78" t="s">
        <v>50</v>
      </c>
      <c r="E311" s="78" t="s">
        <v>451</v>
      </c>
      <c r="F311" s="78" t="s">
        <v>132</v>
      </c>
      <c r="G311" s="79">
        <v>762993.68</v>
      </c>
      <c r="H311" s="92">
        <v>462915.53</v>
      </c>
      <c r="I311" s="84">
        <v>1050000</v>
      </c>
      <c r="J311" s="81">
        <f t="shared" si="16"/>
        <v>60.670952084426176</v>
      </c>
    </row>
    <row r="312" spans="1:11" ht="31.2" hidden="1" x14ac:dyDescent="0.3">
      <c r="A312" s="88" t="s">
        <v>454</v>
      </c>
      <c r="B312" s="77" t="s">
        <v>446</v>
      </c>
      <c r="C312" s="78" t="s">
        <v>39</v>
      </c>
      <c r="D312" s="78" t="s">
        <v>50</v>
      </c>
      <c r="E312" s="78" t="s">
        <v>451</v>
      </c>
      <c r="F312" s="78" t="s">
        <v>134</v>
      </c>
      <c r="G312" s="79">
        <v>12000</v>
      </c>
      <c r="H312" s="92">
        <v>824.2</v>
      </c>
      <c r="I312" s="84">
        <v>15000</v>
      </c>
      <c r="J312" s="81">
        <f t="shared" si="16"/>
        <v>6.8683333333333332</v>
      </c>
    </row>
    <row r="313" spans="1:11" ht="124.8" hidden="1" x14ac:dyDescent="0.3">
      <c r="A313" s="89" t="s">
        <v>455</v>
      </c>
      <c r="B313" s="77" t="s">
        <v>446</v>
      </c>
      <c r="C313" s="78" t="s">
        <v>39</v>
      </c>
      <c r="D313" s="78" t="s">
        <v>50</v>
      </c>
      <c r="E313" s="78" t="s">
        <v>456</v>
      </c>
      <c r="F313" s="78"/>
      <c r="G313" s="79">
        <f>G314+G318</f>
        <v>610000</v>
      </c>
      <c r="H313" s="79">
        <f>H314+H318</f>
        <v>610000</v>
      </c>
      <c r="I313" s="68">
        <f>I314+I316</f>
        <v>390951</v>
      </c>
      <c r="J313" s="81">
        <f t="shared" si="16"/>
        <v>100</v>
      </c>
    </row>
    <row r="314" spans="1:11" ht="109.2" hidden="1" x14ac:dyDescent="0.3">
      <c r="A314" s="86" t="s">
        <v>457</v>
      </c>
      <c r="B314" s="77" t="s">
        <v>446</v>
      </c>
      <c r="C314" s="78" t="s">
        <v>39</v>
      </c>
      <c r="D314" s="78" t="s">
        <v>50</v>
      </c>
      <c r="E314" s="78" t="s">
        <v>456</v>
      </c>
      <c r="F314" s="78" t="s">
        <v>125</v>
      </c>
      <c r="G314" s="79">
        <v>568396.27</v>
      </c>
      <c r="H314" s="92">
        <v>568396.27</v>
      </c>
      <c r="I314" s="84">
        <v>390951</v>
      </c>
      <c r="J314" s="81">
        <f t="shared" si="16"/>
        <v>100</v>
      </c>
    </row>
    <row r="315" spans="1:11" ht="16.2" hidden="1" x14ac:dyDescent="0.3">
      <c r="A315" s="160"/>
      <c r="B315" s="71"/>
      <c r="C315" s="72"/>
      <c r="D315" s="72"/>
      <c r="E315" s="72"/>
      <c r="F315" s="72"/>
      <c r="G315" s="146"/>
      <c r="H315" s="146"/>
      <c r="I315" s="161"/>
      <c r="J315" s="81" t="e">
        <f t="shared" si="16"/>
        <v>#DIV/0!</v>
      </c>
    </row>
    <row r="316" spans="1:11" hidden="1" x14ac:dyDescent="0.3">
      <c r="A316" s="86"/>
      <c r="B316" s="77"/>
      <c r="C316" s="78"/>
      <c r="D316" s="78"/>
      <c r="E316" s="78"/>
      <c r="F316" s="78"/>
      <c r="G316" s="68"/>
      <c r="H316" s="68"/>
      <c r="I316" s="84"/>
      <c r="J316" s="81" t="e">
        <f t="shared" si="16"/>
        <v>#DIV/0!</v>
      </c>
    </row>
    <row r="317" spans="1:11" hidden="1" x14ac:dyDescent="0.3">
      <c r="A317" s="86"/>
      <c r="B317" s="77"/>
      <c r="C317" s="78"/>
      <c r="D317" s="78"/>
      <c r="E317" s="78"/>
      <c r="F317" s="78"/>
      <c r="G317" s="68"/>
      <c r="H317" s="84"/>
      <c r="I317" s="84"/>
      <c r="J317" s="81" t="e">
        <f t="shared" si="16"/>
        <v>#DIV/0!</v>
      </c>
    </row>
    <row r="318" spans="1:11" ht="78" hidden="1" x14ac:dyDescent="0.3">
      <c r="A318" s="103" t="s">
        <v>458</v>
      </c>
      <c r="B318" s="77" t="s">
        <v>446</v>
      </c>
      <c r="C318" s="78" t="s">
        <v>39</v>
      </c>
      <c r="D318" s="78" t="s">
        <v>50</v>
      </c>
      <c r="E318" s="78" t="s">
        <v>456</v>
      </c>
      <c r="F318" s="78" t="s">
        <v>132</v>
      </c>
      <c r="G318" s="79">
        <v>41603.730000000003</v>
      </c>
      <c r="H318" s="92">
        <v>41603.730000000003</v>
      </c>
      <c r="I318" s="84"/>
      <c r="J318" s="81">
        <f t="shared" si="16"/>
        <v>100</v>
      </c>
    </row>
    <row r="319" spans="1:11" hidden="1" x14ac:dyDescent="0.3">
      <c r="A319" s="70" t="s">
        <v>57</v>
      </c>
      <c r="B319" s="71" t="s">
        <v>446</v>
      </c>
      <c r="C319" s="72" t="s">
        <v>39</v>
      </c>
      <c r="D319" s="72" t="s">
        <v>56</v>
      </c>
      <c r="E319" s="72"/>
      <c r="F319" s="72"/>
      <c r="G319" s="73">
        <f t="shared" ref="G319:I320" si="18">G320</f>
        <v>0</v>
      </c>
      <c r="H319" s="74">
        <f t="shared" si="18"/>
        <v>0</v>
      </c>
      <c r="I319" s="68">
        <f t="shared" si="18"/>
        <v>0</v>
      </c>
      <c r="J319" s="69">
        <v>0</v>
      </c>
    </row>
    <row r="320" spans="1:11" ht="46.8" hidden="1" x14ac:dyDescent="0.3">
      <c r="A320" s="76" t="s">
        <v>459</v>
      </c>
      <c r="B320" s="77" t="s">
        <v>446</v>
      </c>
      <c r="C320" s="78" t="s">
        <v>39</v>
      </c>
      <c r="D320" s="78" t="s">
        <v>56</v>
      </c>
      <c r="E320" s="78" t="s">
        <v>460</v>
      </c>
      <c r="F320" s="78"/>
      <c r="G320" s="79">
        <f t="shared" si="18"/>
        <v>0</v>
      </c>
      <c r="H320" s="87">
        <f t="shared" si="18"/>
        <v>0</v>
      </c>
      <c r="I320" s="68">
        <f t="shared" si="18"/>
        <v>0</v>
      </c>
      <c r="J320" s="81">
        <v>0</v>
      </c>
    </row>
    <row r="321" spans="1:10" hidden="1" x14ac:dyDescent="0.3">
      <c r="A321" s="76" t="s">
        <v>461</v>
      </c>
      <c r="B321" s="77" t="s">
        <v>446</v>
      </c>
      <c r="C321" s="78" t="s">
        <v>39</v>
      </c>
      <c r="D321" s="78" t="s">
        <v>56</v>
      </c>
      <c r="E321" s="78" t="s">
        <v>460</v>
      </c>
      <c r="F321" s="78" t="s">
        <v>134</v>
      </c>
      <c r="G321" s="79">
        <v>0</v>
      </c>
      <c r="H321" s="92">
        <v>0</v>
      </c>
      <c r="I321" s="84">
        <v>0</v>
      </c>
      <c r="J321" s="81">
        <v>0</v>
      </c>
    </row>
    <row r="322" spans="1:10" ht="46.8" hidden="1" x14ac:dyDescent="0.35">
      <c r="A322" s="162" t="s">
        <v>47</v>
      </c>
      <c r="B322" s="163" t="s">
        <v>446</v>
      </c>
      <c r="C322" s="164" t="s">
        <v>39</v>
      </c>
      <c r="D322" s="163" t="s">
        <v>46</v>
      </c>
      <c r="E322" s="72"/>
      <c r="F322" s="72"/>
      <c r="G322" s="165">
        <f>G323</f>
        <v>174998</v>
      </c>
      <c r="H322" s="166">
        <f>H323</f>
        <v>174998</v>
      </c>
      <c r="I322" s="161"/>
      <c r="J322" s="69">
        <f>H322/G322*100</f>
        <v>100</v>
      </c>
    </row>
    <row r="323" spans="1:10" ht="109.2" hidden="1" x14ac:dyDescent="0.3">
      <c r="A323" s="167" t="s">
        <v>462</v>
      </c>
      <c r="B323" s="168" t="s">
        <v>446</v>
      </c>
      <c r="C323" s="169" t="s">
        <v>39</v>
      </c>
      <c r="D323" s="168" t="s">
        <v>46</v>
      </c>
      <c r="E323" s="144"/>
      <c r="F323" s="78"/>
      <c r="G323" s="170">
        <f>G324</f>
        <v>174998</v>
      </c>
      <c r="H323" s="171">
        <f>H324</f>
        <v>174998</v>
      </c>
      <c r="I323" s="84"/>
      <c r="J323" s="81">
        <f>H323/G323*100</f>
        <v>100</v>
      </c>
    </row>
    <row r="324" spans="1:10" ht="18" hidden="1" x14ac:dyDescent="0.3">
      <c r="A324" s="93" t="s">
        <v>271</v>
      </c>
      <c r="B324" s="168" t="s">
        <v>446</v>
      </c>
      <c r="C324" s="169" t="s">
        <v>39</v>
      </c>
      <c r="D324" s="168" t="s">
        <v>46</v>
      </c>
      <c r="E324" s="144" t="s">
        <v>463</v>
      </c>
      <c r="F324" s="78"/>
      <c r="G324" s="170">
        <f>G326</f>
        <v>174998</v>
      </c>
      <c r="H324" s="170">
        <f>H326</f>
        <v>174998</v>
      </c>
      <c r="I324" s="84"/>
      <c r="J324" s="81">
        <f>H324/G324*100</f>
        <v>100</v>
      </c>
    </row>
    <row r="325" spans="1:10" ht="18" hidden="1" x14ac:dyDescent="0.3">
      <c r="A325" s="93" t="s">
        <v>107</v>
      </c>
      <c r="B325" s="168"/>
      <c r="C325" s="169"/>
      <c r="D325" s="168"/>
      <c r="E325" s="78"/>
      <c r="F325" s="78"/>
      <c r="G325" s="172"/>
      <c r="H325" s="145"/>
      <c r="I325" s="84"/>
      <c r="J325" s="81"/>
    </row>
    <row r="326" spans="1:10" ht="18" hidden="1" x14ac:dyDescent="0.3">
      <c r="A326" s="173" t="s">
        <v>464</v>
      </c>
      <c r="B326" s="174" t="s">
        <v>446</v>
      </c>
      <c r="C326" s="175" t="s">
        <v>39</v>
      </c>
      <c r="D326" s="174" t="s">
        <v>46</v>
      </c>
      <c r="E326" s="144" t="s">
        <v>463</v>
      </c>
      <c r="F326" s="174" t="s">
        <v>274</v>
      </c>
      <c r="G326" s="170">
        <v>174998</v>
      </c>
      <c r="H326" s="170">
        <v>174998</v>
      </c>
      <c r="I326" s="84"/>
      <c r="J326" s="81">
        <f>H326/G326*100</f>
        <v>100</v>
      </c>
    </row>
    <row r="327" spans="1:10" hidden="1" x14ac:dyDescent="0.3">
      <c r="A327" s="76"/>
      <c r="B327" s="78"/>
      <c r="C327" s="78"/>
      <c r="D327" s="78"/>
      <c r="E327" s="78"/>
      <c r="F327" s="78"/>
      <c r="G327" s="25"/>
      <c r="H327" s="145"/>
      <c r="I327" s="84"/>
      <c r="J327" s="81"/>
    </row>
    <row r="328" spans="1:10" ht="17.399999999999999" hidden="1" x14ac:dyDescent="0.3">
      <c r="A328" s="176" t="s">
        <v>465</v>
      </c>
      <c r="B328" s="177" t="s">
        <v>446</v>
      </c>
      <c r="C328" s="178" t="s">
        <v>46</v>
      </c>
      <c r="D328" s="178" t="s">
        <v>60</v>
      </c>
      <c r="E328" s="72"/>
      <c r="F328" s="72"/>
      <c r="G328" s="73">
        <f>G333+G330</f>
        <v>16839623.68</v>
      </c>
      <c r="H328" s="179">
        <f>H333+H330</f>
        <v>16839623.68</v>
      </c>
      <c r="I328" s="161"/>
      <c r="J328" s="81">
        <f t="shared" ref="J328:J391" si="19">H328/G328*100</f>
        <v>100</v>
      </c>
    </row>
    <row r="329" spans="1:10" ht="46.8" hidden="1" x14ac:dyDescent="0.3">
      <c r="A329" s="180" t="s">
        <v>270</v>
      </c>
      <c r="B329" s="181" t="s">
        <v>446</v>
      </c>
      <c r="C329" s="129" t="s">
        <v>46</v>
      </c>
      <c r="D329" s="129" t="s">
        <v>60</v>
      </c>
      <c r="E329" s="72"/>
      <c r="F329" s="72"/>
      <c r="G329" s="146"/>
      <c r="H329" s="146"/>
      <c r="I329" s="161"/>
      <c r="J329" s="81"/>
    </row>
    <row r="330" spans="1:10" hidden="1" x14ac:dyDescent="0.3">
      <c r="A330" s="153" t="s">
        <v>271</v>
      </c>
      <c r="B330" s="181" t="s">
        <v>446</v>
      </c>
      <c r="C330" s="129" t="s">
        <v>46</v>
      </c>
      <c r="D330" s="129" t="s">
        <v>60</v>
      </c>
      <c r="E330" s="143" t="s">
        <v>272</v>
      </c>
      <c r="F330" s="78" t="s">
        <v>274</v>
      </c>
      <c r="G330" s="79">
        <f>G332</f>
        <v>11787484</v>
      </c>
      <c r="H330" s="87">
        <f>H332</f>
        <v>11787484</v>
      </c>
      <c r="I330" s="161"/>
      <c r="J330" s="81">
        <f t="shared" si="19"/>
        <v>100</v>
      </c>
    </row>
    <row r="331" spans="1:10" hidden="1" x14ac:dyDescent="0.3">
      <c r="A331" s="153" t="s">
        <v>107</v>
      </c>
      <c r="B331" s="182"/>
      <c r="C331" s="183"/>
      <c r="D331" s="183"/>
      <c r="E331" s="72"/>
      <c r="F331" s="78"/>
      <c r="G331" s="79"/>
      <c r="H331" s="74"/>
      <c r="I331" s="161"/>
      <c r="J331" s="81"/>
    </row>
    <row r="332" spans="1:10" hidden="1" x14ac:dyDescent="0.3">
      <c r="A332" s="153" t="s">
        <v>273</v>
      </c>
      <c r="B332" s="181" t="s">
        <v>446</v>
      </c>
      <c r="C332" s="129" t="s">
        <v>46</v>
      </c>
      <c r="D332" s="129" t="s">
        <v>60</v>
      </c>
      <c r="E332" s="143" t="s">
        <v>272</v>
      </c>
      <c r="F332" s="78" t="s">
        <v>274</v>
      </c>
      <c r="G332" s="79">
        <v>11787484</v>
      </c>
      <c r="H332" s="87">
        <v>11787484</v>
      </c>
      <c r="I332" s="161"/>
      <c r="J332" s="81">
        <f t="shared" si="19"/>
        <v>100</v>
      </c>
    </row>
    <row r="333" spans="1:10" ht="93.6" hidden="1" x14ac:dyDescent="0.3">
      <c r="A333" s="89" t="s">
        <v>262</v>
      </c>
      <c r="B333" s="181" t="s">
        <v>446</v>
      </c>
      <c r="C333" s="129" t="s">
        <v>46</v>
      </c>
      <c r="D333" s="129" t="s">
        <v>60</v>
      </c>
      <c r="E333" s="78"/>
      <c r="F333" s="78"/>
      <c r="G333" s="79">
        <f>G334</f>
        <v>5052139.68</v>
      </c>
      <c r="H333" s="184">
        <f>H334</f>
        <v>5052139.68</v>
      </c>
      <c r="I333" s="84"/>
      <c r="J333" s="81">
        <f t="shared" si="19"/>
        <v>100</v>
      </c>
    </row>
    <row r="334" spans="1:10" hidden="1" x14ac:dyDescent="0.3">
      <c r="A334" s="89" t="s">
        <v>271</v>
      </c>
      <c r="B334" s="181" t="s">
        <v>446</v>
      </c>
      <c r="C334" s="129" t="s">
        <v>46</v>
      </c>
      <c r="D334" s="129" t="s">
        <v>60</v>
      </c>
      <c r="E334" s="78" t="s">
        <v>263</v>
      </c>
      <c r="F334" s="78" t="s">
        <v>274</v>
      </c>
      <c r="G334" s="79">
        <f>G336+G337+G338</f>
        <v>5052139.68</v>
      </c>
      <c r="H334" s="184">
        <f>H336+H337+H338</f>
        <v>5052139.68</v>
      </c>
      <c r="I334" s="84"/>
      <c r="J334" s="81">
        <f t="shared" si="19"/>
        <v>100</v>
      </c>
    </row>
    <row r="335" spans="1:10" hidden="1" x14ac:dyDescent="0.3">
      <c r="A335" s="89" t="s">
        <v>107</v>
      </c>
      <c r="B335" s="181"/>
      <c r="C335" s="129"/>
      <c r="D335" s="129"/>
      <c r="E335" s="78"/>
      <c r="F335" s="78"/>
      <c r="G335" s="25"/>
      <c r="H335" s="113"/>
      <c r="I335" s="84"/>
      <c r="J335" s="81"/>
    </row>
    <row r="336" spans="1:10" hidden="1" x14ac:dyDescent="0.3">
      <c r="A336" s="127" t="s">
        <v>273</v>
      </c>
      <c r="B336" s="185" t="s">
        <v>446</v>
      </c>
      <c r="C336" s="186" t="s">
        <v>46</v>
      </c>
      <c r="D336" s="186" t="s">
        <v>60</v>
      </c>
      <c r="E336" s="78" t="s">
        <v>263</v>
      </c>
      <c r="F336" s="78" t="s">
        <v>274</v>
      </c>
      <c r="G336" s="79">
        <v>4552139.68</v>
      </c>
      <c r="H336" s="79">
        <v>4552139.68</v>
      </c>
      <c r="I336" s="84"/>
      <c r="J336" s="81">
        <f t="shared" si="19"/>
        <v>100</v>
      </c>
    </row>
    <row r="337" spans="1:10" hidden="1" x14ac:dyDescent="0.3">
      <c r="A337" s="127" t="s">
        <v>466</v>
      </c>
      <c r="B337" s="185" t="s">
        <v>446</v>
      </c>
      <c r="C337" s="186" t="s">
        <v>46</v>
      </c>
      <c r="D337" s="186" t="s">
        <v>60</v>
      </c>
      <c r="E337" s="78" t="s">
        <v>263</v>
      </c>
      <c r="F337" s="78" t="s">
        <v>274</v>
      </c>
      <c r="G337" s="79">
        <v>200000</v>
      </c>
      <c r="H337" s="92">
        <v>200000</v>
      </c>
      <c r="I337" s="84"/>
      <c r="J337" s="81">
        <f t="shared" si="19"/>
        <v>100</v>
      </c>
    </row>
    <row r="338" spans="1:10" hidden="1" x14ac:dyDescent="0.3">
      <c r="A338" s="127" t="s">
        <v>467</v>
      </c>
      <c r="B338" s="185" t="s">
        <v>446</v>
      </c>
      <c r="C338" s="186" t="s">
        <v>46</v>
      </c>
      <c r="D338" s="186" t="s">
        <v>60</v>
      </c>
      <c r="E338" s="78" t="s">
        <v>263</v>
      </c>
      <c r="F338" s="78" t="s">
        <v>274</v>
      </c>
      <c r="G338" s="79">
        <v>300000</v>
      </c>
      <c r="H338" s="187">
        <v>300000</v>
      </c>
      <c r="I338" s="84"/>
      <c r="J338" s="81">
        <f t="shared" si="19"/>
        <v>100</v>
      </c>
    </row>
    <row r="339" spans="1:10" ht="16.2" hidden="1" x14ac:dyDescent="0.3">
      <c r="A339" s="188" t="s">
        <v>77</v>
      </c>
      <c r="B339" s="189" t="s">
        <v>446</v>
      </c>
      <c r="C339" s="163" t="s">
        <v>48</v>
      </c>
      <c r="D339" s="163" t="s">
        <v>42</v>
      </c>
      <c r="E339" s="72"/>
      <c r="F339" s="72"/>
      <c r="G339" s="73">
        <f>G340+G348</f>
        <v>3156578.3</v>
      </c>
      <c r="H339" s="179">
        <f>H340+H348</f>
        <v>3156578.3</v>
      </c>
      <c r="I339" s="161"/>
      <c r="J339" s="69">
        <f t="shared" si="19"/>
        <v>100</v>
      </c>
    </row>
    <row r="340" spans="1:10" ht="124.8" hidden="1" x14ac:dyDescent="0.3">
      <c r="A340" s="142" t="s">
        <v>302</v>
      </c>
      <c r="B340" s="190" t="s">
        <v>446</v>
      </c>
      <c r="C340" s="168" t="s">
        <v>48</v>
      </c>
      <c r="D340" s="168" t="s">
        <v>42</v>
      </c>
      <c r="E340" s="191" t="s">
        <v>301</v>
      </c>
      <c r="F340" s="78"/>
      <c r="G340" s="170">
        <f>G341</f>
        <v>2636631.2999999998</v>
      </c>
      <c r="H340" s="192">
        <f>H341</f>
        <v>2636631.2999999998</v>
      </c>
      <c r="I340" s="84"/>
      <c r="J340" s="81">
        <f t="shared" si="19"/>
        <v>100</v>
      </c>
    </row>
    <row r="341" spans="1:10" hidden="1" x14ac:dyDescent="0.3">
      <c r="A341" s="153" t="s">
        <v>271</v>
      </c>
      <c r="B341" s="190" t="s">
        <v>446</v>
      </c>
      <c r="C341" s="168" t="s">
        <v>48</v>
      </c>
      <c r="D341" s="168" t="s">
        <v>42</v>
      </c>
      <c r="E341" s="191" t="s">
        <v>301</v>
      </c>
      <c r="F341" s="78" t="s">
        <v>274</v>
      </c>
      <c r="G341" s="170">
        <f>G343+G344+G345+G346+G347</f>
        <v>2636631.2999999998</v>
      </c>
      <c r="H341" s="192">
        <f>H343+H344+H345+H346+H347</f>
        <v>2636631.2999999998</v>
      </c>
      <c r="I341" s="84"/>
      <c r="J341" s="81">
        <f t="shared" si="19"/>
        <v>100</v>
      </c>
    </row>
    <row r="342" spans="1:10" hidden="1" x14ac:dyDescent="0.3">
      <c r="A342" s="153" t="s">
        <v>107</v>
      </c>
      <c r="B342" s="193"/>
      <c r="C342" s="194"/>
      <c r="D342" s="195"/>
      <c r="E342" s="196"/>
      <c r="F342" s="78"/>
      <c r="G342" s="197"/>
      <c r="H342" s="145"/>
      <c r="I342" s="84"/>
      <c r="J342" s="81"/>
    </row>
    <row r="343" spans="1:10" hidden="1" x14ac:dyDescent="0.3">
      <c r="A343" s="153" t="s">
        <v>468</v>
      </c>
      <c r="B343" s="190" t="s">
        <v>446</v>
      </c>
      <c r="C343" s="168" t="s">
        <v>48</v>
      </c>
      <c r="D343" s="168" t="s">
        <v>42</v>
      </c>
      <c r="E343" s="191" t="s">
        <v>301</v>
      </c>
      <c r="F343" s="78" t="s">
        <v>274</v>
      </c>
      <c r="G343" s="170">
        <v>384000</v>
      </c>
      <c r="H343" s="170">
        <v>384000</v>
      </c>
      <c r="I343" s="84"/>
      <c r="J343" s="81">
        <f t="shared" si="19"/>
        <v>100</v>
      </c>
    </row>
    <row r="344" spans="1:10" hidden="1" x14ac:dyDescent="0.3">
      <c r="A344" s="153" t="s">
        <v>469</v>
      </c>
      <c r="B344" s="190" t="s">
        <v>446</v>
      </c>
      <c r="C344" s="168" t="s">
        <v>48</v>
      </c>
      <c r="D344" s="168" t="s">
        <v>42</v>
      </c>
      <c r="E344" s="191" t="s">
        <v>301</v>
      </c>
      <c r="F344" s="78" t="s">
        <v>274</v>
      </c>
      <c r="G344" s="170">
        <v>839000</v>
      </c>
      <c r="H344" s="170">
        <v>839000</v>
      </c>
      <c r="I344" s="84"/>
      <c r="J344" s="81">
        <f t="shared" si="19"/>
        <v>100</v>
      </c>
    </row>
    <row r="345" spans="1:10" hidden="1" x14ac:dyDescent="0.3">
      <c r="A345" s="153" t="s">
        <v>470</v>
      </c>
      <c r="B345" s="190" t="s">
        <v>446</v>
      </c>
      <c r="C345" s="168" t="s">
        <v>48</v>
      </c>
      <c r="D345" s="168" t="s">
        <v>42</v>
      </c>
      <c r="E345" s="191" t="s">
        <v>301</v>
      </c>
      <c r="F345" s="78" t="s">
        <v>274</v>
      </c>
      <c r="G345" s="170">
        <v>780000</v>
      </c>
      <c r="H345" s="187">
        <v>780000</v>
      </c>
      <c r="I345" s="84"/>
      <c r="J345" s="81">
        <f t="shared" si="19"/>
        <v>100</v>
      </c>
    </row>
    <row r="346" spans="1:10" hidden="1" x14ac:dyDescent="0.3">
      <c r="A346" s="198" t="s">
        <v>471</v>
      </c>
      <c r="B346" s="190" t="s">
        <v>446</v>
      </c>
      <c r="C346" s="168" t="s">
        <v>48</v>
      </c>
      <c r="D346" s="168" t="s">
        <v>42</v>
      </c>
      <c r="E346" s="191" t="s">
        <v>301</v>
      </c>
      <c r="F346" s="78" t="s">
        <v>274</v>
      </c>
      <c r="G346" s="170">
        <v>333767.3</v>
      </c>
      <c r="H346" s="170">
        <v>333767.3</v>
      </c>
      <c r="I346" s="84"/>
      <c r="J346" s="81">
        <f t="shared" si="19"/>
        <v>100</v>
      </c>
    </row>
    <row r="347" spans="1:10" hidden="1" x14ac:dyDescent="0.3">
      <c r="A347" s="198" t="s">
        <v>273</v>
      </c>
      <c r="B347" s="190" t="s">
        <v>446</v>
      </c>
      <c r="C347" s="168" t="s">
        <v>48</v>
      </c>
      <c r="D347" s="168" t="s">
        <v>42</v>
      </c>
      <c r="E347" s="191" t="s">
        <v>301</v>
      </c>
      <c r="F347" s="78" t="s">
        <v>274</v>
      </c>
      <c r="G347" s="170">
        <v>299864</v>
      </c>
      <c r="H347" s="170">
        <v>299864</v>
      </c>
      <c r="I347" s="84"/>
      <c r="J347" s="81">
        <f t="shared" si="19"/>
        <v>100</v>
      </c>
    </row>
    <row r="348" spans="1:10" ht="109.2" hidden="1" x14ac:dyDescent="0.3">
      <c r="A348" s="7" t="s">
        <v>472</v>
      </c>
      <c r="B348" s="190" t="s">
        <v>446</v>
      </c>
      <c r="C348" s="168" t="s">
        <v>48</v>
      </c>
      <c r="D348" s="168" t="s">
        <v>42</v>
      </c>
      <c r="E348" s="191" t="s">
        <v>473</v>
      </c>
      <c r="F348" s="78" t="s">
        <v>274</v>
      </c>
      <c r="G348" s="170">
        <f>G349</f>
        <v>519947</v>
      </c>
      <c r="H348" s="192">
        <f>H349</f>
        <v>519947</v>
      </c>
      <c r="I348" s="84"/>
      <c r="J348" s="81">
        <f t="shared" si="19"/>
        <v>100</v>
      </c>
    </row>
    <row r="349" spans="1:10" hidden="1" x14ac:dyDescent="0.3">
      <c r="A349" s="153" t="s">
        <v>271</v>
      </c>
      <c r="B349" s="190" t="s">
        <v>446</v>
      </c>
      <c r="C349" s="168" t="s">
        <v>48</v>
      </c>
      <c r="D349" s="168" t="s">
        <v>42</v>
      </c>
      <c r="E349" s="191" t="s">
        <v>473</v>
      </c>
      <c r="F349" s="78" t="s">
        <v>274</v>
      </c>
      <c r="G349" s="170">
        <f>G351+G352</f>
        <v>519947</v>
      </c>
      <c r="H349" s="192">
        <f>H351+H352</f>
        <v>519947</v>
      </c>
      <c r="I349" s="84"/>
      <c r="J349" s="81">
        <f t="shared" si="19"/>
        <v>100</v>
      </c>
    </row>
    <row r="350" spans="1:10" hidden="1" x14ac:dyDescent="0.3">
      <c r="A350" s="153" t="s">
        <v>107</v>
      </c>
      <c r="B350" s="185"/>
      <c r="C350" s="186"/>
      <c r="D350" s="186"/>
      <c r="E350" s="78"/>
      <c r="F350" s="78"/>
      <c r="G350" s="170"/>
      <c r="H350" s="187"/>
      <c r="I350" s="84"/>
      <c r="J350" s="81"/>
    </row>
    <row r="351" spans="1:10" hidden="1" x14ac:dyDescent="0.3">
      <c r="A351" s="198" t="s">
        <v>470</v>
      </c>
      <c r="B351" s="190" t="s">
        <v>446</v>
      </c>
      <c r="C351" s="168" t="s">
        <v>48</v>
      </c>
      <c r="D351" s="168" t="s">
        <v>42</v>
      </c>
      <c r="E351" s="191" t="s">
        <v>473</v>
      </c>
      <c r="F351" s="78" t="s">
        <v>274</v>
      </c>
      <c r="G351" s="170">
        <v>340000</v>
      </c>
      <c r="H351" s="187">
        <v>340000</v>
      </c>
      <c r="I351" s="84"/>
      <c r="J351" s="81">
        <f t="shared" si="19"/>
        <v>100</v>
      </c>
    </row>
    <row r="352" spans="1:10" ht="18" hidden="1" x14ac:dyDescent="0.3">
      <c r="A352" s="199" t="s">
        <v>273</v>
      </c>
      <c r="B352" s="190" t="s">
        <v>446</v>
      </c>
      <c r="C352" s="168" t="s">
        <v>48</v>
      </c>
      <c r="D352" s="168" t="s">
        <v>42</v>
      </c>
      <c r="E352" s="144" t="s">
        <v>473</v>
      </c>
      <c r="F352" s="78" t="s">
        <v>274</v>
      </c>
      <c r="G352" s="170">
        <v>179947</v>
      </c>
      <c r="H352" s="170">
        <v>179947</v>
      </c>
      <c r="I352" s="84"/>
      <c r="J352" s="81">
        <f t="shared" si="19"/>
        <v>100</v>
      </c>
    </row>
    <row r="353" spans="1:11" ht="16.2" hidden="1" x14ac:dyDescent="0.3">
      <c r="A353" s="200" t="s">
        <v>78</v>
      </c>
      <c r="B353" s="201" t="s">
        <v>446</v>
      </c>
      <c r="C353" s="202" t="s">
        <v>48</v>
      </c>
      <c r="D353" s="202" t="s">
        <v>44</v>
      </c>
      <c r="E353" s="72"/>
      <c r="F353" s="72"/>
      <c r="G353" s="73">
        <f>G354+G369</f>
        <v>1100238.8799999999</v>
      </c>
      <c r="H353" s="73">
        <f>H354+H369</f>
        <v>1100238.3599999999</v>
      </c>
      <c r="I353" s="161"/>
      <c r="J353" s="81">
        <f t="shared" si="19"/>
        <v>99.999952737536418</v>
      </c>
    </row>
    <row r="354" spans="1:11" ht="109.2" hidden="1" x14ac:dyDescent="0.3">
      <c r="A354" s="203" t="s">
        <v>474</v>
      </c>
      <c r="B354" s="204" t="s">
        <v>446</v>
      </c>
      <c r="C354" s="130" t="s">
        <v>48</v>
      </c>
      <c r="D354" s="130" t="s">
        <v>44</v>
      </c>
      <c r="E354" s="129" t="s">
        <v>312</v>
      </c>
      <c r="F354" s="78"/>
      <c r="G354" s="79">
        <f>G355</f>
        <v>519789.67</v>
      </c>
      <c r="H354" s="184">
        <f>H355</f>
        <v>519789.67</v>
      </c>
      <c r="I354" s="84"/>
      <c r="J354" s="81">
        <f t="shared" si="19"/>
        <v>100</v>
      </c>
    </row>
    <row r="355" spans="1:11" hidden="1" x14ac:dyDescent="0.3">
      <c r="A355" s="89" t="s">
        <v>271</v>
      </c>
      <c r="B355" s="204" t="s">
        <v>446</v>
      </c>
      <c r="C355" s="130" t="s">
        <v>48</v>
      </c>
      <c r="D355" s="130" t="s">
        <v>44</v>
      </c>
      <c r="E355" s="129" t="s">
        <v>312</v>
      </c>
      <c r="F355" s="78" t="s">
        <v>274</v>
      </c>
      <c r="G355" s="79">
        <f>G357+G358+G359+G360+G361+G362+G363+G364+G365</f>
        <v>519789.67</v>
      </c>
      <c r="H355" s="184">
        <f>H357+H358+H359+H360+H361+H362+H363+H364+H365</f>
        <v>519789.67</v>
      </c>
      <c r="I355" s="84"/>
      <c r="J355" s="81">
        <f t="shared" si="19"/>
        <v>100</v>
      </c>
    </row>
    <row r="356" spans="1:11" hidden="1" x14ac:dyDescent="0.3">
      <c r="A356" s="89" t="s">
        <v>107</v>
      </c>
      <c r="B356" s="204"/>
      <c r="C356" s="130"/>
      <c r="D356" s="130"/>
      <c r="E356" s="78"/>
      <c r="F356" s="78"/>
      <c r="G356" s="79"/>
      <c r="H356" s="145"/>
      <c r="I356" s="84"/>
      <c r="J356" s="81"/>
    </row>
    <row r="357" spans="1:11" ht="18" hidden="1" x14ac:dyDescent="0.3">
      <c r="A357" s="205" t="s">
        <v>467</v>
      </c>
      <c r="B357" s="204" t="s">
        <v>446</v>
      </c>
      <c r="C357" s="130" t="s">
        <v>48</v>
      </c>
      <c r="D357" s="130" t="s">
        <v>44</v>
      </c>
      <c r="E357" s="129" t="s">
        <v>312</v>
      </c>
      <c r="F357" s="78" t="s">
        <v>274</v>
      </c>
      <c r="G357" s="150">
        <v>149286</v>
      </c>
      <c r="H357" s="150">
        <v>149286</v>
      </c>
      <c r="I357" s="84"/>
      <c r="J357" s="81">
        <f t="shared" si="19"/>
        <v>100</v>
      </c>
    </row>
    <row r="358" spans="1:11" ht="18" hidden="1" x14ac:dyDescent="0.3">
      <c r="A358" s="205" t="s">
        <v>475</v>
      </c>
      <c r="B358" s="204" t="s">
        <v>446</v>
      </c>
      <c r="C358" s="130" t="s">
        <v>48</v>
      </c>
      <c r="D358" s="130" t="s">
        <v>44</v>
      </c>
      <c r="E358" s="129" t="s">
        <v>312</v>
      </c>
      <c r="F358" s="78" t="s">
        <v>274</v>
      </c>
      <c r="G358" s="150">
        <v>97956</v>
      </c>
      <c r="H358" s="150">
        <v>97956</v>
      </c>
      <c r="I358" s="84"/>
      <c r="J358" s="81">
        <f t="shared" si="19"/>
        <v>100</v>
      </c>
    </row>
    <row r="359" spans="1:11" ht="18" hidden="1" x14ac:dyDescent="0.3">
      <c r="A359" s="205" t="s">
        <v>476</v>
      </c>
      <c r="B359" s="204" t="s">
        <v>446</v>
      </c>
      <c r="C359" s="130" t="s">
        <v>48</v>
      </c>
      <c r="D359" s="130" t="s">
        <v>44</v>
      </c>
      <c r="E359" s="129" t="s">
        <v>312</v>
      </c>
      <c r="F359" s="78" t="s">
        <v>274</v>
      </c>
      <c r="G359" s="150">
        <v>85457</v>
      </c>
      <c r="H359" s="150">
        <v>85457</v>
      </c>
      <c r="I359" s="84"/>
      <c r="J359" s="81">
        <f t="shared" si="19"/>
        <v>100</v>
      </c>
      <c r="K359" s="55" t="s">
        <v>114</v>
      </c>
    </row>
    <row r="360" spans="1:11" ht="18" hidden="1" x14ac:dyDescent="0.3">
      <c r="A360" s="205" t="s">
        <v>477</v>
      </c>
      <c r="B360" s="204" t="s">
        <v>446</v>
      </c>
      <c r="C360" s="130" t="s">
        <v>48</v>
      </c>
      <c r="D360" s="130" t="s">
        <v>44</v>
      </c>
      <c r="E360" s="129" t="s">
        <v>312</v>
      </c>
      <c r="F360" s="78" t="s">
        <v>274</v>
      </c>
      <c r="G360" s="150">
        <v>11025.67</v>
      </c>
      <c r="H360" s="150">
        <v>11025.67</v>
      </c>
      <c r="I360" s="84"/>
      <c r="J360" s="81">
        <f t="shared" si="19"/>
        <v>100</v>
      </c>
    </row>
    <row r="361" spans="1:11" ht="18" hidden="1" x14ac:dyDescent="0.3">
      <c r="A361" s="205" t="s">
        <v>478</v>
      </c>
      <c r="B361" s="204" t="s">
        <v>446</v>
      </c>
      <c r="C361" s="130" t="s">
        <v>48</v>
      </c>
      <c r="D361" s="130" t="s">
        <v>44</v>
      </c>
      <c r="E361" s="129" t="s">
        <v>312</v>
      </c>
      <c r="F361" s="78" t="s">
        <v>274</v>
      </c>
      <c r="G361" s="150">
        <v>36766</v>
      </c>
      <c r="H361" s="150">
        <v>36766</v>
      </c>
      <c r="I361" s="84"/>
      <c r="J361" s="81">
        <f t="shared" si="19"/>
        <v>100</v>
      </c>
    </row>
    <row r="362" spans="1:11" ht="18" hidden="1" x14ac:dyDescent="0.3">
      <c r="A362" s="205" t="s">
        <v>466</v>
      </c>
      <c r="B362" s="204" t="s">
        <v>446</v>
      </c>
      <c r="C362" s="130" t="s">
        <v>48</v>
      </c>
      <c r="D362" s="130" t="s">
        <v>44</v>
      </c>
      <c r="E362" s="129" t="s">
        <v>312</v>
      </c>
      <c r="F362" s="78" t="s">
        <v>274</v>
      </c>
      <c r="G362" s="150">
        <v>46395</v>
      </c>
      <c r="H362" s="150">
        <v>46395</v>
      </c>
      <c r="I362" s="84"/>
      <c r="J362" s="81">
        <f t="shared" si="19"/>
        <v>100</v>
      </c>
    </row>
    <row r="363" spans="1:11" ht="18" hidden="1" x14ac:dyDescent="0.3">
      <c r="A363" s="205" t="s">
        <v>479</v>
      </c>
      <c r="B363" s="204" t="s">
        <v>446</v>
      </c>
      <c r="C363" s="130" t="s">
        <v>48</v>
      </c>
      <c r="D363" s="130" t="s">
        <v>44</v>
      </c>
      <c r="E363" s="129" t="s">
        <v>312</v>
      </c>
      <c r="F363" s="78" t="s">
        <v>274</v>
      </c>
      <c r="G363" s="150">
        <v>36128</v>
      </c>
      <c r="H363" s="150">
        <v>36128</v>
      </c>
      <c r="I363" s="84"/>
      <c r="J363" s="81">
        <f t="shared" si="19"/>
        <v>100</v>
      </c>
    </row>
    <row r="364" spans="1:11" ht="18" hidden="1" x14ac:dyDescent="0.3">
      <c r="A364" s="205" t="s">
        <v>480</v>
      </c>
      <c r="B364" s="204" t="s">
        <v>446</v>
      </c>
      <c r="C364" s="130" t="s">
        <v>48</v>
      </c>
      <c r="D364" s="130" t="s">
        <v>44</v>
      </c>
      <c r="E364" s="129" t="s">
        <v>312</v>
      </c>
      <c r="F364" s="78" t="s">
        <v>274</v>
      </c>
      <c r="G364" s="150">
        <v>56776</v>
      </c>
      <c r="H364" s="150">
        <v>56776</v>
      </c>
      <c r="I364" s="84"/>
      <c r="J364" s="81">
        <f t="shared" si="19"/>
        <v>100</v>
      </c>
    </row>
    <row r="365" spans="1:11" ht="18" hidden="1" x14ac:dyDescent="0.3">
      <c r="A365" s="205" t="s">
        <v>481</v>
      </c>
      <c r="B365" s="204" t="s">
        <v>446</v>
      </c>
      <c r="C365" s="130" t="s">
        <v>48</v>
      </c>
      <c r="D365" s="130" t="s">
        <v>44</v>
      </c>
      <c r="E365" s="129" t="s">
        <v>312</v>
      </c>
      <c r="F365" s="78" t="s">
        <v>274</v>
      </c>
      <c r="G365" s="150">
        <v>0</v>
      </c>
      <c r="H365" s="150">
        <v>0</v>
      </c>
      <c r="I365" s="84"/>
      <c r="J365" s="81">
        <v>0</v>
      </c>
    </row>
    <row r="366" spans="1:11" hidden="1" x14ac:dyDescent="0.3">
      <c r="A366" s="76"/>
      <c r="B366" s="77"/>
      <c r="C366" s="78"/>
      <c r="D366" s="78"/>
      <c r="E366" s="78"/>
      <c r="F366" s="78"/>
      <c r="G366" s="68"/>
      <c r="H366" s="84"/>
      <c r="I366" s="84"/>
      <c r="J366" s="81" t="e">
        <f t="shared" si="19"/>
        <v>#DIV/0!</v>
      </c>
    </row>
    <row r="367" spans="1:11" hidden="1" x14ac:dyDescent="0.3">
      <c r="A367" s="76"/>
      <c r="B367" s="77"/>
      <c r="C367" s="78"/>
      <c r="D367" s="78"/>
      <c r="E367" s="78"/>
      <c r="F367" s="78"/>
      <c r="G367" s="68"/>
      <c r="H367" s="84"/>
      <c r="I367" s="84"/>
      <c r="J367" s="81" t="e">
        <f t="shared" si="19"/>
        <v>#DIV/0!</v>
      </c>
    </row>
    <row r="368" spans="1:11" hidden="1" x14ac:dyDescent="0.3">
      <c r="A368" s="76"/>
      <c r="B368" s="77"/>
      <c r="C368" s="78"/>
      <c r="D368" s="78"/>
      <c r="E368" s="78"/>
      <c r="F368" s="78"/>
      <c r="G368" s="68"/>
      <c r="H368" s="84"/>
      <c r="I368" s="84"/>
      <c r="J368" s="81" t="e">
        <f t="shared" si="19"/>
        <v>#DIV/0!</v>
      </c>
    </row>
    <row r="369" spans="1:10" ht="62.4" hidden="1" x14ac:dyDescent="0.35">
      <c r="A369" s="93" t="s">
        <v>314</v>
      </c>
      <c r="B369" s="168" t="s">
        <v>446</v>
      </c>
      <c r="C369" s="168" t="s">
        <v>48</v>
      </c>
      <c r="D369" s="168" t="s">
        <v>44</v>
      </c>
      <c r="E369" s="143" t="s">
        <v>315</v>
      </c>
      <c r="F369" s="78"/>
      <c r="G369" s="206">
        <f>G370</f>
        <v>580449.21</v>
      </c>
      <c r="H369" s="207">
        <f>H370</f>
        <v>580448.68999999994</v>
      </c>
      <c r="I369" s="84"/>
      <c r="J369" s="81">
        <f t="shared" si="19"/>
        <v>99.999910414211783</v>
      </c>
    </row>
    <row r="370" spans="1:10" ht="18" hidden="1" x14ac:dyDescent="0.35">
      <c r="A370" s="199" t="s">
        <v>271</v>
      </c>
      <c r="B370" s="174" t="s">
        <v>446</v>
      </c>
      <c r="C370" s="174" t="s">
        <v>48</v>
      </c>
      <c r="D370" s="174" t="s">
        <v>44</v>
      </c>
      <c r="E370" s="144" t="s">
        <v>315</v>
      </c>
      <c r="F370" s="78" t="s">
        <v>274</v>
      </c>
      <c r="G370" s="206">
        <f>G372+G373+G374+G375+G376+G377+G378+G379+G380</f>
        <v>580449.21</v>
      </c>
      <c r="H370" s="207">
        <f>H372+H373+H374+H375+H376+H377+H378+H379+H380</f>
        <v>580448.68999999994</v>
      </c>
      <c r="I370" s="84"/>
      <c r="J370" s="81">
        <f t="shared" si="19"/>
        <v>99.999910414211783</v>
      </c>
    </row>
    <row r="371" spans="1:10" ht="18" hidden="1" x14ac:dyDescent="0.3">
      <c r="A371" s="208" t="s">
        <v>107</v>
      </c>
      <c r="B371" s="77"/>
      <c r="C371" s="78"/>
      <c r="D371" s="78"/>
      <c r="E371" s="78"/>
      <c r="F371" s="78"/>
      <c r="G371" s="79"/>
      <c r="H371" s="84"/>
      <c r="I371" s="84"/>
      <c r="J371" s="81"/>
    </row>
    <row r="372" spans="1:10" ht="18" hidden="1" x14ac:dyDescent="0.3">
      <c r="A372" s="199" t="s">
        <v>470</v>
      </c>
      <c r="B372" s="174" t="s">
        <v>446</v>
      </c>
      <c r="C372" s="174" t="s">
        <v>48</v>
      </c>
      <c r="D372" s="174" t="s">
        <v>44</v>
      </c>
      <c r="E372" s="144" t="s">
        <v>315</v>
      </c>
      <c r="F372" s="78" t="s">
        <v>274</v>
      </c>
      <c r="G372" s="79">
        <v>50000</v>
      </c>
      <c r="H372" s="79">
        <v>50000</v>
      </c>
      <c r="I372" s="84"/>
      <c r="J372" s="81">
        <f t="shared" si="19"/>
        <v>100</v>
      </c>
    </row>
    <row r="373" spans="1:10" ht="18" hidden="1" x14ac:dyDescent="0.3">
      <c r="A373" s="199" t="s">
        <v>468</v>
      </c>
      <c r="B373" s="174" t="s">
        <v>446</v>
      </c>
      <c r="C373" s="174" t="s">
        <v>48</v>
      </c>
      <c r="D373" s="174" t="s">
        <v>44</v>
      </c>
      <c r="E373" s="144" t="s">
        <v>315</v>
      </c>
      <c r="F373" s="78" t="s">
        <v>274</v>
      </c>
      <c r="G373" s="79">
        <v>50000</v>
      </c>
      <c r="H373" s="79">
        <v>50000</v>
      </c>
      <c r="I373" s="84"/>
      <c r="J373" s="81">
        <f t="shared" si="19"/>
        <v>100</v>
      </c>
    </row>
    <row r="374" spans="1:10" ht="18" hidden="1" x14ac:dyDescent="0.3">
      <c r="A374" s="199" t="s">
        <v>482</v>
      </c>
      <c r="B374" s="174" t="s">
        <v>446</v>
      </c>
      <c r="C374" s="174" t="s">
        <v>48</v>
      </c>
      <c r="D374" s="174" t="s">
        <v>44</v>
      </c>
      <c r="E374" s="144" t="s">
        <v>315</v>
      </c>
      <c r="F374" s="78" t="s">
        <v>274</v>
      </c>
      <c r="G374" s="79">
        <v>40449.21</v>
      </c>
      <c r="H374" s="79">
        <v>40449.21</v>
      </c>
      <c r="I374" s="84"/>
      <c r="J374" s="81">
        <f t="shared" si="19"/>
        <v>100</v>
      </c>
    </row>
    <row r="375" spans="1:10" ht="18" hidden="1" x14ac:dyDescent="0.3">
      <c r="A375" s="199" t="s">
        <v>483</v>
      </c>
      <c r="B375" s="174" t="s">
        <v>446</v>
      </c>
      <c r="C375" s="174" t="s">
        <v>48</v>
      </c>
      <c r="D375" s="174" t="s">
        <v>44</v>
      </c>
      <c r="E375" s="144" t="s">
        <v>315</v>
      </c>
      <c r="F375" s="78" t="s">
        <v>274</v>
      </c>
      <c r="G375" s="79">
        <v>20000</v>
      </c>
      <c r="H375" s="79">
        <v>20000</v>
      </c>
      <c r="I375" s="84"/>
      <c r="J375" s="81">
        <f t="shared" si="19"/>
        <v>100</v>
      </c>
    </row>
    <row r="376" spans="1:10" ht="18" hidden="1" x14ac:dyDescent="0.3">
      <c r="A376" s="199" t="s">
        <v>484</v>
      </c>
      <c r="B376" s="174" t="s">
        <v>446</v>
      </c>
      <c r="C376" s="174" t="s">
        <v>48</v>
      </c>
      <c r="D376" s="174" t="s">
        <v>44</v>
      </c>
      <c r="E376" s="144" t="s">
        <v>315</v>
      </c>
      <c r="F376" s="78" t="s">
        <v>274</v>
      </c>
      <c r="G376" s="79">
        <v>20000</v>
      </c>
      <c r="H376" s="187">
        <v>19999.48</v>
      </c>
      <c r="I376" s="84"/>
      <c r="J376" s="81">
        <f t="shared" si="19"/>
        <v>99.997399999999999</v>
      </c>
    </row>
    <row r="377" spans="1:10" ht="18" hidden="1" x14ac:dyDescent="0.3">
      <c r="A377" s="199" t="s">
        <v>485</v>
      </c>
      <c r="B377" s="174" t="s">
        <v>446</v>
      </c>
      <c r="C377" s="174" t="s">
        <v>48</v>
      </c>
      <c r="D377" s="174" t="s">
        <v>44</v>
      </c>
      <c r="E377" s="144" t="s">
        <v>315</v>
      </c>
      <c r="F377" s="78" t="s">
        <v>274</v>
      </c>
      <c r="G377" s="79">
        <v>30000</v>
      </c>
      <c r="H377" s="79">
        <v>30000</v>
      </c>
      <c r="I377" s="84"/>
      <c r="J377" s="81">
        <f t="shared" si="19"/>
        <v>100</v>
      </c>
    </row>
    <row r="378" spans="1:10" ht="18" hidden="1" x14ac:dyDescent="0.3">
      <c r="A378" s="199" t="s">
        <v>469</v>
      </c>
      <c r="B378" s="174" t="s">
        <v>446</v>
      </c>
      <c r="C378" s="174" t="s">
        <v>48</v>
      </c>
      <c r="D378" s="174" t="s">
        <v>44</v>
      </c>
      <c r="E378" s="144" t="s">
        <v>315</v>
      </c>
      <c r="F378" s="78" t="s">
        <v>274</v>
      </c>
      <c r="G378" s="79">
        <v>40000</v>
      </c>
      <c r="H378" s="79">
        <v>40000</v>
      </c>
      <c r="I378" s="84"/>
      <c r="J378" s="81">
        <f t="shared" si="19"/>
        <v>100</v>
      </c>
    </row>
    <row r="379" spans="1:10" ht="18" hidden="1" x14ac:dyDescent="0.3">
      <c r="A379" s="199" t="s">
        <v>464</v>
      </c>
      <c r="B379" s="174" t="s">
        <v>446</v>
      </c>
      <c r="C379" s="174" t="s">
        <v>48</v>
      </c>
      <c r="D379" s="174" t="s">
        <v>44</v>
      </c>
      <c r="E379" s="144" t="s">
        <v>315</v>
      </c>
      <c r="F379" s="78" t="s">
        <v>274</v>
      </c>
      <c r="G379" s="79">
        <v>30000</v>
      </c>
      <c r="H379" s="79">
        <v>30000</v>
      </c>
      <c r="I379" s="84"/>
      <c r="J379" s="81">
        <f t="shared" si="19"/>
        <v>100</v>
      </c>
    </row>
    <row r="380" spans="1:10" ht="18" hidden="1" x14ac:dyDescent="0.3">
      <c r="A380" s="199" t="s">
        <v>486</v>
      </c>
      <c r="B380" s="174" t="s">
        <v>446</v>
      </c>
      <c r="C380" s="174" t="s">
        <v>48</v>
      </c>
      <c r="D380" s="174" t="s">
        <v>44</v>
      </c>
      <c r="E380" s="144" t="s">
        <v>315</v>
      </c>
      <c r="F380" s="78" t="s">
        <v>274</v>
      </c>
      <c r="G380" s="79">
        <v>300000</v>
      </c>
      <c r="H380" s="79">
        <v>300000</v>
      </c>
      <c r="I380" s="84"/>
      <c r="J380" s="81">
        <f t="shared" si="19"/>
        <v>100</v>
      </c>
    </row>
    <row r="381" spans="1:10" hidden="1" x14ac:dyDescent="0.3">
      <c r="A381" s="76"/>
      <c r="B381" s="78"/>
      <c r="C381" s="78"/>
      <c r="D381" s="78"/>
      <c r="E381" s="78"/>
      <c r="F381" s="78"/>
      <c r="G381" s="68"/>
      <c r="H381" s="84"/>
      <c r="I381" s="84"/>
      <c r="J381" s="81"/>
    </row>
    <row r="382" spans="1:10" hidden="1" x14ac:dyDescent="0.3">
      <c r="A382" s="76"/>
      <c r="B382" s="78"/>
      <c r="C382" s="78"/>
      <c r="D382" s="78"/>
      <c r="E382" s="78"/>
      <c r="F382" s="78"/>
      <c r="G382" s="68"/>
      <c r="H382" s="84"/>
      <c r="I382" s="84"/>
      <c r="J382" s="81"/>
    </row>
    <row r="383" spans="1:10" hidden="1" x14ac:dyDescent="0.3">
      <c r="A383" s="76"/>
      <c r="B383" s="78"/>
      <c r="C383" s="78"/>
      <c r="D383" s="78"/>
      <c r="E383" s="78"/>
      <c r="F383" s="78"/>
      <c r="G383" s="68"/>
      <c r="H383" s="84"/>
      <c r="I383" s="84"/>
      <c r="J383" s="81"/>
    </row>
    <row r="384" spans="1:10" hidden="1" x14ac:dyDescent="0.3">
      <c r="A384" s="76"/>
      <c r="B384" s="78"/>
      <c r="C384" s="78"/>
      <c r="D384" s="78"/>
      <c r="E384" s="78"/>
      <c r="F384" s="78"/>
      <c r="G384" s="68"/>
      <c r="H384" s="84"/>
      <c r="I384" s="84"/>
      <c r="J384" s="81"/>
    </row>
    <row r="385" spans="1:10" hidden="1" x14ac:dyDescent="0.3">
      <c r="A385" s="76"/>
      <c r="B385" s="78"/>
      <c r="C385" s="78"/>
      <c r="D385" s="78"/>
      <c r="E385" s="78"/>
      <c r="F385" s="78"/>
      <c r="G385" s="68"/>
      <c r="H385" s="84"/>
      <c r="I385" s="84"/>
      <c r="J385" s="81"/>
    </row>
    <row r="386" spans="1:10" hidden="1" x14ac:dyDescent="0.3">
      <c r="A386" s="76"/>
      <c r="B386" s="78"/>
      <c r="C386" s="78"/>
      <c r="D386" s="78"/>
      <c r="E386" s="78"/>
      <c r="F386" s="78"/>
      <c r="G386" s="68"/>
      <c r="H386" s="84"/>
      <c r="I386" s="84"/>
      <c r="J386" s="81"/>
    </row>
    <row r="387" spans="1:10" ht="16.2" hidden="1" x14ac:dyDescent="0.3">
      <c r="A387" s="188" t="s">
        <v>88</v>
      </c>
      <c r="B387" s="209" t="s">
        <v>446</v>
      </c>
      <c r="C387" s="210" t="s">
        <v>70</v>
      </c>
      <c r="D387" s="210" t="s">
        <v>39</v>
      </c>
      <c r="E387" s="72"/>
      <c r="F387" s="72"/>
      <c r="G387" s="73">
        <f>G388</f>
        <v>525468.03</v>
      </c>
      <c r="H387" s="74">
        <f>H388</f>
        <v>525468.03</v>
      </c>
      <c r="I387" s="161"/>
      <c r="J387" s="81">
        <f t="shared" si="19"/>
        <v>100</v>
      </c>
    </row>
    <row r="388" spans="1:10" ht="109.2" hidden="1" x14ac:dyDescent="0.3">
      <c r="A388" s="211" t="s">
        <v>487</v>
      </c>
      <c r="B388" s="190" t="s">
        <v>446</v>
      </c>
      <c r="C388" s="168" t="s">
        <v>70</v>
      </c>
      <c r="D388" s="168" t="s">
        <v>39</v>
      </c>
      <c r="E388" s="143" t="s">
        <v>463</v>
      </c>
      <c r="F388" s="78"/>
      <c r="G388" s="79">
        <f>G389</f>
        <v>525468.03</v>
      </c>
      <c r="H388" s="87">
        <f>H389</f>
        <v>525468.03</v>
      </c>
      <c r="I388" s="84"/>
      <c r="J388" s="81">
        <f t="shared" si="19"/>
        <v>100</v>
      </c>
    </row>
    <row r="389" spans="1:10" hidden="1" x14ac:dyDescent="0.3">
      <c r="A389" s="153" t="s">
        <v>271</v>
      </c>
      <c r="B389" s="190" t="s">
        <v>446</v>
      </c>
      <c r="C389" s="168" t="s">
        <v>70</v>
      </c>
      <c r="D389" s="168" t="s">
        <v>39</v>
      </c>
      <c r="E389" s="143" t="s">
        <v>463</v>
      </c>
      <c r="F389" s="78" t="s">
        <v>274</v>
      </c>
      <c r="G389" s="79">
        <f>G391</f>
        <v>525468.03</v>
      </c>
      <c r="H389" s="87">
        <f>H391</f>
        <v>525468.03</v>
      </c>
      <c r="I389" s="84"/>
      <c r="J389" s="81">
        <f t="shared" si="19"/>
        <v>100</v>
      </c>
    </row>
    <row r="390" spans="1:10" hidden="1" x14ac:dyDescent="0.3">
      <c r="A390" s="153" t="s">
        <v>107</v>
      </c>
      <c r="B390" s="77"/>
      <c r="C390" s="78"/>
      <c r="D390" s="78"/>
      <c r="E390" s="78"/>
      <c r="F390" s="78"/>
      <c r="G390" s="79"/>
      <c r="H390" s="92"/>
      <c r="I390" s="84"/>
      <c r="J390" s="81"/>
    </row>
    <row r="391" spans="1:10" hidden="1" x14ac:dyDescent="0.3">
      <c r="A391" s="198" t="s">
        <v>464</v>
      </c>
      <c r="B391" s="190" t="s">
        <v>446</v>
      </c>
      <c r="C391" s="168" t="s">
        <v>70</v>
      </c>
      <c r="D391" s="168" t="s">
        <v>39</v>
      </c>
      <c r="E391" s="143" t="s">
        <v>463</v>
      </c>
      <c r="F391" s="78" t="s">
        <v>274</v>
      </c>
      <c r="G391" s="105">
        <v>525468.03</v>
      </c>
      <c r="H391" s="92">
        <v>525468.03</v>
      </c>
      <c r="I391" s="84"/>
      <c r="J391" s="81">
        <f t="shared" si="19"/>
        <v>100</v>
      </c>
    </row>
    <row r="392" spans="1:10" hidden="1" x14ac:dyDescent="0.3">
      <c r="A392" s="70" t="s">
        <v>100</v>
      </c>
      <c r="B392" s="71" t="s">
        <v>446</v>
      </c>
      <c r="C392" s="72" t="s">
        <v>56</v>
      </c>
      <c r="D392" s="72" t="s">
        <v>40</v>
      </c>
      <c r="E392" s="72"/>
      <c r="F392" s="72"/>
      <c r="G392" s="73">
        <f>G393</f>
        <v>0</v>
      </c>
      <c r="H392" s="74">
        <f t="shared" ref="H392:I394" si="20">H393</f>
        <v>0</v>
      </c>
      <c r="I392" s="68">
        <f t="shared" si="20"/>
        <v>0</v>
      </c>
      <c r="J392" s="69">
        <v>0</v>
      </c>
    </row>
    <row r="393" spans="1:10" ht="31.2" hidden="1" x14ac:dyDescent="0.3">
      <c r="A393" s="70" t="s">
        <v>488</v>
      </c>
      <c r="B393" s="71" t="s">
        <v>446</v>
      </c>
      <c r="C393" s="72" t="s">
        <v>56</v>
      </c>
      <c r="D393" s="72" t="s">
        <v>39</v>
      </c>
      <c r="E393" s="72"/>
      <c r="F393" s="72"/>
      <c r="G393" s="73">
        <f>G394+G396</f>
        <v>0</v>
      </c>
      <c r="H393" s="74">
        <f>H394+H396</f>
        <v>0</v>
      </c>
      <c r="I393" s="68">
        <f>I394+I396</f>
        <v>0</v>
      </c>
      <c r="J393" s="69">
        <v>0</v>
      </c>
    </row>
    <row r="394" spans="1:10" ht="109.2" hidden="1" x14ac:dyDescent="0.3">
      <c r="A394" s="89" t="s">
        <v>489</v>
      </c>
      <c r="B394" s="77" t="s">
        <v>446</v>
      </c>
      <c r="C394" s="78" t="s">
        <v>56</v>
      </c>
      <c r="D394" s="78" t="s">
        <v>39</v>
      </c>
      <c r="E394" s="78" t="s">
        <v>490</v>
      </c>
      <c r="F394" s="78"/>
      <c r="G394" s="79">
        <f>G395</f>
        <v>0</v>
      </c>
      <c r="H394" s="87">
        <f t="shared" si="20"/>
        <v>0</v>
      </c>
      <c r="I394" s="68">
        <f t="shared" si="20"/>
        <v>0</v>
      </c>
      <c r="J394" s="81">
        <v>0</v>
      </c>
    </row>
    <row r="395" spans="1:10" ht="46.8" hidden="1" x14ac:dyDescent="0.3">
      <c r="A395" s="88" t="s">
        <v>491</v>
      </c>
      <c r="B395" s="77" t="s">
        <v>446</v>
      </c>
      <c r="C395" s="78" t="s">
        <v>56</v>
      </c>
      <c r="D395" s="78" t="s">
        <v>39</v>
      </c>
      <c r="E395" s="78" t="s">
        <v>490</v>
      </c>
      <c r="F395" s="78" t="s">
        <v>492</v>
      </c>
      <c r="G395" s="79">
        <v>0</v>
      </c>
      <c r="H395" s="87">
        <v>0</v>
      </c>
      <c r="I395" s="68">
        <v>0</v>
      </c>
      <c r="J395" s="81">
        <v>0</v>
      </c>
    </row>
    <row r="396" spans="1:10" ht="31.2" hidden="1" x14ac:dyDescent="0.3">
      <c r="A396" s="76" t="s">
        <v>493</v>
      </c>
      <c r="B396" s="77" t="s">
        <v>446</v>
      </c>
      <c r="C396" s="78" t="s">
        <v>56</v>
      </c>
      <c r="D396" s="78" t="s">
        <v>39</v>
      </c>
      <c r="E396" s="78" t="s">
        <v>494</v>
      </c>
      <c r="F396" s="78"/>
      <c r="G396" s="68">
        <f>G397</f>
        <v>0</v>
      </c>
      <c r="H396" s="68">
        <f>H397</f>
        <v>0</v>
      </c>
      <c r="I396" s="68">
        <f>I397</f>
        <v>0</v>
      </c>
      <c r="J396" s="69" t="e">
        <f t="shared" ref="J396:J401" si="21">H396/G396*100</f>
        <v>#DIV/0!</v>
      </c>
    </row>
    <row r="397" spans="1:10" hidden="1" x14ac:dyDescent="0.3">
      <c r="A397" s="76" t="s">
        <v>495</v>
      </c>
      <c r="B397" s="77" t="s">
        <v>446</v>
      </c>
      <c r="C397" s="78" t="s">
        <v>56</v>
      </c>
      <c r="D397" s="78" t="s">
        <v>39</v>
      </c>
      <c r="E397" s="78" t="s">
        <v>494</v>
      </c>
      <c r="F397" s="78" t="s">
        <v>492</v>
      </c>
      <c r="G397" s="68"/>
      <c r="H397" s="84"/>
      <c r="I397" s="84"/>
      <c r="J397" s="69" t="e">
        <f t="shared" si="21"/>
        <v>#DIV/0!</v>
      </c>
    </row>
    <row r="398" spans="1:10" ht="31.2" hidden="1" x14ac:dyDescent="0.3">
      <c r="A398" s="70" t="s">
        <v>102</v>
      </c>
      <c r="B398" s="71" t="s">
        <v>446</v>
      </c>
      <c r="C398" s="72" t="s">
        <v>64</v>
      </c>
      <c r="D398" s="72" t="s">
        <v>40</v>
      </c>
      <c r="E398" s="72"/>
      <c r="F398" s="72"/>
      <c r="G398" s="73">
        <f>G399+G402</f>
        <v>18000000</v>
      </c>
      <c r="H398" s="74">
        <f>H399+H402</f>
        <v>18000000</v>
      </c>
      <c r="I398" s="68">
        <f>I399+I402</f>
        <v>13005000</v>
      </c>
      <c r="J398" s="69">
        <f t="shared" si="21"/>
        <v>100</v>
      </c>
    </row>
    <row r="399" spans="1:10" ht="31.2" hidden="1" x14ac:dyDescent="0.3">
      <c r="A399" s="70" t="s">
        <v>103</v>
      </c>
      <c r="B399" s="71" t="s">
        <v>446</v>
      </c>
      <c r="C399" s="72" t="s">
        <v>64</v>
      </c>
      <c r="D399" s="72" t="s">
        <v>39</v>
      </c>
      <c r="E399" s="72"/>
      <c r="F399" s="72"/>
      <c r="G399" s="73">
        <f t="shared" ref="G399:I400" si="22">G400</f>
        <v>18000000</v>
      </c>
      <c r="H399" s="74">
        <f t="shared" si="22"/>
        <v>18000000</v>
      </c>
      <c r="I399" s="68">
        <f t="shared" si="22"/>
        <v>13005000</v>
      </c>
      <c r="J399" s="69">
        <f t="shared" si="21"/>
        <v>100</v>
      </c>
    </row>
    <row r="400" spans="1:10" ht="109.2" hidden="1" x14ac:dyDescent="0.3">
      <c r="A400" s="106" t="s">
        <v>496</v>
      </c>
      <c r="B400" s="77" t="s">
        <v>446</v>
      </c>
      <c r="C400" s="78" t="s">
        <v>64</v>
      </c>
      <c r="D400" s="78" t="s">
        <v>39</v>
      </c>
      <c r="E400" s="78" t="s">
        <v>497</v>
      </c>
      <c r="F400" s="78"/>
      <c r="G400" s="79">
        <f t="shared" si="22"/>
        <v>18000000</v>
      </c>
      <c r="H400" s="87">
        <f t="shared" si="22"/>
        <v>18000000</v>
      </c>
      <c r="I400" s="68">
        <f t="shared" si="22"/>
        <v>13005000</v>
      </c>
      <c r="J400" s="81">
        <f t="shared" si="21"/>
        <v>100</v>
      </c>
    </row>
    <row r="401" spans="1:11" ht="46.8" hidden="1" x14ac:dyDescent="0.3">
      <c r="A401" s="86" t="s">
        <v>498</v>
      </c>
      <c r="B401" s="77" t="s">
        <v>446</v>
      </c>
      <c r="C401" s="78" t="s">
        <v>64</v>
      </c>
      <c r="D401" s="78" t="s">
        <v>39</v>
      </c>
      <c r="E401" s="78" t="s">
        <v>497</v>
      </c>
      <c r="F401" s="78" t="s">
        <v>274</v>
      </c>
      <c r="G401" s="79">
        <v>18000000</v>
      </c>
      <c r="H401" s="92">
        <v>18000000</v>
      </c>
      <c r="I401" s="84">
        <v>13005000</v>
      </c>
      <c r="J401" s="81">
        <f t="shared" si="21"/>
        <v>100</v>
      </c>
    </row>
    <row r="402" spans="1:11" hidden="1" x14ac:dyDescent="0.3">
      <c r="A402" s="70" t="s">
        <v>104</v>
      </c>
      <c r="B402" s="71" t="s">
        <v>446</v>
      </c>
      <c r="C402" s="72" t="s">
        <v>64</v>
      </c>
      <c r="D402" s="72" t="s">
        <v>44</v>
      </c>
      <c r="E402" s="72"/>
      <c r="F402" s="212"/>
      <c r="G402" s="73">
        <f>G412+G422+G427+G403+G446+G442+G456+G430</f>
        <v>0</v>
      </c>
      <c r="H402" s="73">
        <f>H412+H422+H427+H403+H446+H442+H456+H430</f>
        <v>0</v>
      </c>
      <c r="I402" s="146">
        <f>I412+I422+I427+I403+I446+I442+I456</f>
        <v>0</v>
      </c>
      <c r="J402" s="69">
        <v>0</v>
      </c>
    </row>
    <row r="403" spans="1:11" hidden="1" x14ac:dyDescent="0.3">
      <c r="A403" s="213"/>
      <c r="B403" s="214"/>
      <c r="C403" s="215"/>
      <c r="D403" s="215"/>
      <c r="E403" s="215"/>
      <c r="F403" s="215"/>
      <c r="G403" s="79">
        <v>0</v>
      </c>
      <c r="H403" s="79">
        <v>0</v>
      </c>
      <c r="I403" s="68"/>
      <c r="J403" s="69">
        <v>0</v>
      </c>
    </row>
    <row r="404" spans="1:11" hidden="1" x14ac:dyDescent="0.3">
      <c r="A404" s="76"/>
      <c r="B404" s="77"/>
      <c r="C404" s="78"/>
      <c r="D404" s="78"/>
      <c r="E404" s="78"/>
      <c r="F404" s="78"/>
      <c r="G404" s="68"/>
      <c r="H404" s="68"/>
      <c r="I404" s="68"/>
      <c r="J404" s="69"/>
    </row>
    <row r="405" spans="1:11" hidden="1" x14ac:dyDescent="0.3">
      <c r="A405" s="216"/>
      <c r="B405" s="217"/>
      <c r="C405" s="218"/>
      <c r="D405" s="218"/>
      <c r="E405" s="218"/>
      <c r="F405" s="218"/>
      <c r="G405" s="219"/>
      <c r="H405" s="219"/>
      <c r="I405" s="219"/>
      <c r="J405" s="69"/>
      <c r="K405" s="220"/>
    </row>
    <row r="406" spans="1:11" hidden="1" x14ac:dyDescent="0.3">
      <c r="A406" s="76"/>
      <c r="B406" s="77"/>
      <c r="C406" s="78"/>
      <c r="D406" s="78"/>
      <c r="E406" s="78"/>
      <c r="F406" s="78"/>
      <c r="G406" s="68"/>
      <c r="H406" s="68"/>
      <c r="I406" s="68"/>
      <c r="J406" s="69"/>
    </row>
    <row r="407" spans="1:11" hidden="1" x14ac:dyDescent="0.3">
      <c r="A407" s="76"/>
      <c r="B407" s="77"/>
      <c r="C407" s="78"/>
      <c r="D407" s="78"/>
      <c r="E407" s="78"/>
      <c r="F407" s="78"/>
      <c r="G407" s="68"/>
      <c r="H407" s="68"/>
      <c r="I407" s="68"/>
      <c r="J407" s="69"/>
    </row>
    <row r="408" spans="1:11" hidden="1" x14ac:dyDescent="0.3">
      <c r="A408" s="76"/>
      <c r="B408" s="77"/>
      <c r="C408" s="78"/>
      <c r="D408" s="78"/>
      <c r="E408" s="78"/>
      <c r="F408" s="78"/>
      <c r="G408" s="68"/>
      <c r="H408" s="68"/>
      <c r="I408" s="68"/>
      <c r="J408" s="69"/>
    </row>
    <row r="409" spans="1:11" hidden="1" x14ac:dyDescent="0.3">
      <c r="A409" s="76"/>
      <c r="B409" s="77"/>
      <c r="C409" s="78"/>
      <c r="D409" s="78"/>
      <c r="E409" s="78"/>
      <c r="F409" s="78"/>
      <c r="G409" s="68"/>
      <c r="H409" s="68"/>
      <c r="I409" s="68"/>
      <c r="J409" s="69"/>
    </row>
    <row r="410" spans="1:11" hidden="1" x14ac:dyDescent="0.3">
      <c r="A410" s="76"/>
      <c r="B410" s="77"/>
      <c r="C410" s="78"/>
      <c r="D410" s="78"/>
      <c r="E410" s="78"/>
      <c r="F410" s="78"/>
      <c r="G410" s="68"/>
      <c r="H410" s="68"/>
      <c r="I410" s="68"/>
      <c r="J410" s="69"/>
    </row>
    <row r="411" spans="1:11" hidden="1" x14ac:dyDescent="0.3">
      <c r="A411" s="76"/>
      <c r="B411" s="77"/>
      <c r="C411" s="78"/>
      <c r="D411" s="78"/>
      <c r="E411" s="78"/>
      <c r="F411" s="78"/>
      <c r="G411" s="68"/>
      <c r="H411" s="68"/>
      <c r="I411" s="68"/>
      <c r="J411" s="69"/>
    </row>
    <row r="412" spans="1:11" hidden="1" x14ac:dyDescent="0.3">
      <c r="A412" s="76"/>
      <c r="B412" s="77"/>
      <c r="C412" s="78"/>
      <c r="D412" s="78"/>
      <c r="E412" s="78"/>
      <c r="F412" s="78"/>
      <c r="G412" s="68"/>
      <c r="H412" s="68"/>
      <c r="I412" s="68"/>
      <c r="J412" s="69"/>
    </row>
    <row r="413" spans="1:11" hidden="1" x14ac:dyDescent="0.3">
      <c r="A413" s="76"/>
      <c r="B413" s="77"/>
      <c r="C413" s="78"/>
      <c r="D413" s="78"/>
      <c r="E413" s="78"/>
      <c r="F413" s="78"/>
      <c r="G413" s="68"/>
      <c r="H413" s="68"/>
      <c r="I413" s="68"/>
      <c r="J413" s="69"/>
    </row>
    <row r="414" spans="1:11" hidden="1" x14ac:dyDescent="0.3">
      <c r="A414" s="216"/>
      <c r="B414" s="217"/>
      <c r="C414" s="218"/>
      <c r="D414" s="218"/>
      <c r="E414" s="218"/>
      <c r="F414" s="218"/>
      <c r="G414" s="219"/>
      <c r="H414" s="221"/>
      <c r="I414" s="221"/>
      <c r="J414" s="69"/>
      <c r="K414" s="220"/>
    </row>
    <row r="415" spans="1:11" hidden="1" x14ac:dyDescent="0.3">
      <c r="A415" s="76"/>
      <c r="B415" s="77"/>
      <c r="C415" s="78"/>
      <c r="D415" s="78"/>
      <c r="E415" s="78"/>
      <c r="F415" s="78"/>
      <c r="G415" s="68"/>
      <c r="H415" s="84"/>
      <c r="I415" s="84"/>
      <c r="J415" s="69"/>
    </row>
    <row r="416" spans="1:11" hidden="1" x14ac:dyDescent="0.3">
      <c r="A416" s="76"/>
      <c r="B416" s="77"/>
      <c r="C416" s="78"/>
      <c r="D416" s="78"/>
      <c r="E416" s="78"/>
      <c r="F416" s="78"/>
      <c r="G416" s="68"/>
      <c r="H416" s="84"/>
      <c r="I416" s="84"/>
      <c r="J416" s="69"/>
    </row>
    <row r="417" spans="1:11" hidden="1" x14ac:dyDescent="0.3">
      <c r="A417" s="76"/>
      <c r="B417" s="77"/>
      <c r="C417" s="78"/>
      <c r="D417" s="78"/>
      <c r="E417" s="78"/>
      <c r="F417" s="78"/>
      <c r="G417" s="68"/>
      <c r="H417" s="84"/>
      <c r="I417" s="84"/>
      <c r="J417" s="69"/>
    </row>
    <row r="418" spans="1:11" hidden="1" x14ac:dyDescent="0.3">
      <c r="A418" s="76"/>
      <c r="B418" s="77"/>
      <c r="C418" s="78"/>
      <c r="D418" s="78"/>
      <c r="E418" s="78"/>
      <c r="F418" s="78"/>
      <c r="G418" s="68"/>
      <c r="H418" s="84"/>
      <c r="I418" s="84"/>
      <c r="J418" s="69"/>
    </row>
    <row r="419" spans="1:11" hidden="1" x14ac:dyDescent="0.3">
      <c r="A419" s="76"/>
      <c r="B419" s="77"/>
      <c r="C419" s="78"/>
      <c r="D419" s="78"/>
      <c r="E419" s="78"/>
      <c r="F419" s="78"/>
      <c r="G419" s="68"/>
      <c r="H419" s="84"/>
      <c r="I419" s="84"/>
      <c r="J419" s="69"/>
    </row>
    <row r="420" spans="1:11" hidden="1" x14ac:dyDescent="0.3">
      <c r="A420" s="76"/>
      <c r="B420" s="77"/>
      <c r="C420" s="78"/>
      <c r="D420" s="78"/>
      <c r="E420" s="78"/>
      <c r="F420" s="78"/>
      <c r="G420" s="68"/>
      <c r="H420" s="84"/>
      <c r="I420" s="84"/>
      <c r="J420" s="69"/>
    </row>
    <row r="421" spans="1:11" hidden="1" x14ac:dyDescent="0.3">
      <c r="A421" s="76"/>
      <c r="B421" s="77"/>
      <c r="C421" s="78"/>
      <c r="D421" s="78"/>
      <c r="E421" s="78"/>
      <c r="F421" s="78"/>
      <c r="G421" s="68"/>
      <c r="H421" s="84"/>
      <c r="I421" s="84"/>
      <c r="J421" s="69"/>
    </row>
    <row r="422" spans="1:11" hidden="1" x14ac:dyDescent="0.3">
      <c r="A422" s="76"/>
      <c r="B422" s="77"/>
      <c r="C422" s="78"/>
      <c r="D422" s="78"/>
      <c r="E422" s="78"/>
      <c r="F422" s="78"/>
      <c r="G422" s="68"/>
      <c r="H422" s="68"/>
      <c r="I422" s="68"/>
      <c r="J422" s="69"/>
    </row>
    <row r="423" spans="1:11" hidden="1" x14ac:dyDescent="0.3">
      <c r="A423" s="216"/>
      <c r="B423" s="217"/>
      <c r="C423" s="218"/>
      <c r="D423" s="218"/>
      <c r="E423" s="218"/>
      <c r="F423" s="218"/>
      <c r="G423" s="219"/>
      <c r="H423" s="221"/>
      <c r="I423" s="221"/>
      <c r="J423" s="69"/>
      <c r="K423" s="220"/>
    </row>
    <row r="424" spans="1:11" hidden="1" x14ac:dyDescent="0.3">
      <c r="A424" s="76"/>
      <c r="B424" s="77"/>
      <c r="C424" s="78"/>
      <c r="D424" s="78"/>
      <c r="E424" s="78"/>
      <c r="F424" s="78"/>
      <c r="G424" s="68"/>
      <c r="H424" s="84"/>
      <c r="I424" s="84"/>
      <c r="J424" s="69"/>
    </row>
    <row r="425" spans="1:11" hidden="1" x14ac:dyDescent="0.3">
      <c r="A425" s="76"/>
      <c r="B425" s="77"/>
      <c r="C425" s="78"/>
      <c r="D425" s="78"/>
      <c r="E425" s="78"/>
      <c r="F425" s="78"/>
      <c r="G425" s="68"/>
      <c r="H425" s="84"/>
      <c r="I425" s="84"/>
      <c r="J425" s="69"/>
    </row>
    <row r="426" spans="1:11" hidden="1" x14ac:dyDescent="0.3">
      <c r="A426" s="76"/>
      <c r="B426" s="77"/>
      <c r="C426" s="78"/>
      <c r="D426" s="78"/>
      <c r="E426" s="78"/>
      <c r="F426" s="78"/>
      <c r="G426" s="68"/>
      <c r="H426" s="84"/>
      <c r="I426" s="84"/>
      <c r="J426" s="69"/>
    </row>
    <row r="427" spans="1:11" hidden="1" x14ac:dyDescent="0.3">
      <c r="A427" s="76"/>
      <c r="B427" s="77"/>
      <c r="C427" s="78"/>
      <c r="D427" s="78"/>
      <c r="E427" s="78"/>
      <c r="F427" s="78"/>
      <c r="G427" s="68"/>
      <c r="H427" s="68"/>
      <c r="I427" s="68"/>
      <c r="J427" s="69"/>
    </row>
    <row r="428" spans="1:11" hidden="1" x14ac:dyDescent="0.3">
      <c r="A428" s="216"/>
      <c r="B428" s="77"/>
      <c r="C428" s="78"/>
      <c r="D428" s="78"/>
      <c r="E428" s="78"/>
      <c r="F428" s="78"/>
      <c r="G428" s="68"/>
      <c r="H428" s="84"/>
      <c r="I428" s="84"/>
      <c r="J428" s="69"/>
    </row>
    <row r="429" spans="1:11" hidden="1" x14ac:dyDescent="0.3">
      <c r="A429" s="76"/>
      <c r="B429" s="77"/>
      <c r="C429" s="78"/>
      <c r="D429" s="78"/>
      <c r="E429" s="78"/>
      <c r="F429" s="78"/>
      <c r="G429" s="68"/>
      <c r="H429" s="84"/>
      <c r="I429" s="84"/>
      <c r="J429" s="69"/>
    </row>
    <row r="430" spans="1:11" hidden="1" x14ac:dyDescent="0.3">
      <c r="A430" s="76"/>
      <c r="B430" s="77"/>
      <c r="C430" s="78"/>
      <c r="D430" s="78"/>
      <c r="E430" s="78"/>
      <c r="F430" s="78"/>
      <c r="G430" s="68"/>
      <c r="H430" s="68"/>
      <c r="I430" s="68"/>
      <c r="J430" s="69"/>
      <c r="K430" s="222"/>
    </row>
    <row r="431" spans="1:11" hidden="1" x14ac:dyDescent="0.3">
      <c r="A431" s="76"/>
      <c r="B431" s="77"/>
      <c r="C431" s="78"/>
      <c r="D431" s="78"/>
      <c r="E431" s="78"/>
      <c r="F431" s="78"/>
      <c r="G431" s="68"/>
      <c r="H431" s="68"/>
      <c r="I431" s="68"/>
      <c r="J431" s="69"/>
      <c r="K431" s="222"/>
    </row>
    <row r="432" spans="1:11" hidden="1" x14ac:dyDescent="0.3">
      <c r="A432" s="216"/>
      <c r="B432" s="217"/>
      <c r="C432" s="218"/>
      <c r="D432" s="218"/>
      <c r="E432" s="218"/>
      <c r="F432" s="218"/>
      <c r="G432" s="219"/>
      <c r="H432" s="221"/>
      <c r="I432" s="221"/>
      <c r="J432" s="69"/>
      <c r="K432" s="223"/>
    </row>
    <row r="433" spans="1:11" hidden="1" x14ac:dyDescent="0.3">
      <c r="A433" s="76"/>
      <c r="B433" s="77"/>
      <c r="C433" s="78"/>
      <c r="D433" s="78"/>
      <c r="E433" s="78"/>
      <c r="F433" s="78"/>
      <c r="G433" s="68"/>
      <c r="H433" s="84"/>
      <c r="I433" s="84"/>
      <c r="J433" s="69"/>
      <c r="K433" s="222"/>
    </row>
    <row r="434" spans="1:11" hidden="1" x14ac:dyDescent="0.3">
      <c r="A434" s="76"/>
      <c r="B434" s="77"/>
      <c r="C434" s="78"/>
      <c r="D434" s="78"/>
      <c r="E434" s="78"/>
      <c r="F434" s="78"/>
      <c r="G434" s="68"/>
      <c r="H434" s="84"/>
      <c r="I434" s="84"/>
      <c r="J434" s="69"/>
      <c r="K434" s="222"/>
    </row>
    <row r="435" spans="1:11" hidden="1" x14ac:dyDescent="0.3">
      <c r="A435" s="76"/>
      <c r="B435" s="77"/>
      <c r="C435" s="78"/>
      <c r="D435" s="78"/>
      <c r="E435" s="78"/>
      <c r="F435" s="78"/>
      <c r="G435" s="68"/>
      <c r="H435" s="84"/>
      <c r="I435" s="84"/>
      <c r="J435" s="69"/>
      <c r="K435" s="222"/>
    </row>
    <row r="436" spans="1:11" hidden="1" x14ac:dyDescent="0.3">
      <c r="A436" s="76"/>
      <c r="B436" s="77"/>
      <c r="C436" s="78"/>
      <c r="D436" s="78"/>
      <c r="E436" s="78"/>
      <c r="F436" s="78"/>
      <c r="G436" s="68"/>
      <c r="H436" s="84"/>
      <c r="I436" s="84"/>
      <c r="J436" s="69"/>
      <c r="K436" s="222"/>
    </row>
    <row r="437" spans="1:11" hidden="1" x14ac:dyDescent="0.3">
      <c r="A437" s="76"/>
      <c r="B437" s="77"/>
      <c r="C437" s="78"/>
      <c r="D437" s="78"/>
      <c r="E437" s="78"/>
      <c r="F437" s="78"/>
      <c r="G437" s="68"/>
      <c r="H437" s="84"/>
      <c r="I437" s="84"/>
      <c r="J437" s="69"/>
      <c r="K437" s="222"/>
    </row>
    <row r="438" spans="1:11" hidden="1" x14ac:dyDescent="0.3">
      <c r="A438" s="76"/>
      <c r="B438" s="77"/>
      <c r="C438" s="78"/>
      <c r="D438" s="78"/>
      <c r="E438" s="78"/>
      <c r="F438" s="78"/>
      <c r="G438" s="68"/>
      <c r="H438" s="84"/>
      <c r="I438" s="84"/>
      <c r="J438" s="69"/>
      <c r="K438" s="222"/>
    </row>
    <row r="439" spans="1:11" hidden="1" x14ac:dyDescent="0.3">
      <c r="A439" s="76"/>
      <c r="B439" s="77"/>
      <c r="C439" s="78"/>
      <c r="D439" s="78"/>
      <c r="E439" s="78"/>
      <c r="F439" s="78"/>
      <c r="G439" s="68"/>
      <c r="H439" s="84"/>
      <c r="I439" s="84"/>
      <c r="J439" s="69"/>
      <c r="K439" s="222"/>
    </row>
    <row r="440" spans="1:11" hidden="1" x14ac:dyDescent="0.3">
      <c r="A440" s="76"/>
      <c r="B440" s="77"/>
      <c r="C440" s="78"/>
      <c r="D440" s="78"/>
      <c r="E440" s="78"/>
      <c r="F440" s="78"/>
      <c r="G440" s="68"/>
      <c r="H440" s="84"/>
      <c r="I440" s="84"/>
      <c r="J440" s="69"/>
      <c r="K440" s="222"/>
    </row>
    <row r="441" spans="1:11" hidden="1" x14ac:dyDescent="0.3">
      <c r="A441" s="76"/>
      <c r="B441" s="77"/>
      <c r="C441" s="78"/>
      <c r="D441" s="78"/>
      <c r="E441" s="78"/>
      <c r="F441" s="78"/>
      <c r="G441" s="68"/>
      <c r="H441" s="84"/>
      <c r="I441" s="84"/>
      <c r="J441" s="69"/>
      <c r="K441" s="222"/>
    </row>
    <row r="442" spans="1:11" hidden="1" x14ac:dyDescent="0.3">
      <c r="A442" s="76"/>
      <c r="B442" s="77"/>
      <c r="C442" s="78"/>
      <c r="D442" s="78"/>
      <c r="E442" s="78"/>
      <c r="F442" s="78"/>
      <c r="G442" s="68"/>
      <c r="H442" s="68"/>
      <c r="I442" s="68"/>
      <c r="J442" s="69"/>
    </row>
    <row r="443" spans="1:11" hidden="1" x14ac:dyDescent="0.3">
      <c r="A443" s="76"/>
      <c r="B443" s="77"/>
      <c r="C443" s="78"/>
      <c r="D443" s="78"/>
      <c r="E443" s="78"/>
      <c r="F443" s="78"/>
      <c r="G443" s="68"/>
      <c r="H443" s="68"/>
      <c r="I443" s="68"/>
      <c r="J443" s="69"/>
    </row>
    <row r="444" spans="1:11" hidden="1" x14ac:dyDescent="0.3">
      <c r="A444" s="216"/>
      <c r="B444" s="217"/>
      <c r="C444" s="218"/>
      <c r="D444" s="218"/>
      <c r="E444" s="218"/>
      <c r="F444" s="218"/>
      <c r="G444" s="219"/>
      <c r="H444" s="221"/>
      <c r="I444" s="221"/>
      <c r="J444" s="69"/>
      <c r="K444" s="220"/>
    </row>
    <row r="445" spans="1:11" hidden="1" x14ac:dyDescent="0.3">
      <c r="A445" s="76"/>
      <c r="B445" s="77"/>
      <c r="C445" s="78"/>
      <c r="D445" s="78"/>
      <c r="E445" s="78"/>
      <c r="F445" s="78"/>
      <c r="G445" s="68"/>
      <c r="H445" s="84"/>
      <c r="I445" s="84"/>
      <c r="J445" s="69"/>
    </row>
    <row r="446" spans="1:11" hidden="1" x14ac:dyDescent="0.3">
      <c r="A446" s="76"/>
      <c r="B446" s="77"/>
      <c r="C446" s="78"/>
      <c r="D446" s="78"/>
      <c r="E446" s="78"/>
      <c r="F446" s="78"/>
      <c r="G446" s="68"/>
      <c r="H446" s="68"/>
      <c r="I446" s="68"/>
      <c r="J446" s="69"/>
    </row>
    <row r="447" spans="1:11" hidden="1" x14ac:dyDescent="0.3">
      <c r="A447" s="76"/>
      <c r="B447" s="77"/>
      <c r="C447" s="78"/>
      <c r="D447" s="78"/>
      <c r="E447" s="78"/>
      <c r="F447" s="78"/>
      <c r="G447" s="68"/>
      <c r="H447" s="68"/>
      <c r="I447" s="68"/>
      <c r="J447" s="69"/>
    </row>
    <row r="448" spans="1:11" hidden="1" x14ac:dyDescent="0.3">
      <c r="A448" s="216"/>
      <c r="B448" s="217"/>
      <c r="C448" s="218"/>
      <c r="D448" s="218"/>
      <c r="E448" s="218"/>
      <c r="F448" s="218"/>
      <c r="G448" s="219"/>
      <c r="H448" s="221"/>
      <c r="I448" s="221"/>
      <c r="J448" s="69"/>
      <c r="K448" s="220"/>
    </row>
    <row r="449" spans="1:11" hidden="1" x14ac:dyDescent="0.3">
      <c r="A449" s="76"/>
      <c r="B449" s="77"/>
      <c r="C449" s="78"/>
      <c r="D449" s="78"/>
      <c r="E449" s="78"/>
      <c r="F449" s="78"/>
      <c r="G449" s="68"/>
      <c r="H449" s="84"/>
      <c r="I449" s="84"/>
      <c r="J449" s="69"/>
    </row>
    <row r="450" spans="1:11" hidden="1" x14ac:dyDescent="0.3">
      <c r="A450" s="76"/>
      <c r="B450" s="77"/>
      <c r="C450" s="78"/>
      <c r="D450" s="78"/>
      <c r="E450" s="78"/>
      <c r="F450" s="78"/>
      <c r="G450" s="68"/>
      <c r="H450" s="84"/>
      <c r="I450" s="84"/>
      <c r="J450" s="69"/>
    </row>
    <row r="451" spans="1:11" hidden="1" x14ac:dyDescent="0.3">
      <c r="A451" s="76"/>
      <c r="B451" s="77"/>
      <c r="C451" s="78"/>
      <c r="D451" s="78"/>
      <c r="E451" s="78"/>
      <c r="F451" s="78"/>
      <c r="G451" s="68"/>
      <c r="H451" s="84"/>
      <c r="I451" s="84"/>
      <c r="J451" s="69"/>
    </row>
    <row r="452" spans="1:11" hidden="1" x14ac:dyDescent="0.3">
      <c r="A452" s="76"/>
      <c r="B452" s="77"/>
      <c r="C452" s="78"/>
      <c r="D452" s="78"/>
      <c r="E452" s="78"/>
      <c r="F452" s="78"/>
      <c r="G452" s="68"/>
      <c r="H452" s="84"/>
      <c r="I452" s="84"/>
      <c r="J452" s="69"/>
    </row>
    <row r="453" spans="1:11" hidden="1" x14ac:dyDescent="0.3">
      <c r="A453" s="76"/>
      <c r="B453" s="77"/>
      <c r="C453" s="78"/>
      <c r="D453" s="78"/>
      <c r="E453" s="78"/>
      <c r="F453" s="78"/>
      <c r="G453" s="68"/>
      <c r="H453" s="84"/>
      <c r="I453" s="84"/>
      <c r="J453" s="69"/>
    </row>
    <row r="454" spans="1:11" hidden="1" x14ac:dyDescent="0.3">
      <c r="A454" s="76"/>
      <c r="B454" s="77"/>
      <c r="C454" s="78"/>
      <c r="D454" s="78"/>
      <c r="E454" s="78"/>
      <c r="F454" s="78"/>
      <c r="G454" s="68"/>
      <c r="H454" s="84"/>
      <c r="I454" s="84"/>
      <c r="J454" s="69"/>
    </row>
    <row r="455" spans="1:11" hidden="1" x14ac:dyDescent="0.3">
      <c r="A455" s="76"/>
      <c r="B455" s="77"/>
      <c r="C455" s="78"/>
      <c r="D455" s="78"/>
      <c r="E455" s="78"/>
      <c r="F455" s="78"/>
      <c r="G455" s="68"/>
      <c r="H455" s="84"/>
      <c r="I455" s="84"/>
      <c r="J455" s="69"/>
    </row>
    <row r="456" spans="1:11" hidden="1" x14ac:dyDescent="0.3">
      <c r="A456" s="76"/>
      <c r="B456" s="77"/>
      <c r="C456" s="78"/>
      <c r="D456" s="78"/>
      <c r="E456" s="78"/>
      <c r="F456" s="78"/>
      <c r="G456" s="68"/>
      <c r="H456" s="68"/>
      <c r="I456" s="68"/>
      <c r="J456" s="69"/>
    </row>
    <row r="457" spans="1:11" hidden="1" x14ac:dyDescent="0.3">
      <c r="A457" s="76"/>
      <c r="B457" s="77"/>
      <c r="C457" s="78"/>
      <c r="D457" s="78"/>
      <c r="E457" s="78"/>
      <c r="F457" s="78"/>
      <c r="G457" s="68"/>
      <c r="H457" s="68"/>
      <c r="I457" s="68"/>
      <c r="J457" s="69"/>
    </row>
    <row r="458" spans="1:11" hidden="1" x14ac:dyDescent="0.3">
      <c r="A458" s="216"/>
      <c r="B458" s="217"/>
      <c r="C458" s="218"/>
      <c r="D458" s="218"/>
      <c r="E458" s="218"/>
      <c r="F458" s="224"/>
      <c r="G458" s="219"/>
      <c r="H458" s="221"/>
      <c r="I458" s="221"/>
      <c r="J458" s="69"/>
      <c r="K458" s="220"/>
    </row>
    <row r="459" spans="1:11" hidden="1" x14ac:dyDescent="0.3">
      <c r="A459" s="76"/>
      <c r="B459" s="77"/>
      <c r="C459" s="78"/>
      <c r="D459" s="78"/>
      <c r="E459" s="78"/>
      <c r="F459" s="78"/>
      <c r="G459" s="68"/>
      <c r="H459" s="84"/>
      <c r="I459" s="84"/>
      <c r="J459" s="69"/>
    </row>
    <row r="460" spans="1:11" ht="36" x14ac:dyDescent="0.35">
      <c r="A460" s="63" t="s">
        <v>499</v>
      </c>
      <c r="B460" s="64" t="s">
        <v>500</v>
      </c>
      <c r="C460" s="65"/>
      <c r="D460" s="65"/>
      <c r="E460" s="65"/>
      <c r="F460" s="65"/>
      <c r="G460" s="67">
        <f>(G461+G637)/1000</f>
        <v>428153.66986000002</v>
      </c>
      <c r="H460" s="67">
        <f>(H461+H637)/1000</f>
        <v>405638.56562999997</v>
      </c>
      <c r="I460" s="158">
        <f>I461+I637</f>
        <v>60407058.32</v>
      </c>
      <c r="J460" s="69">
        <f t="shared" ref="J460:J523" si="23">H460/G460*100</f>
        <v>94.741349703399209</v>
      </c>
    </row>
    <row r="461" spans="1:11" hidden="1" x14ac:dyDescent="0.3">
      <c r="A461" s="70" t="s">
        <v>82</v>
      </c>
      <c r="B461" s="71" t="s">
        <v>500</v>
      </c>
      <c r="C461" s="72" t="s">
        <v>52</v>
      </c>
      <c r="D461" s="72" t="s">
        <v>40</v>
      </c>
      <c r="E461" s="72"/>
      <c r="F461" s="72"/>
      <c r="G461" s="74">
        <f>G462+G516+G610+G621</f>
        <v>399628850.22000003</v>
      </c>
      <c r="H461" s="74">
        <f>H462+H516+H610+H621</f>
        <v>377598928.83999997</v>
      </c>
      <c r="I461" s="68">
        <f>I462+I516+I621+I610</f>
        <v>25538258.32</v>
      </c>
      <c r="J461" s="69">
        <f t="shared" si="23"/>
        <v>94.487404658629544</v>
      </c>
    </row>
    <row r="462" spans="1:11" hidden="1" x14ac:dyDescent="0.3">
      <c r="A462" s="70" t="s">
        <v>83</v>
      </c>
      <c r="B462" s="71" t="s">
        <v>500</v>
      </c>
      <c r="C462" s="72" t="s">
        <v>52</v>
      </c>
      <c r="D462" s="72" t="s">
        <v>39</v>
      </c>
      <c r="E462" s="72"/>
      <c r="F462" s="72"/>
      <c r="G462" s="73">
        <f>G504+G506+G508+G485+G463+G465+G467+G469+G471+G473+G475+G477+G487+G489+G491+G497+G3002+G510+G512+G499+G501+G483+G495+G493+G479+G514+G481</f>
        <v>109813602.78</v>
      </c>
      <c r="H462" s="74">
        <f>H504+H506+H508+H485+H463+H465+H467+H469+H471+H473+H475+H477+H487+H489+H491+H497+H3002+H510+H512+H499+H501+H483+H495+H493+H479+H514+H481</f>
        <v>95998280.599999994</v>
      </c>
      <c r="I462" s="68">
        <f>I504+I506+I508+I485+I463+I465+I467+I469+I471+I473+I475+I477+I487+I489+I491+I497+I3002+I510+I512+I499+I501+I483+I495</f>
        <v>0</v>
      </c>
      <c r="J462" s="69">
        <f t="shared" si="23"/>
        <v>87.419297946468845</v>
      </c>
    </row>
    <row r="463" spans="1:11" ht="46.8" hidden="1" x14ac:dyDescent="0.3">
      <c r="A463" s="76" t="s">
        <v>501</v>
      </c>
      <c r="B463" s="77" t="s">
        <v>500</v>
      </c>
      <c r="C463" s="78" t="s">
        <v>52</v>
      </c>
      <c r="D463" s="78" t="s">
        <v>39</v>
      </c>
      <c r="E463" s="78" t="s">
        <v>502</v>
      </c>
      <c r="F463" s="78"/>
      <c r="G463" s="68">
        <f>G464</f>
        <v>0</v>
      </c>
      <c r="H463" s="68">
        <f>H464</f>
        <v>0</v>
      </c>
      <c r="I463" s="68">
        <f>I464</f>
        <v>0</v>
      </c>
      <c r="J463" s="69" t="e">
        <f t="shared" si="23"/>
        <v>#DIV/0!</v>
      </c>
    </row>
    <row r="464" spans="1:11" ht="31.2" hidden="1" x14ac:dyDescent="0.3">
      <c r="A464" s="76" t="s">
        <v>503</v>
      </c>
      <c r="B464" s="77" t="s">
        <v>500</v>
      </c>
      <c r="C464" s="78" t="s">
        <v>52</v>
      </c>
      <c r="D464" s="78" t="s">
        <v>39</v>
      </c>
      <c r="E464" s="78" t="s">
        <v>502</v>
      </c>
      <c r="F464" s="78" t="s">
        <v>168</v>
      </c>
      <c r="G464" s="68"/>
      <c r="H464" s="68"/>
      <c r="I464" s="68"/>
      <c r="J464" s="69" t="e">
        <f t="shared" si="23"/>
        <v>#DIV/0!</v>
      </c>
    </row>
    <row r="465" spans="1:10" ht="62.4" hidden="1" x14ac:dyDescent="0.3">
      <c r="A465" s="76" t="s">
        <v>504</v>
      </c>
      <c r="B465" s="77" t="s">
        <v>500</v>
      </c>
      <c r="C465" s="78" t="s">
        <v>52</v>
      </c>
      <c r="D465" s="78" t="s">
        <v>39</v>
      </c>
      <c r="E465" s="78" t="s">
        <v>505</v>
      </c>
      <c r="F465" s="78"/>
      <c r="G465" s="68">
        <f>G466</f>
        <v>0</v>
      </c>
      <c r="H465" s="68">
        <f>H466</f>
        <v>0</v>
      </c>
      <c r="I465" s="68">
        <f>I466</f>
        <v>0</v>
      </c>
      <c r="J465" s="69" t="e">
        <f t="shared" si="23"/>
        <v>#DIV/0!</v>
      </c>
    </row>
    <row r="466" spans="1:10" ht="31.2" hidden="1" x14ac:dyDescent="0.3">
      <c r="A466" s="76" t="s">
        <v>503</v>
      </c>
      <c r="B466" s="77" t="s">
        <v>500</v>
      </c>
      <c r="C466" s="78" t="s">
        <v>52</v>
      </c>
      <c r="D466" s="78" t="s">
        <v>39</v>
      </c>
      <c r="E466" s="78" t="s">
        <v>505</v>
      </c>
      <c r="F466" s="78" t="s">
        <v>168</v>
      </c>
      <c r="G466" s="68"/>
      <c r="H466" s="68"/>
      <c r="I466" s="68"/>
      <c r="J466" s="69" t="e">
        <f t="shared" si="23"/>
        <v>#DIV/0!</v>
      </c>
    </row>
    <row r="467" spans="1:10" ht="62.4" hidden="1" x14ac:dyDescent="0.3">
      <c r="A467" s="76" t="s">
        <v>506</v>
      </c>
      <c r="B467" s="77" t="s">
        <v>500</v>
      </c>
      <c r="C467" s="78" t="s">
        <v>52</v>
      </c>
      <c r="D467" s="78" t="s">
        <v>39</v>
      </c>
      <c r="E467" s="78" t="s">
        <v>507</v>
      </c>
      <c r="F467" s="78"/>
      <c r="G467" s="68">
        <f>G468</f>
        <v>0</v>
      </c>
      <c r="H467" s="68">
        <f>H468</f>
        <v>0</v>
      </c>
      <c r="I467" s="68">
        <f>I468</f>
        <v>0</v>
      </c>
      <c r="J467" s="69" t="e">
        <f t="shared" si="23"/>
        <v>#DIV/0!</v>
      </c>
    </row>
    <row r="468" spans="1:10" ht="31.2" hidden="1" x14ac:dyDescent="0.3">
      <c r="A468" s="76" t="s">
        <v>503</v>
      </c>
      <c r="B468" s="77" t="s">
        <v>500</v>
      </c>
      <c r="C468" s="78" t="s">
        <v>52</v>
      </c>
      <c r="D468" s="78" t="s">
        <v>39</v>
      </c>
      <c r="E468" s="78" t="s">
        <v>507</v>
      </c>
      <c r="F468" s="78" t="s">
        <v>168</v>
      </c>
      <c r="G468" s="68"/>
      <c r="H468" s="68"/>
      <c r="I468" s="68"/>
      <c r="J468" s="69" t="e">
        <f t="shared" si="23"/>
        <v>#DIV/0!</v>
      </c>
    </row>
    <row r="469" spans="1:10" ht="62.4" hidden="1" x14ac:dyDescent="0.3">
      <c r="A469" s="76" t="s">
        <v>508</v>
      </c>
      <c r="B469" s="77" t="s">
        <v>500</v>
      </c>
      <c r="C469" s="78" t="s">
        <v>52</v>
      </c>
      <c r="D469" s="78" t="s">
        <v>39</v>
      </c>
      <c r="E469" s="78" t="s">
        <v>509</v>
      </c>
      <c r="F469" s="78"/>
      <c r="G469" s="68">
        <f>G470</f>
        <v>0</v>
      </c>
      <c r="H469" s="68">
        <f>H470</f>
        <v>0</v>
      </c>
      <c r="I469" s="68">
        <f>I470</f>
        <v>0</v>
      </c>
      <c r="J469" s="69" t="e">
        <f t="shared" si="23"/>
        <v>#DIV/0!</v>
      </c>
    </row>
    <row r="470" spans="1:10" ht="31.2" hidden="1" x14ac:dyDescent="0.3">
      <c r="A470" s="76" t="s">
        <v>503</v>
      </c>
      <c r="B470" s="77" t="s">
        <v>500</v>
      </c>
      <c r="C470" s="78" t="s">
        <v>52</v>
      </c>
      <c r="D470" s="78" t="s">
        <v>39</v>
      </c>
      <c r="E470" s="78" t="s">
        <v>509</v>
      </c>
      <c r="F470" s="78" t="s">
        <v>168</v>
      </c>
      <c r="G470" s="68"/>
      <c r="H470" s="68"/>
      <c r="I470" s="68"/>
      <c r="J470" s="69" t="e">
        <f t="shared" si="23"/>
        <v>#DIV/0!</v>
      </c>
    </row>
    <row r="471" spans="1:10" ht="62.4" hidden="1" x14ac:dyDescent="0.3">
      <c r="A471" s="76" t="s">
        <v>510</v>
      </c>
      <c r="B471" s="77" t="s">
        <v>500</v>
      </c>
      <c r="C471" s="78" t="s">
        <v>52</v>
      </c>
      <c r="D471" s="78" t="s">
        <v>39</v>
      </c>
      <c r="E471" s="78" t="s">
        <v>511</v>
      </c>
      <c r="F471" s="78"/>
      <c r="G471" s="68">
        <f>G473</f>
        <v>0</v>
      </c>
      <c r="H471" s="68">
        <f>H473</f>
        <v>0</v>
      </c>
      <c r="I471" s="68">
        <f>I473</f>
        <v>0</v>
      </c>
      <c r="J471" s="69" t="e">
        <f t="shared" si="23"/>
        <v>#DIV/0!</v>
      </c>
    </row>
    <row r="472" spans="1:10" ht="31.2" hidden="1" x14ac:dyDescent="0.3">
      <c r="A472" s="76" t="s">
        <v>503</v>
      </c>
      <c r="B472" s="77" t="s">
        <v>500</v>
      </c>
      <c r="C472" s="78" t="s">
        <v>52</v>
      </c>
      <c r="D472" s="78" t="s">
        <v>39</v>
      </c>
      <c r="E472" s="78" t="s">
        <v>511</v>
      </c>
      <c r="F472" s="78" t="s">
        <v>168</v>
      </c>
      <c r="G472" s="56"/>
      <c r="H472" s="68"/>
      <c r="I472" s="68"/>
      <c r="J472" s="69" t="e">
        <f t="shared" si="23"/>
        <v>#DIV/0!</v>
      </c>
    </row>
    <row r="473" spans="1:10" ht="46.8" hidden="1" x14ac:dyDescent="0.3">
      <c r="A473" s="76" t="s">
        <v>512</v>
      </c>
      <c r="B473" s="77" t="s">
        <v>500</v>
      </c>
      <c r="C473" s="78" t="s">
        <v>52</v>
      </c>
      <c r="D473" s="78" t="s">
        <v>39</v>
      </c>
      <c r="E473" s="78" t="s">
        <v>513</v>
      </c>
      <c r="F473" s="78"/>
      <c r="G473" s="68">
        <f>G474</f>
        <v>0</v>
      </c>
      <c r="H473" s="68">
        <f>H474</f>
        <v>0</v>
      </c>
      <c r="I473" s="68">
        <f>I474</f>
        <v>0</v>
      </c>
      <c r="J473" s="69" t="e">
        <f t="shared" si="23"/>
        <v>#DIV/0!</v>
      </c>
    </row>
    <row r="474" spans="1:10" ht="31.2" hidden="1" x14ac:dyDescent="0.3">
      <c r="A474" s="76" t="s">
        <v>503</v>
      </c>
      <c r="B474" s="77" t="s">
        <v>500</v>
      </c>
      <c r="C474" s="78" t="s">
        <v>52</v>
      </c>
      <c r="D474" s="78" t="s">
        <v>39</v>
      </c>
      <c r="E474" s="78" t="s">
        <v>513</v>
      </c>
      <c r="F474" s="78" t="s">
        <v>168</v>
      </c>
      <c r="G474" s="68"/>
      <c r="H474" s="68"/>
      <c r="I474" s="68"/>
      <c r="J474" s="69" t="e">
        <f t="shared" si="23"/>
        <v>#DIV/0!</v>
      </c>
    </row>
    <row r="475" spans="1:10" ht="78" hidden="1" x14ac:dyDescent="0.3">
      <c r="A475" s="76" t="s">
        <v>514</v>
      </c>
      <c r="B475" s="77" t="s">
        <v>500</v>
      </c>
      <c r="C475" s="78" t="s">
        <v>52</v>
      </c>
      <c r="D475" s="78" t="s">
        <v>39</v>
      </c>
      <c r="E475" s="78" t="s">
        <v>515</v>
      </c>
      <c r="F475" s="78"/>
      <c r="G475" s="68">
        <f>G476</f>
        <v>0</v>
      </c>
      <c r="H475" s="68">
        <f>H476</f>
        <v>0</v>
      </c>
      <c r="I475" s="68">
        <f>I476</f>
        <v>0</v>
      </c>
      <c r="J475" s="69" t="e">
        <f t="shared" si="23"/>
        <v>#DIV/0!</v>
      </c>
    </row>
    <row r="476" spans="1:10" ht="31.2" hidden="1" x14ac:dyDescent="0.3">
      <c r="A476" s="76" t="s">
        <v>503</v>
      </c>
      <c r="B476" s="77" t="s">
        <v>500</v>
      </c>
      <c r="C476" s="78" t="s">
        <v>52</v>
      </c>
      <c r="D476" s="78" t="s">
        <v>39</v>
      </c>
      <c r="E476" s="78" t="s">
        <v>515</v>
      </c>
      <c r="F476" s="78" t="s">
        <v>168</v>
      </c>
      <c r="G476" s="68"/>
      <c r="H476" s="68"/>
      <c r="I476" s="68"/>
      <c r="J476" s="69" t="e">
        <f t="shared" si="23"/>
        <v>#DIV/0!</v>
      </c>
    </row>
    <row r="477" spans="1:10" ht="62.4" hidden="1" x14ac:dyDescent="0.3">
      <c r="A477" s="76" t="s">
        <v>516</v>
      </c>
      <c r="B477" s="77" t="s">
        <v>500</v>
      </c>
      <c r="C477" s="78" t="s">
        <v>52</v>
      </c>
      <c r="D477" s="78" t="s">
        <v>39</v>
      </c>
      <c r="E477" s="78" t="s">
        <v>517</v>
      </c>
      <c r="F477" s="78"/>
      <c r="G477" s="68">
        <f>G478</f>
        <v>0</v>
      </c>
      <c r="H477" s="68">
        <f>H478</f>
        <v>0</v>
      </c>
      <c r="I477" s="68">
        <f>I478</f>
        <v>0</v>
      </c>
      <c r="J477" s="69" t="e">
        <f t="shared" si="23"/>
        <v>#DIV/0!</v>
      </c>
    </row>
    <row r="478" spans="1:10" ht="31.2" hidden="1" x14ac:dyDescent="0.3">
      <c r="A478" s="76" t="s">
        <v>503</v>
      </c>
      <c r="B478" s="77" t="s">
        <v>500</v>
      </c>
      <c r="C478" s="78" t="s">
        <v>52</v>
      </c>
      <c r="D478" s="78" t="s">
        <v>39</v>
      </c>
      <c r="E478" s="78" t="s">
        <v>517</v>
      </c>
      <c r="F478" s="78" t="s">
        <v>168</v>
      </c>
      <c r="G478" s="68"/>
      <c r="H478" s="68"/>
      <c r="I478" s="68"/>
      <c r="J478" s="69" t="e">
        <f t="shared" si="23"/>
        <v>#DIV/0!</v>
      </c>
    </row>
    <row r="479" spans="1:10" ht="93.6" hidden="1" x14ac:dyDescent="0.3">
      <c r="A479" s="153" t="s">
        <v>518</v>
      </c>
      <c r="B479" s="77" t="s">
        <v>500</v>
      </c>
      <c r="C479" s="78" t="s">
        <v>52</v>
      </c>
      <c r="D479" s="78" t="s">
        <v>39</v>
      </c>
      <c r="E479" s="143" t="s">
        <v>519</v>
      </c>
      <c r="F479" s="78"/>
      <c r="G479" s="225">
        <f>G480</f>
        <v>681008.52</v>
      </c>
      <c r="H479" s="226">
        <f>H480</f>
        <v>681008.52</v>
      </c>
      <c r="I479" s="68"/>
      <c r="J479" s="81">
        <f t="shared" si="23"/>
        <v>100</v>
      </c>
    </row>
    <row r="480" spans="1:10" ht="46.8" hidden="1" x14ac:dyDescent="0.3">
      <c r="A480" s="154" t="s">
        <v>520</v>
      </c>
      <c r="B480" s="77" t="s">
        <v>500</v>
      </c>
      <c r="C480" s="78" t="s">
        <v>52</v>
      </c>
      <c r="D480" s="78" t="s">
        <v>39</v>
      </c>
      <c r="E480" s="191" t="s">
        <v>519</v>
      </c>
      <c r="F480" s="78" t="s">
        <v>168</v>
      </c>
      <c r="G480" s="225">
        <v>681008.52</v>
      </c>
      <c r="H480" s="87">
        <v>681008.52</v>
      </c>
      <c r="I480" s="68"/>
      <c r="J480" s="81">
        <f t="shared" si="23"/>
        <v>100</v>
      </c>
    </row>
    <row r="481" spans="1:10" ht="109.2" hidden="1" x14ac:dyDescent="0.3">
      <c r="A481" s="93" t="s">
        <v>521</v>
      </c>
      <c r="B481" s="77" t="s">
        <v>500</v>
      </c>
      <c r="C481" s="78" t="s">
        <v>52</v>
      </c>
      <c r="D481" s="78" t="s">
        <v>39</v>
      </c>
      <c r="E481" s="196" t="s">
        <v>522</v>
      </c>
      <c r="F481" s="78"/>
      <c r="G481" s="227">
        <f>G482</f>
        <v>184569</v>
      </c>
      <c r="H481" s="227">
        <f>H482</f>
        <v>184569</v>
      </c>
      <c r="I481" s="68"/>
      <c r="J481" s="81">
        <f t="shared" si="23"/>
        <v>100</v>
      </c>
    </row>
    <row r="482" spans="1:10" ht="62.4" hidden="1" x14ac:dyDescent="0.3">
      <c r="A482" s="228" t="s">
        <v>523</v>
      </c>
      <c r="B482" s="77" t="s">
        <v>500</v>
      </c>
      <c r="C482" s="78" t="s">
        <v>52</v>
      </c>
      <c r="D482" s="78" t="s">
        <v>39</v>
      </c>
      <c r="E482" s="196" t="s">
        <v>522</v>
      </c>
      <c r="F482" s="78" t="s">
        <v>168</v>
      </c>
      <c r="G482" s="227">
        <v>184569</v>
      </c>
      <c r="H482" s="87">
        <v>184569</v>
      </c>
      <c r="I482" s="68"/>
      <c r="J482" s="81">
        <f t="shared" si="23"/>
        <v>100</v>
      </c>
    </row>
    <row r="483" spans="1:10" ht="93.6" hidden="1" x14ac:dyDescent="0.3">
      <c r="A483" s="89" t="s">
        <v>524</v>
      </c>
      <c r="B483" s="77" t="s">
        <v>500</v>
      </c>
      <c r="C483" s="78" t="s">
        <v>52</v>
      </c>
      <c r="D483" s="78" t="s">
        <v>39</v>
      </c>
      <c r="E483" s="78" t="s">
        <v>525</v>
      </c>
      <c r="F483" s="78"/>
      <c r="G483" s="79">
        <f>G484</f>
        <v>51764678.990000002</v>
      </c>
      <c r="H483" s="87">
        <f>H484</f>
        <v>46749357.880000003</v>
      </c>
      <c r="I483" s="68">
        <f>I484</f>
        <v>0</v>
      </c>
      <c r="J483" s="81">
        <f t="shared" si="23"/>
        <v>90.311306458659061</v>
      </c>
    </row>
    <row r="484" spans="1:10" ht="62.4" hidden="1" x14ac:dyDescent="0.3">
      <c r="A484" s="88" t="s">
        <v>526</v>
      </c>
      <c r="B484" s="77" t="s">
        <v>500</v>
      </c>
      <c r="C484" s="78" t="s">
        <v>52</v>
      </c>
      <c r="D484" s="78" t="s">
        <v>39</v>
      </c>
      <c r="E484" s="78" t="s">
        <v>525</v>
      </c>
      <c r="F484" s="78" t="s">
        <v>168</v>
      </c>
      <c r="G484" s="79">
        <v>51764678.990000002</v>
      </c>
      <c r="H484" s="87">
        <v>46749357.880000003</v>
      </c>
      <c r="I484" s="68">
        <v>0</v>
      </c>
      <c r="J484" s="81">
        <f t="shared" si="23"/>
        <v>90.311306458659061</v>
      </c>
    </row>
    <row r="485" spans="1:10" ht="78" hidden="1" x14ac:dyDescent="0.3">
      <c r="A485" s="89" t="s">
        <v>527</v>
      </c>
      <c r="B485" s="77" t="s">
        <v>500</v>
      </c>
      <c r="C485" s="78" t="s">
        <v>52</v>
      </c>
      <c r="D485" s="78" t="s">
        <v>39</v>
      </c>
      <c r="E485" s="129" t="s">
        <v>528</v>
      </c>
      <c r="F485" s="78"/>
      <c r="G485" s="79">
        <f>G486</f>
        <v>11437966.560000001</v>
      </c>
      <c r="H485" s="87">
        <f>H486</f>
        <v>2637965.4900000002</v>
      </c>
      <c r="I485" s="68">
        <f>I486</f>
        <v>0</v>
      </c>
      <c r="J485" s="81">
        <f t="shared" si="23"/>
        <v>23.063238348897571</v>
      </c>
    </row>
    <row r="486" spans="1:10" ht="46.8" hidden="1" x14ac:dyDescent="0.3">
      <c r="A486" s="88" t="s">
        <v>529</v>
      </c>
      <c r="B486" s="77" t="s">
        <v>500</v>
      </c>
      <c r="C486" s="78" t="s">
        <v>52</v>
      </c>
      <c r="D486" s="78" t="s">
        <v>39</v>
      </c>
      <c r="E486" s="129" t="s">
        <v>528</v>
      </c>
      <c r="F486" s="78" t="s">
        <v>168</v>
      </c>
      <c r="G486" s="79">
        <v>11437966.560000001</v>
      </c>
      <c r="H486" s="87">
        <v>2637965.4900000002</v>
      </c>
      <c r="I486" s="68">
        <f>821010-821010</f>
        <v>0</v>
      </c>
      <c r="J486" s="81">
        <f t="shared" si="23"/>
        <v>23.063238348897571</v>
      </c>
    </row>
    <row r="487" spans="1:10" ht="78" hidden="1" x14ac:dyDescent="0.3">
      <c r="A487" s="76" t="s">
        <v>530</v>
      </c>
      <c r="B487" s="77" t="s">
        <v>500</v>
      </c>
      <c r="C487" s="78" t="s">
        <v>52</v>
      </c>
      <c r="D487" s="78" t="s">
        <v>39</v>
      </c>
      <c r="E487" s="78" t="s">
        <v>531</v>
      </c>
      <c r="F487" s="78"/>
      <c r="G487" s="68">
        <f>G488</f>
        <v>0</v>
      </c>
      <c r="H487" s="68">
        <f>H488</f>
        <v>0</v>
      </c>
      <c r="I487" s="68">
        <f>I488</f>
        <v>0</v>
      </c>
      <c r="J487" s="81" t="e">
        <f t="shared" si="23"/>
        <v>#DIV/0!</v>
      </c>
    </row>
    <row r="488" spans="1:10" ht="31.2" hidden="1" x14ac:dyDescent="0.3">
      <c r="A488" s="76" t="s">
        <v>503</v>
      </c>
      <c r="B488" s="77" t="s">
        <v>500</v>
      </c>
      <c r="C488" s="78" t="s">
        <v>52</v>
      </c>
      <c r="D488" s="78" t="s">
        <v>39</v>
      </c>
      <c r="E488" s="78" t="s">
        <v>531</v>
      </c>
      <c r="F488" s="78" t="s">
        <v>168</v>
      </c>
      <c r="G488" s="68"/>
      <c r="H488" s="68"/>
      <c r="I488" s="68"/>
      <c r="J488" s="81" t="e">
        <f t="shared" si="23"/>
        <v>#DIV/0!</v>
      </c>
    </row>
    <row r="489" spans="1:10" ht="78" hidden="1" x14ac:dyDescent="0.3">
      <c r="A489" s="76" t="s">
        <v>532</v>
      </c>
      <c r="B489" s="77" t="s">
        <v>500</v>
      </c>
      <c r="C489" s="78" t="s">
        <v>52</v>
      </c>
      <c r="D489" s="78" t="s">
        <v>39</v>
      </c>
      <c r="E489" s="78" t="s">
        <v>533</v>
      </c>
      <c r="F489" s="78"/>
      <c r="G489" s="68">
        <f>G490</f>
        <v>0</v>
      </c>
      <c r="H489" s="68">
        <f>H490</f>
        <v>0</v>
      </c>
      <c r="I489" s="68">
        <f>I490</f>
        <v>0</v>
      </c>
      <c r="J489" s="81" t="e">
        <f t="shared" si="23"/>
        <v>#DIV/0!</v>
      </c>
    </row>
    <row r="490" spans="1:10" ht="31.2" hidden="1" x14ac:dyDescent="0.3">
      <c r="A490" s="76" t="s">
        <v>503</v>
      </c>
      <c r="B490" s="77" t="s">
        <v>500</v>
      </c>
      <c r="C490" s="78" t="s">
        <v>52</v>
      </c>
      <c r="D490" s="78" t="s">
        <v>39</v>
      </c>
      <c r="E490" s="78" t="s">
        <v>533</v>
      </c>
      <c r="F490" s="78" t="s">
        <v>168</v>
      </c>
      <c r="G490" s="68"/>
      <c r="H490" s="68"/>
      <c r="I490" s="68"/>
      <c r="J490" s="81" t="e">
        <f t="shared" si="23"/>
        <v>#DIV/0!</v>
      </c>
    </row>
    <row r="491" spans="1:10" ht="78" hidden="1" x14ac:dyDescent="0.3">
      <c r="A491" s="76" t="s">
        <v>534</v>
      </c>
      <c r="B491" s="77" t="s">
        <v>500</v>
      </c>
      <c r="C491" s="78" t="s">
        <v>52</v>
      </c>
      <c r="D491" s="78" t="s">
        <v>39</v>
      </c>
      <c r="E491" s="78" t="s">
        <v>535</v>
      </c>
      <c r="F491" s="78"/>
      <c r="G491" s="68">
        <f>G492</f>
        <v>0</v>
      </c>
      <c r="H491" s="68">
        <f>H492</f>
        <v>0</v>
      </c>
      <c r="I491" s="68">
        <f>I492</f>
        <v>0</v>
      </c>
      <c r="J491" s="81" t="e">
        <f t="shared" si="23"/>
        <v>#DIV/0!</v>
      </c>
    </row>
    <row r="492" spans="1:10" ht="31.2" hidden="1" x14ac:dyDescent="0.3">
      <c r="A492" s="76" t="s">
        <v>503</v>
      </c>
      <c r="B492" s="77" t="s">
        <v>500</v>
      </c>
      <c r="C492" s="78" t="s">
        <v>52</v>
      </c>
      <c r="D492" s="78" t="s">
        <v>39</v>
      </c>
      <c r="E492" s="78" t="s">
        <v>535</v>
      </c>
      <c r="F492" s="78" t="s">
        <v>168</v>
      </c>
      <c r="G492" s="68"/>
      <c r="H492" s="68"/>
      <c r="I492" s="68"/>
      <c r="J492" s="81" t="e">
        <f t="shared" si="23"/>
        <v>#DIV/0!</v>
      </c>
    </row>
    <row r="493" spans="1:10" ht="62.4" hidden="1" x14ac:dyDescent="0.3">
      <c r="A493" s="155" t="s">
        <v>417</v>
      </c>
      <c r="B493" s="77" t="s">
        <v>500</v>
      </c>
      <c r="C493" s="78" t="s">
        <v>52</v>
      </c>
      <c r="D493" s="78" t="s">
        <v>39</v>
      </c>
      <c r="E493" s="78" t="s">
        <v>418</v>
      </c>
      <c r="F493" s="78"/>
      <c r="G493" s="79">
        <f>G494</f>
        <v>0</v>
      </c>
      <c r="H493" s="87">
        <f>H494</f>
        <v>0</v>
      </c>
      <c r="I493" s="68">
        <f>I494</f>
        <v>0</v>
      </c>
      <c r="J493" s="81">
        <v>0</v>
      </c>
    </row>
    <row r="494" spans="1:10" ht="62.4" hidden="1" x14ac:dyDescent="0.3">
      <c r="A494" s="155" t="s">
        <v>417</v>
      </c>
      <c r="B494" s="77" t="s">
        <v>500</v>
      </c>
      <c r="C494" s="78" t="s">
        <v>52</v>
      </c>
      <c r="D494" s="78" t="s">
        <v>39</v>
      </c>
      <c r="E494" s="78" t="s">
        <v>418</v>
      </c>
      <c r="F494" s="78" t="s">
        <v>168</v>
      </c>
      <c r="G494" s="79">
        <v>0</v>
      </c>
      <c r="H494" s="87">
        <v>0</v>
      </c>
      <c r="I494" s="68">
        <v>0</v>
      </c>
      <c r="J494" s="81">
        <v>0</v>
      </c>
    </row>
    <row r="495" spans="1:10" ht="109.2" hidden="1" x14ac:dyDescent="0.3">
      <c r="A495" s="106" t="s">
        <v>536</v>
      </c>
      <c r="B495" s="77" t="s">
        <v>500</v>
      </c>
      <c r="C495" s="78" t="s">
        <v>52</v>
      </c>
      <c r="D495" s="78" t="s">
        <v>39</v>
      </c>
      <c r="E495" s="229" t="s">
        <v>537</v>
      </c>
      <c r="F495" s="78"/>
      <c r="G495" s="79">
        <f>G496</f>
        <v>40778990.990000002</v>
      </c>
      <c r="H495" s="87">
        <f>H496</f>
        <v>40778990.990000002</v>
      </c>
      <c r="I495" s="68">
        <f>I496</f>
        <v>0</v>
      </c>
      <c r="J495" s="81">
        <f t="shared" si="23"/>
        <v>100</v>
      </c>
    </row>
    <row r="496" spans="1:10" ht="140.4" hidden="1" x14ac:dyDescent="0.3">
      <c r="A496" s="86" t="s">
        <v>538</v>
      </c>
      <c r="B496" s="77" t="s">
        <v>500</v>
      </c>
      <c r="C496" s="78" t="s">
        <v>52</v>
      </c>
      <c r="D496" s="78" t="s">
        <v>39</v>
      </c>
      <c r="E496" s="229" t="s">
        <v>537</v>
      </c>
      <c r="F496" s="78" t="s">
        <v>168</v>
      </c>
      <c r="G496" s="79">
        <v>40778990.990000002</v>
      </c>
      <c r="H496" s="87">
        <v>40778990.990000002</v>
      </c>
      <c r="I496" s="68">
        <v>0</v>
      </c>
      <c r="J496" s="81">
        <f t="shared" si="23"/>
        <v>100</v>
      </c>
    </row>
    <row r="497" spans="1:10" ht="78" hidden="1" x14ac:dyDescent="0.3">
      <c r="A497" s="76" t="s">
        <v>539</v>
      </c>
      <c r="B497" s="77" t="s">
        <v>500</v>
      </c>
      <c r="C497" s="78" t="s">
        <v>52</v>
      </c>
      <c r="D497" s="78" t="s">
        <v>39</v>
      </c>
      <c r="E497" s="78" t="s">
        <v>540</v>
      </c>
      <c r="F497" s="78"/>
      <c r="G497" s="68">
        <f>G498</f>
        <v>0</v>
      </c>
      <c r="H497" s="68">
        <f>H498</f>
        <v>0</v>
      </c>
      <c r="I497" s="68">
        <f>I498</f>
        <v>0</v>
      </c>
      <c r="J497" s="81" t="e">
        <f t="shared" si="23"/>
        <v>#DIV/0!</v>
      </c>
    </row>
    <row r="498" spans="1:10" ht="31.2" hidden="1" x14ac:dyDescent="0.3">
      <c r="A498" s="76" t="s">
        <v>503</v>
      </c>
      <c r="B498" s="77" t="s">
        <v>500</v>
      </c>
      <c r="C498" s="78" t="s">
        <v>52</v>
      </c>
      <c r="D498" s="78" t="s">
        <v>39</v>
      </c>
      <c r="E498" s="78" t="s">
        <v>540</v>
      </c>
      <c r="F498" s="78" t="s">
        <v>168</v>
      </c>
      <c r="G498" s="68">
        <f>1000000-1000000</f>
        <v>0</v>
      </c>
      <c r="H498" s="68">
        <f>4000000-4000000</f>
        <v>0</v>
      </c>
      <c r="I498" s="68">
        <v>0</v>
      </c>
      <c r="J498" s="81" t="e">
        <f t="shared" si="23"/>
        <v>#DIV/0!</v>
      </c>
    </row>
    <row r="499" spans="1:10" hidden="1" x14ac:dyDescent="0.3">
      <c r="A499" s="86" t="s">
        <v>541</v>
      </c>
      <c r="B499" s="77" t="s">
        <v>500</v>
      </c>
      <c r="C499" s="78" t="s">
        <v>52</v>
      </c>
      <c r="D499" s="78" t="s">
        <v>39</v>
      </c>
      <c r="E499" s="129" t="s">
        <v>542</v>
      </c>
      <c r="F499" s="78"/>
      <c r="G499" s="79">
        <f>G500</f>
        <v>2009268.45</v>
      </c>
      <c r="H499" s="87">
        <f>H500</f>
        <v>2009268.45</v>
      </c>
      <c r="I499" s="68">
        <f>I500</f>
        <v>0</v>
      </c>
      <c r="J499" s="81">
        <f t="shared" si="23"/>
        <v>100</v>
      </c>
    </row>
    <row r="500" spans="1:10" ht="78" hidden="1" x14ac:dyDescent="0.3">
      <c r="A500" s="86" t="s">
        <v>543</v>
      </c>
      <c r="B500" s="77" t="s">
        <v>500</v>
      </c>
      <c r="C500" s="78" t="s">
        <v>52</v>
      </c>
      <c r="D500" s="78" t="s">
        <v>39</v>
      </c>
      <c r="E500" s="129" t="s">
        <v>542</v>
      </c>
      <c r="F500" s="78" t="s">
        <v>185</v>
      </c>
      <c r="G500" s="79">
        <v>2009268.45</v>
      </c>
      <c r="H500" s="87">
        <v>2009268.45</v>
      </c>
      <c r="I500" s="68">
        <v>0</v>
      </c>
      <c r="J500" s="81">
        <f t="shared" si="23"/>
        <v>100</v>
      </c>
    </row>
    <row r="501" spans="1:10" hidden="1" x14ac:dyDescent="0.3">
      <c r="A501" s="76"/>
      <c r="B501" s="77"/>
      <c r="C501" s="78"/>
      <c r="D501" s="78"/>
      <c r="E501" s="78"/>
      <c r="F501" s="78"/>
      <c r="G501" s="68"/>
      <c r="H501" s="68"/>
      <c r="I501" s="68"/>
      <c r="J501" s="81" t="e">
        <f t="shared" si="23"/>
        <v>#DIV/0!</v>
      </c>
    </row>
    <row r="502" spans="1:10" hidden="1" x14ac:dyDescent="0.3">
      <c r="A502" s="76"/>
      <c r="B502" s="77"/>
      <c r="C502" s="78"/>
      <c r="D502" s="78"/>
      <c r="E502" s="78"/>
      <c r="F502" s="78"/>
      <c r="G502" s="68"/>
      <c r="H502" s="68"/>
      <c r="I502" s="68"/>
      <c r="J502" s="81" t="e">
        <f t="shared" si="23"/>
        <v>#DIV/0!</v>
      </c>
    </row>
    <row r="503" spans="1:10" hidden="1" x14ac:dyDescent="0.3">
      <c r="A503" s="76"/>
      <c r="B503" s="77"/>
      <c r="C503" s="78"/>
      <c r="D503" s="78"/>
      <c r="E503" s="78"/>
      <c r="F503" s="78"/>
      <c r="G503" s="68"/>
      <c r="H503" s="68"/>
      <c r="I503" s="68"/>
      <c r="J503" s="81" t="e">
        <f t="shared" si="23"/>
        <v>#DIV/0!</v>
      </c>
    </row>
    <row r="504" spans="1:10" hidden="1" x14ac:dyDescent="0.3">
      <c r="A504" s="76"/>
      <c r="B504" s="77"/>
      <c r="C504" s="78"/>
      <c r="D504" s="78"/>
      <c r="E504" s="78"/>
      <c r="F504" s="78"/>
      <c r="G504" s="68"/>
      <c r="H504" s="68"/>
      <c r="I504" s="68"/>
      <c r="J504" s="81" t="e">
        <f t="shared" si="23"/>
        <v>#DIV/0!</v>
      </c>
    </row>
    <row r="505" spans="1:10" hidden="1" x14ac:dyDescent="0.3">
      <c r="A505" s="76"/>
      <c r="B505" s="77"/>
      <c r="C505" s="78"/>
      <c r="D505" s="78"/>
      <c r="E505" s="78"/>
      <c r="F505" s="78"/>
      <c r="G505" s="68"/>
      <c r="H505" s="68"/>
      <c r="I505" s="68"/>
      <c r="J505" s="81" t="e">
        <f t="shared" si="23"/>
        <v>#DIV/0!</v>
      </c>
    </row>
    <row r="506" spans="1:10" hidden="1" x14ac:dyDescent="0.3">
      <c r="A506" s="76"/>
      <c r="B506" s="77"/>
      <c r="C506" s="78"/>
      <c r="D506" s="78"/>
      <c r="E506" s="78"/>
      <c r="F506" s="78"/>
      <c r="G506" s="68"/>
      <c r="H506" s="68"/>
      <c r="I506" s="68"/>
      <c r="J506" s="81" t="e">
        <f t="shared" si="23"/>
        <v>#DIV/0!</v>
      </c>
    </row>
    <row r="507" spans="1:10" hidden="1" x14ac:dyDescent="0.3">
      <c r="A507" s="76"/>
      <c r="B507" s="77"/>
      <c r="C507" s="78"/>
      <c r="D507" s="78"/>
      <c r="E507" s="78"/>
      <c r="F507" s="78"/>
      <c r="G507" s="68"/>
      <c r="H507" s="84"/>
      <c r="I507" s="84"/>
      <c r="J507" s="81" t="e">
        <f t="shared" si="23"/>
        <v>#DIV/0!</v>
      </c>
    </row>
    <row r="508" spans="1:10" hidden="1" x14ac:dyDescent="0.3">
      <c r="A508" s="76"/>
      <c r="B508" s="77"/>
      <c r="C508" s="78"/>
      <c r="D508" s="78"/>
      <c r="E508" s="78"/>
      <c r="F508" s="78"/>
      <c r="G508" s="68"/>
      <c r="H508" s="68"/>
      <c r="I508" s="68"/>
      <c r="J508" s="81" t="e">
        <f t="shared" si="23"/>
        <v>#DIV/0!</v>
      </c>
    </row>
    <row r="509" spans="1:10" hidden="1" x14ac:dyDescent="0.3">
      <c r="A509" s="76"/>
      <c r="B509" s="77"/>
      <c r="C509" s="78"/>
      <c r="D509" s="78"/>
      <c r="E509" s="78"/>
      <c r="F509" s="78"/>
      <c r="G509" s="68"/>
      <c r="H509" s="84"/>
      <c r="I509" s="84"/>
      <c r="J509" s="81" t="e">
        <f t="shared" si="23"/>
        <v>#DIV/0!</v>
      </c>
    </row>
    <row r="510" spans="1:10" hidden="1" x14ac:dyDescent="0.3">
      <c r="A510" s="76"/>
      <c r="B510" s="77"/>
      <c r="C510" s="78"/>
      <c r="D510" s="78"/>
      <c r="E510" s="78"/>
      <c r="F510" s="78"/>
      <c r="G510" s="68"/>
      <c r="H510" s="68"/>
      <c r="I510" s="68"/>
      <c r="J510" s="81" t="e">
        <f t="shared" si="23"/>
        <v>#DIV/0!</v>
      </c>
    </row>
    <row r="511" spans="1:10" hidden="1" x14ac:dyDescent="0.3">
      <c r="A511" s="76"/>
      <c r="B511" s="77"/>
      <c r="C511" s="78"/>
      <c r="D511" s="78"/>
      <c r="E511" s="78"/>
      <c r="F511" s="78"/>
      <c r="G511" s="68"/>
      <c r="H511" s="84"/>
      <c r="I511" s="84"/>
      <c r="J511" s="81" t="e">
        <f t="shared" si="23"/>
        <v>#DIV/0!</v>
      </c>
    </row>
    <row r="512" spans="1:10" ht="109.2" hidden="1" x14ac:dyDescent="0.3">
      <c r="A512" s="76" t="s">
        <v>544</v>
      </c>
      <c r="B512" s="77" t="s">
        <v>500</v>
      </c>
      <c r="C512" s="78" t="s">
        <v>52</v>
      </c>
      <c r="D512" s="78" t="s">
        <v>39</v>
      </c>
      <c r="E512" s="78" t="s">
        <v>545</v>
      </c>
      <c r="F512" s="78"/>
      <c r="G512" s="68">
        <f>G513</f>
        <v>0</v>
      </c>
      <c r="H512" s="68">
        <f>H513</f>
        <v>0</v>
      </c>
      <c r="I512" s="68">
        <f>I513</f>
        <v>0</v>
      </c>
      <c r="J512" s="81" t="e">
        <f t="shared" si="23"/>
        <v>#DIV/0!</v>
      </c>
    </row>
    <row r="513" spans="1:10" hidden="1" x14ac:dyDescent="0.3">
      <c r="A513" s="76"/>
      <c r="B513" s="77"/>
      <c r="C513" s="78"/>
      <c r="D513" s="78"/>
      <c r="E513" s="78"/>
      <c r="F513" s="78"/>
      <c r="G513" s="68"/>
      <c r="H513" s="84"/>
      <c r="I513" s="84"/>
      <c r="J513" s="81" t="e">
        <f t="shared" si="23"/>
        <v>#DIV/0!</v>
      </c>
    </row>
    <row r="514" spans="1:10" hidden="1" x14ac:dyDescent="0.3">
      <c r="A514" s="230" t="s">
        <v>541</v>
      </c>
      <c r="B514" s="77" t="s">
        <v>500</v>
      </c>
      <c r="C514" s="78" t="s">
        <v>52</v>
      </c>
      <c r="D514" s="78" t="s">
        <v>39</v>
      </c>
      <c r="E514" s="143" t="s">
        <v>546</v>
      </c>
      <c r="F514" s="78"/>
      <c r="G514" s="79">
        <f>G515</f>
        <v>2957120.27</v>
      </c>
      <c r="H514" s="87">
        <f>H515</f>
        <v>2957120.27</v>
      </c>
      <c r="I514" s="84"/>
      <c r="J514" s="81">
        <f t="shared" si="23"/>
        <v>100</v>
      </c>
    </row>
    <row r="515" spans="1:10" ht="78" hidden="1" x14ac:dyDescent="0.3">
      <c r="A515" s="147" t="s">
        <v>543</v>
      </c>
      <c r="B515" s="77" t="s">
        <v>500</v>
      </c>
      <c r="C515" s="78" t="s">
        <v>52</v>
      </c>
      <c r="D515" s="78" t="s">
        <v>39</v>
      </c>
      <c r="E515" s="144" t="s">
        <v>546</v>
      </c>
      <c r="F515" s="174" t="s">
        <v>185</v>
      </c>
      <c r="G515" s="231">
        <v>2957120.27</v>
      </c>
      <c r="H515" s="232">
        <v>2957120.27</v>
      </c>
      <c r="I515" s="84"/>
      <c r="J515" s="81">
        <f t="shared" si="23"/>
        <v>100</v>
      </c>
    </row>
    <row r="516" spans="1:10" hidden="1" x14ac:dyDescent="0.3">
      <c r="A516" s="70" t="s">
        <v>84</v>
      </c>
      <c r="B516" s="71" t="s">
        <v>500</v>
      </c>
      <c r="C516" s="72" t="s">
        <v>52</v>
      </c>
      <c r="D516" s="72" t="s">
        <v>42</v>
      </c>
      <c r="E516" s="72"/>
      <c r="F516" s="72"/>
      <c r="G516" s="73">
        <f>G590+G606+G597+G551+G595+G588+G517+G519+G521+G523+G525+G527+G529+G531+G533+G535+G537+G539+G541+G543+G554+G556+G558+G564+G566+G570+G584+G560+G582+G576+G549+G562+G601+G599+G578+G568+G586+G580+G604+G545+G547+G572+G574</f>
        <v>261543357.65000001</v>
      </c>
      <c r="H516" s="74">
        <f>H590+H606+H597+H551+H595+H588+H517+H519+H521+H523+H525+H527+H529+H531+H533+H535+H537+H539+H541+H543+H554+H556+H558+H564+H566+H570+H584+H560+H582+H576+H549+H562+H601+H599+H578+H568+H586+H580+H604+H545+H547+H572+H574</f>
        <v>254022959.97</v>
      </c>
      <c r="I516" s="146">
        <f>I590+I606+I597+I551+I595+I588+I517+I519+I521+I523+I525+I527+I529+I531+I533+I535+I537+I539+I541+I543+I554+I556+I558+I564+I566+I570+I584+I560+I582+I576+I549+I562+I601</f>
        <v>5053200</v>
      </c>
      <c r="J516" s="69">
        <f t="shared" si="23"/>
        <v>97.124607656806234</v>
      </c>
    </row>
    <row r="517" spans="1:10" ht="62.4" hidden="1" x14ac:dyDescent="0.3">
      <c r="A517" s="76" t="s">
        <v>547</v>
      </c>
      <c r="B517" s="77" t="s">
        <v>500</v>
      </c>
      <c r="C517" s="78" t="s">
        <v>52</v>
      </c>
      <c r="D517" s="78" t="s">
        <v>42</v>
      </c>
      <c r="E517" s="78" t="s">
        <v>548</v>
      </c>
      <c r="F517" s="78"/>
      <c r="G517" s="68">
        <f>G518</f>
        <v>0</v>
      </c>
      <c r="H517" s="68">
        <f>H518</f>
        <v>0</v>
      </c>
      <c r="I517" s="68">
        <f>I518</f>
        <v>0</v>
      </c>
      <c r="J517" s="69" t="e">
        <f t="shared" si="23"/>
        <v>#DIV/0!</v>
      </c>
    </row>
    <row r="518" spans="1:10" ht="31.2" hidden="1" x14ac:dyDescent="0.3">
      <c r="A518" s="76" t="s">
        <v>503</v>
      </c>
      <c r="B518" s="77" t="s">
        <v>500</v>
      </c>
      <c r="C518" s="78" t="s">
        <v>52</v>
      </c>
      <c r="D518" s="78" t="s">
        <v>42</v>
      </c>
      <c r="E518" s="78" t="s">
        <v>548</v>
      </c>
      <c r="F518" s="78" t="s">
        <v>168</v>
      </c>
      <c r="G518" s="68"/>
      <c r="H518" s="68"/>
      <c r="I518" s="68"/>
      <c r="J518" s="69" t="e">
        <f t="shared" si="23"/>
        <v>#DIV/0!</v>
      </c>
    </row>
    <row r="519" spans="1:10" ht="93.6" hidden="1" x14ac:dyDescent="0.3">
      <c r="A519" s="76" t="s">
        <v>549</v>
      </c>
      <c r="B519" s="77" t="s">
        <v>500</v>
      </c>
      <c r="C519" s="78" t="s">
        <v>52</v>
      </c>
      <c r="D519" s="78" t="s">
        <v>42</v>
      </c>
      <c r="E519" s="78" t="s">
        <v>550</v>
      </c>
      <c r="F519" s="78"/>
      <c r="G519" s="68">
        <f>G520</f>
        <v>0</v>
      </c>
      <c r="H519" s="68">
        <f>H520</f>
        <v>0</v>
      </c>
      <c r="I519" s="68">
        <f>I520</f>
        <v>0</v>
      </c>
      <c r="J519" s="69" t="e">
        <f t="shared" si="23"/>
        <v>#DIV/0!</v>
      </c>
    </row>
    <row r="520" spans="1:10" ht="31.2" hidden="1" x14ac:dyDescent="0.3">
      <c r="A520" s="76" t="s">
        <v>503</v>
      </c>
      <c r="B520" s="77" t="s">
        <v>500</v>
      </c>
      <c r="C520" s="78" t="s">
        <v>52</v>
      </c>
      <c r="D520" s="78" t="s">
        <v>42</v>
      </c>
      <c r="E520" s="78" t="s">
        <v>550</v>
      </c>
      <c r="F520" s="78" t="s">
        <v>168</v>
      </c>
      <c r="G520" s="68"/>
      <c r="H520" s="68"/>
      <c r="I520" s="68"/>
      <c r="J520" s="69" t="e">
        <f t="shared" si="23"/>
        <v>#DIV/0!</v>
      </c>
    </row>
    <row r="521" spans="1:10" ht="62.4" hidden="1" x14ac:dyDescent="0.3">
      <c r="A521" s="76" t="s">
        <v>551</v>
      </c>
      <c r="B521" s="77" t="s">
        <v>500</v>
      </c>
      <c r="C521" s="78" t="s">
        <v>52</v>
      </c>
      <c r="D521" s="78" t="s">
        <v>42</v>
      </c>
      <c r="E521" s="78" t="s">
        <v>552</v>
      </c>
      <c r="F521" s="78"/>
      <c r="G521" s="68">
        <f>G522</f>
        <v>0</v>
      </c>
      <c r="H521" s="68">
        <f>H522</f>
        <v>0</v>
      </c>
      <c r="I521" s="68">
        <f>I522</f>
        <v>0</v>
      </c>
      <c r="J521" s="69" t="e">
        <f t="shared" si="23"/>
        <v>#DIV/0!</v>
      </c>
    </row>
    <row r="522" spans="1:10" ht="31.2" hidden="1" x14ac:dyDescent="0.3">
      <c r="A522" s="76" t="s">
        <v>503</v>
      </c>
      <c r="B522" s="77" t="s">
        <v>500</v>
      </c>
      <c r="C522" s="78" t="s">
        <v>52</v>
      </c>
      <c r="D522" s="78" t="s">
        <v>42</v>
      </c>
      <c r="E522" s="78" t="s">
        <v>552</v>
      </c>
      <c r="F522" s="78" t="s">
        <v>168</v>
      </c>
      <c r="G522" s="68"/>
      <c r="H522" s="68"/>
      <c r="I522" s="68"/>
      <c r="J522" s="69" t="e">
        <f t="shared" si="23"/>
        <v>#DIV/0!</v>
      </c>
    </row>
    <row r="523" spans="1:10" ht="62.4" hidden="1" x14ac:dyDescent="0.3">
      <c r="A523" s="76" t="s">
        <v>553</v>
      </c>
      <c r="B523" s="77" t="s">
        <v>500</v>
      </c>
      <c r="C523" s="78" t="s">
        <v>52</v>
      </c>
      <c r="D523" s="78" t="s">
        <v>42</v>
      </c>
      <c r="E523" s="78" t="s">
        <v>554</v>
      </c>
      <c r="F523" s="78"/>
      <c r="G523" s="68">
        <f>G524</f>
        <v>0</v>
      </c>
      <c r="H523" s="68">
        <f>H524</f>
        <v>0</v>
      </c>
      <c r="I523" s="68">
        <f>I524</f>
        <v>0</v>
      </c>
      <c r="J523" s="69" t="e">
        <f t="shared" si="23"/>
        <v>#DIV/0!</v>
      </c>
    </row>
    <row r="524" spans="1:10" ht="31.2" hidden="1" x14ac:dyDescent="0.3">
      <c r="A524" s="76" t="s">
        <v>503</v>
      </c>
      <c r="B524" s="77" t="s">
        <v>500</v>
      </c>
      <c r="C524" s="78" t="s">
        <v>52</v>
      </c>
      <c r="D524" s="78" t="s">
        <v>42</v>
      </c>
      <c r="E524" s="78" t="s">
        <v>554</v>
      </c>
      <c r="F524" s="78" t="s">
        <v>168</v>
      </c>
      <c r="G524" s="68"/>
      <c r="H524" s="68"/>
      <c r="I524" s="68"/>
      <c r="J524" s="69" t="e">
        <f t="shared" ref="J524:J549" si="24">H524/G524*100</f>
        <v>#DIV/0!</v>
      </c>
    </row>
    <row r="525" spans="1:10" ht="62.4" hidden="1" x14ac:dyDescent="0.3">
      <c r="A525" s="76" t="s">
        <v>555</v>
      </c>
      <c r="B525" s="77" t="s">
        <v>500</v>
      </c>
      <c r="C525" s="78" t="s">
        <v>52</v>
      </c>
      <c r="D525" s="78" t="s">
        <v>42</v>
      </c>
      <c r="E525" s="78" t="s">
        <v>556</v>
      </c>
      <c r="F525" s="78"/>
      <c r="G525" s="68">
        <f>G526</f>
        <v>0</v>
      </c>
      <c r="H525" s="68">
        <f>H526</f>
        <v>0</v>
      </c>
      <c r="I525" s="68">
        <f>I526</f>
        <v>0</v>
      </c>
      <c r="J525" s="69" t="e">
        <f t="shared" si="24"/>
        <v>#DIV/0!</v>
      </c>
    </row>
    <row r="526" spans="1:10" ht="31.2" hidden="1" x14ac:dyDescent="0.3">
      <c r="A526" s="76" t="s">
        <v>503</v>
      </c>
      <c r="B526" s="77" t="s">
        <v>500</v>
      </c>
      <c r="C526" s="78" t="s">
        <v>52</v>
      </c>
      <c r="D526" s="78" t="s">
        <v>42</v>
      </c>
      <c r="E526" s="78" t="s">
        <v>556</v>
      </c>
      <c r="F526" s="78" t="s">
        <v>168</v>
      </c>
      <c r="G526" s="68"/>
      <c r="H526" s="68"/>
      <c r="I526" s="68"/>
      <c r="J526" s="69" t="e">
        <f t="shared" si="24"/>
        <v>#DIV/0!</v>
      </c>
    </row>
    <row r="527" spans="1:10" ht="62.4" hidden="1" x14ac:dyDescent="0.3">
      <c r="A527" s="76" t="s">
        <v>557</v>
      </c>
      <c r="B527" s="77" t="s">
        <v>500</v>
      </c>
      <c r="C527" s="78" t="s">
        <v>52</v>
      </c>
      <c r="D527" s="78" t="s">
        <v>42</v>
      </c>
      <c r="E527" s="78" t="s">
        <v>558</v>
      </c>
      <c r="F527" s="78"/>
      <c r="G527" s="68">
        <f>G528</f>
        <v>0</v>
      </c>
      <c r="H527" s="68">
        <f>H528</f>
        <v>0</v>
      </c>
      <c r="I527" s="68">
        <f>I528</f>
        <v>0</v>
      </c>
      <c r="J527" s="69" t="e">
        <f t="shared" si="24"/>
        <v>#DIV/0!</v>
      </c>
    </row>
    <row r="528" spans="1:10" ht="31.2" hidden="1" x14ac:dyDescent="0.3">
      <c r="A528" s="76" t="s">
        <v>503</v>
      </c>
      <c r="B528" s="77" t="s">
        <v>500</v>
      </c>
      <c r="C528" s="78" t="s">
        <v>52</v>
      </c>
      <c r="D528" s="78" t="s">
        <v>42</v>
      </c>
      <c r="E528" s="78" t="s">
        <v>558</v>
      </c>
      <c r="F528" s="78" t="s">
        <v>168</v>
      </c>
      <c r="G528" s="68"/>
      <c r="H528" s="68"/>
      <c r="I528" s="68"/>
      <c r="J528" s="69" t="e">
        <f t="shared" si="24"/>
        <v>#DIV/0!</v>
      </c>
    </row>
    <row r="529" spans="1:10" ht="78" hidden="1" x14ac:dyDescent="0.3">
      <c r="A529" s="76" t="s">
        <v>559</v>
      </c>
      <c r="B529" s="77" t="s">
        <v>500</v>
      </c>
      <c r="C529" s="78" t="s">
        <v>52</v>
      </c>
      <c r="D529" s="78" t="s">
        <v>42</v>
      </c>
      <c r="E529" s="78" t="s">
        <v>560</v>
      </c>
      <c r="F529" s="78"/>
      <c r="G529" s="68">
        <f>G530</f>
        <v>0</v>
      </c>
      <c r="H529" s="68">
        <f>H530</f>
        <v>0</v>
      </c>
      <c r="I529" s="68">
        <f>I530</f>
        <v>0</v>
      </c>
      <c r="J529" s="69" t="e">
        <f t="shared" si="24"/>
        <v>#DIV/0!</v>
      </c>
    </row>
    <row r="530" spans="1:10" ht="31.2" hidden="1" x14ac:dyDescent="0.3">
      <c r="A530" s="76" t="s">
        <v>503</v>
      </c>
      <c r="B530" s="77" t="s">
        <v>500</v>
      </c>
      <c r="C530" s="78" t="s">
        <v>52</v>
      </c>
      <c r="D530" s="78" t="s">
        <v>42</v>
      </c>
      <c r="E530" s="78" t="s">
        <v>560</v>
      </c>
      <c r="F530" s="78" t="s">
        <v>168</v>
      </c>
      <c r="G530" s="68"/>
      <c r="H530" s="68"/>
      <c r="I530" s="68"/>
      <c r="J530" s="69" t="e">
        <f t="shared" si="24"/>
        <v>#DIV/0!</v>
      </c>
    </row>
    <row r="531" spans="1:10" ht="62.4" hidden="1" x14ac:dyDescent="0.3">
      <c r="A531" s="76" t="s">
        <v>561</v>
      </c>
      <c r="B531" s="77" t="s">
        <v>500</v>
      </c>
      <c r="C531" s="78" t="s">
        <v>52</v>
      </c>
      <c r="D531" s="78" t="s">
        <v>42</v>
      </c>
      <c r="E531" s="78" t="s">
        <v>562</v>
      </c>
      <c r="F531" s="78"/>
      <c r="G531" s="68">
        <f>G532</f>
        <v>0</v>
      </c>
      <c r="H531" s="68">
        <f>H532</f>
        <v>0</v>
      </c>
      <c r="I531" s="68">
        <f>I532</f>
        <v>0</v>
      </c>
      <c r="J531" s="69" t="e">
        <f t="shared" si="24"/>
        <v>#DIV/0!</v>
      </c>
    </row>
    <row r="532" spans="1:10" ht="31.2" hidden="1" x14ac:dyDescent="0.3">
      <c r="A532" s="76" t="s">
        <v>503</v>
      </c>
      <c r="B532" s="77" t="s">
        <v>500</v>
      </c>
      <c r="C532" s="78" t="s">
        <v>52</v>
      </c>
      <c r="D532" s="78" t="s">
        <v>42</v>
      </c>
      <c r="E532" s="78" t="s">
        <v>562</v>
      </c>
      <c r="F532" s="78" t="s">
        <v>168</v>
      </c>
      <c r="G532" s="68"/>
      <c r="H532" s="68"/>
      <c r="I532" s="68"/>
      <c r="J532" s="69" t="e">
        <f t="shared" si="24"/>
        <v>#DIV/0!</v>
      </c>
    </row>
    <row r="533" spans="1:10" ht="62.4" hidden="1" x14ac:dyDescent="0.3">
      <c r="A533" s="76" t="s">
        <v>563</v>
      </c>
      <c r="B533" s="77" t="s">
        <v>500</v>
      </c>
      <c r="C533" s="78" t="s">
        <v>52</v>
      </c>
      <c r="D533" s="78" t="s">
        <v>42</v>
      </c>
      <c r="E533" s="78" t="s">
        <v>564</v>
      </c>
      <c r="F533" s="78"/>
      <c r="G533" s="68">
        <f>G534</f>
        <v>0</v>
      </c>
      <c r="H533" s="68">
        <f>H534</f>
        <v>0</v>
      </c>
      <c r="I533" s="68">
        <f>I534</f>
        <v>0</v>
      </c>
      <c r="J533" s="69" t="e">
        <f t="shared" si="24"/>
        <v>#DIV/0!</v>
      </c>
    </row>
    <row r="534" spans="1:10" ht="31.2" hidden="1" x14ac:dyDescent="0.3">
      <c r="A534" s="76" t="s">
        <v>503</v>
      </c>
      <c r="B534" s="77" t="s">
        <v>500</v>
      </c>
      <c r="C534" s="78" t="s">
        <v>52</v>
      </c>
      <c r="D534" s="78" t="s">
        <v>42</v>
      </c>
      <c r="E534" s="78" t="s">
        <v>564</v>
      </c>
      <c r="F534" s="78" t="s">
        <v>168</v>
      </c>
      <c r="G534" s="68"/>
      <c r="H534" s="68"/>
      <c r="I534" s="68"/>
      <c r="J534" s="69" t="e">
        <f t="shared" si="24"/>
        <v>#DIV/0!</v>
      </c>
    </row>
    <row r="535" spans="1:10" ht="62.4" hidden="1" x14ac:dyDescent="0.3">
      <c r="A535" s="76" t="s">
        <v>563</v>
      </c>
      <c r="B535" s="77" t="s">
        <v>500</v>
      </c>
      <c r="C535" s="78" t="s">
        <v>52</v>
      </c>
      <c r="D535" s="78" t="s">
        <v>42</v>
      </c>
      <c r="E535" s="78" t="s">
        <v>565</v>
      </c>
      <c r="F535" s="78"/>
      <c r="G535" s="68">
        <f>G536</f>
        <v>0</v>
      </c>
      <c r="H535" s="68">
        <f>H536</f>
        <v>0</v>
      </c>
      <c r="I535" s="68">
        <f>I536</f>
        <v>0</v>
      </c>
      <c r="J535" s="69" t="e">
        <f t="shared" si="24"/>
        <v>#DIV/0!</v>
      </c>
    </row>
    <row r="536" spans="1:10" ht="31.2" hidden="1" x14ac:dyDescent="0.3">
      <c r="A536" s="76" t="s">
        <v>503</v>
      </c>
      <c r="B536" s="77" t="s">
        <v>500</v>
      </c>
      <c r="C536" s="78" t="s">
        <v>52</v>
      </c>
      <c r="D536" s="78" t="s">
        <v>42</v>
      </c>
      <c r="E536" s="78" t="s">
        <v>565</v>
      </c>
      <c r="F536" s="78" t="s">
        <v>168</v>
      </c>
      <c r="G536" s="68"/>
      <c r="H536" s="68"/>
      <c r="I536" s="68"/>
      <c r="J536" s="69" t="e">
        <f t="shared" si="24"/>
        <v>#DIV/0!</v>
      </c>
    </row>
    <row r="537" spans="1:10" ht="78" hidden="1" x14ac:dyDescent="0.3">
      <c r="A537" s="76" t="s">
        <v>566</v>
      </c>
      <c r="B537" s="77" t="s">
        <v>500</v>
      </c>
      <c r="C537" s="78" t="s">
        <v>52</v>
      </c>
      <c r="D537" s="78" t="s">
        <v>42</v>
      </c>
      <c r="E537" s="78" t="s">
        <v>567</v>
      </c>
      <c r="F537" s="78"/>
      <c r="G537" s="68">
        <f>G538</f>
        <v>0</v>
      </c>
      <c r="H537" s="68">
        <f>H538</f>
        <v>0</v>
      </c>
      <c r="I537" s="68">
        <f>I538</f>
        <v>0</v>
      </c>
      <c r="J537" s="69" t="e">
        <f t="shared" si="24"/>
        <v>#DIV/0!</v>
      </c>
    </row>
    <row r="538" spans="1:10" ht="31.2" hidden="1" x14ac:dyDescent="0.3">
      <c r="A538" s="76" t="s">
        <v>503</v>
      </c>
      <c r="B538" s="77" t="s">
        <v>500</v>
      </c>
      <c r="C538" s="78" t="s">
        <v>52</v>
      </c>
      <c r="D538" s="78" t="s">
        <v>42</v>
      </c>
      <c r="E538" s="78" t="s">
        <v>567</v>
      </c>
      <c r="F538" s="78" t="s">
        <v>168</v>
      </c>
      <c r="G538" s="68"/>
      <c r="H538" s="68"/>
      <c r="I538" s="68"/>
      <c r="J538" s="69" t="e">
        <f t="shared" si="24"/>
        <v>#DIV/0!</v>
      </c>
    </row>
    <row r="539" spans="1:10" ht="78" hidden="1" x14ac:dyDescent="0.3">
      <c r="A539" s="76" t="s">
        <v>568</v>
      </c>
      <c r="B539" s="77" t="s">
        <v>500</v>
      </c>
      <c r="C539" s="78" t="s">
        <v>52</v>
      </c>
      <c r="D539" s="78" t="s">
        <v>42</v>
      </c>
      <c r="E539" s="78" t="s">
        <v>569</v>
      </c>
      <c r="F539" s="78"/>
      <c r="G539" s="68">
        <f>G540</f>
        <v>0</v>
      </c>
      <c r="H539" s="68">
        <f>H540</f>
        <v>0</v>
      </c>
      <c r="I539" s="68">
        <f>I540</f>
        <v>0</v>
      </c>
      <c r="J539" s="69" t="e">
        <f t="shared" si="24"/>
        <v>#DIV/0!</v>
      </c>
    </row>
    <row r="540" spans="1:10" ht="31.2" hidden="1" x14ac:dyDescent="0.3">
      <c r="A540" s="76" t="s">
        <v>503</v>
      </c>
      <c r="B540" s="77" t="s">
        <v>500</v>
      </c>
      <c r="C540" s="78" t="s">
        <v>52</v>
      </c>
      <c r="D540" s="78" t="s">
        <v>42</v>
      </c>
      <c r="E540" s="78" t="s">
        <v>569</v>
      </c>
      <c r="F540" s="78" t="s">
        <v>168</v>
      </c>
      <c r="G540" s="68"/>
      <c r="H540" s="68"/>
      <c r="I540" s="68"/>
      <c r="J540" s="69" t="e">
        <f t="shared" si="24"/>
        <v>#DIV/0!</v>
      </c>
    </row>
    <row r="541" spans="1:10" ht="78" hidden="1" x14ac:dyDescent="0.3">
      <c r="A541" s="76" t="s">
        <v>570</v>
      </c>
      <c r="B541" s="77" t="s">
        <v>500</v>
      </c>
      <c r="C541" s="78" t="s">
        <v>52</v>
      </c>
      <c r="D541" s="78" t="s">
        <v>42</v>
      </c>
      <c r="E541" s="78" t="s">
        <v>571</v>
      </c>
      <c r="F541" s="78"/>
      <c r="G541" s="68">
        <f>G542</f>
        <v>0</v>
      </c>
      <c r="H541" s="68">
        <f>H542</f>
        <v>0</v>
      </c>
      <c r="I541" s="68">
        <f>I542</f>
        <v>0</v>
      </c>
      <c r="J541" s="69" t="e">
        <f t="shared" si="24"/>
        <v>#DIV/0!</v>
      </c>
    </row>
    <row r="542" spans="1:10" ht="31.2" hidden="1" x14ac:dyDescent="0.3">
      <c r="A542" s="76" t="s">
        <v>503</v>
      </c>
      <c r="B542" s="77" t="s">
        <v>500</v>
      </c>
      <c r="C542" s="78" t="s">
        <v>52</v>
      </c>
      <c r="D542" s="78" t="s">
        <v>42</v>
      </c>
      <c r="E542" s="78" t="s">
        <v>571</v>
      </c>
      <c r="F542" s="78" t="s">
        <v>168</v>
      </c>
      <c r="G542" s="68"/>
      <c r="H542" s="68"/>
      <c r="I542" s="68"/>
      <c r="J542" s="69" t="e">
        <f t="shared" si="24"/>
        <v>#DIV/0!</v>
      </c>
    </row>
    <row r="543" spans="1:10" ht="62.4" hidden="1" x14ac:dyDescent="0.3">
      <c r="A543" s="76" t="s">
        <v>572</v>
      </c>
      <c r="B543" s="77" t="s">
        <v>500</v>
      </c>
      <c r="C543" s="78" t="s">
        <v>52</v>
      </c>
      <c r="D543" s="78" t="s">
        <v>42</v>
      </c>
      <c r="E543" s="78" t="s">
        <v>573</v>
      </c>
      <c r="F543" s="78"/>
      <c r="G543" s="68">
        <f>G544</f>
        <v>0</v>
      </c>
      <c r="H543" s="68">
        <f>H544</f>
        <v>0</v>
      </c>
      <c r="I543" s="68">
        <f>I544</f>
        <v>0</v>
      </c>
      <c r="J543" s="69" t="e">
        <f t="shared" si="24"/>
        <v>#DIV/0!</v>
      </c>
    </row>
    <row r="544" spans="1:10" ht="31.2" hidden="1" x14ac:dyDescent="0.3">
      <c r="A544" s="76" t="s">
        <v>503</v>
      </c>
      <c r="B544" s="77" t="s">
        <v>500</v>
      </c>
      <c r="C544" s="78" t="s">
        <v>52</v>
      </c>
      <c r="D544" s="78" t="s">
        <v>42</v>
      </c>
      <c r="E544" s="78" t="s">
        <v>573</v>
      </c>
      <c r="F544" s="78" t="s">
        <v>168</v>
      </c>
      <c r="G544" s="68"/>
      <c r="H544" s="68"/>
      <c r="I544" s="68"/>
      <c r="J544" s="69" t="e">
        <f t="shared" si="24"/>
        <v>#DIV/0!</v>
      </c>
    </row>
    <row r="545" spans="1:10" ht="93.6" hidden="1" x14ac:dyDescent="0.3">
      <c r="A545" s="89" t="s">
        <v>518</v>
      </c>
      <c r="B545" s="77" t="s">
        <v>500</v>
      </c>
      <c r="C545" s="78" t="s">
        <v>52</v>
      </c>
      <c r="D545" s="78" t="s">
        <v>42</v>
      </c>
      <c r="E545" s="129" t="s">
        <v>519</v>
      </c>
      <c r="F545" s="78"/>
      <c r="G545" s="79">
        <f>G546</f>
        <v>1794466.38</v>
      </c>
      <c r="H545" s="87">
        <f>H546</f>
        <v>1794466.38</v>
      </c>
      <c r="I545" s="68"/>
      <c r="J545" s="81">
        <f t="shared" si="24"/>
        <v>100</v>
      </c>
    </row>
    <row r="546" spans="1:10" ht="46.8" hidden="1" x14ac:dyDescent="0.3">
      <c r="A546" s="88" t="s">
        <v>520</v>
      </c>
      <c r="B546" s="77" t="s">
        <v>500</v>
      </c>
      <c r="C546" s="78" t="s">
        <v>52</v>
      </c>
      <c r="D546" s="78" t="s">
        <v>42</v>
      </c>
      <c r="E546" s="129" t="s">
        <v>519</v>
      </c>
      <c r="F546" s="78" t="s">
        <v>168</v>
      </c>
      <c r="G546" s="79">
        <v>1794466.38</v>
      </c>
      <c r="H546" s="87">
        <v>1794466.38</v>
      </c>
      <c r="I546" s="68"/>
      <c r="J546" s="81">
        <f t="shared" si="24"/>
        <v>100</v>
      </c>
    </row>
    <row r="547" spans="1:10" ht="109.2" hidden="1" x14ac:dyDescent="0.3">
      <c r="A547" s="89" t="s">
        <v>521</v>
      </c>
      <c r="B547" s="77" t="s">
        <v>500</v>
      </c>
      <c r="C547" s="78" t="s">
        <v>52</v>
      </c>
      <c r="D547" s="78" t="s">
        <v>42</v>
      </c>
      <c r="E547" s="129" t="s">
        <v>574</v>
      </c>
      <c r="F547" s="78"/>
      <c r="G547" s="79">
        <f>G548</f>
        <v>115057</v>
      </c>
      <c r="H547" s="87">
        <f>H548</f>
        <v>115057</v>
      </c>
      <c r="I547" s="68"/>
      <c r="J547" s="81">
        <f t="shared" si="24"/>
        <v>100</v>
      </c>
    </row>
    <row r="548" spans="1:10" ht="62.4" hidden="1" x14ac:dyDescent="0.3">
      <c r="A548" s="88" t="s">
        <v>523</v>
      </c>
      <c r="B548" s="77" t="s">
        <v>500</v>
      </c>
      <c r="C548" s="78" t="s">
        <v>52</v>
      </c>
      <c r="D548" s="78" t="s">
        <v>42</v>
      </c>
      <c r="E548" s="129" t="s">
        <v>574</v>
      </c>
      <c r="F548" s="78" t="s">
        <v>168</v>
      </c>
      <c r="G548" s="79">
        <v>115057</v>
      </c>
      <c r="H548" s="87">
        <v>115057</v>
      </c>
      <c r="I548" s="68"/>
      <c r="J548" s="81">
        <f t="shared" si="24"/>
        <v>100</v>
      </c>
    </row>
    <row r="549" spans="1:10" ht="109.2" hidden="1" x14ac:dyDescent="0.3">
      <c r="A549" s="89" t="s">
        <v>575</v>
      </c>
      <c r="B549" s="77" t="s">
        <v>500</v>
      </c>
      <c r="C549" s="78" t="s">
        <v>52</v>
      </c>
      <c r="D549" s="78" t="s">
        <v>42</v>
      </c>
      <c r="E549" s="129" t="s">
        <v>576</v>
      </c>
      <c r="F549" s="78"/>
      <c r="G549" s="79">
        <f>G550</f>
        <v>1162440</v>
      </c>
      <c r="H549" s="87">
        <f>H550</f>
        <v>1162438.76</v>
      </c>
      <c r="I549" s="68">
        <f>I550</f>
        <v>0</v>
      </c>
      <c r="J549" s="81">
        <f t="shared" si="24"/>
        <v>99.999893327827678</v>
      </c>
    </row>
    <row r="550" spans="1:10" ht="62.4" hidden="1" x14ac:dyDescent="0.3">
      <c r="A550" s="88" t="s">
        <v>577</v>
      </c>
      <c r="B550" s="77" t="s">
        <v>500</v>
      </c>
      <c r="C550" s="78" t="s">
        <v>52</v>
      </c>
      <c r="D550" s="78" t="s">
        <v>42</v>
      </c>
      <c r="E550" s="129" t="s">
        <v>576</v>
      </c>
      <c r="F550" s="78" t="s">
        <v>168</v>
      </c>
      <c r="G550" s="79">
        <v>1162440</v>
      </c>
      <c r="H550" s="87">
        <v>1162438.76</v>
      </c>
      <c r="I550" s="68">
        <v>0</v>
      </c>
      <c r="J550" s="81">
        <f>H550/G550*100</f>
        <v>99.999893327827678</v>
      </c>
    </row>
    <row r="551" spans="1:10" ht="93.6" hidden="1" x14ac:dyDescent="0.3">
      <c r="A551" s="89" t="s">
        <v>578</v>
      </c>
      <c r="B551" s="77" t="s">
        <v>500</v>
      </c>
      <c r="C551" s="78" t="s">
        <v>52</v>
      </c>
      <c r="D551" s="78" t="s">
        <v>42</v>
      </c>
      <c r="E551" s="129" t="s">
        <v>579</v>
      </c>
      <c r="F551" s="78"/>
      <c r="G551" s="79">
        <f>G552+G553</f>
        <v>82284410.480000004</v>
      </c>
      <c r="H551" s="87">
        <f>H552+H553</f>
        <v>75559492.950000003</v>
      </c>
      <c r="I551" s="68">
        <f>I552+I553</f>
        <v>0</v>
      </c>
      <c r="J551" s="81">
        <f>H551/G551*100</f>
        <v>91.827227671960344</v>
      </c>
    </row>
    <row r="552" spans="1:10" ht="78" hidden="1" x14ac:dyDescent="0.3">
      <c r="A552" s="88" t="s">
        <v>580</v>
      </c>
      <c r="B552" s="77" t="s">
        <v>500</v>
      </c>
      <c r="C552" s="78" t="s">
        <v>52</v>
      </c>
      <c r="D552" s="78" t="s">
        <v>42</v>
      </c>
      <c r="E552" s="129" t="s">
        <v>579</v>
      </c>
      <c r="F552" s="78" t="s">
        <v>168</v>
      </c>
      <c r="G552" s="79">
        <v>82284410.480000004</v>
      </c>
      <c r="H552" s="87">
        <v>75559492.950000003</v>
      </c>
      <c r="I552" s="68">
        <f>24960-24960</f>
        <v>0</v>
      </c>
      <c r="J552" s="81">
        <f>H552/G552*100</f>
        <v>91.827227671960344</v>
      </c>
    </row>
    <row r="553" spans="1:10" hidden="1" x14ac:dyDescent="0.3">
      <c r="A553" s="76"/>
      <c r="B553" s="77"/>
      <c r="C553" s="78"/>
      <c r="D553" s="78"/>
      <c r="E553" s="78"/>
      <c r="F553" s="78"/>
      <c r="G553" s="68"/>
      <c r="H553" s="68"/>
      <c r="I553" s="68"/>
      <c r="J553" s="81"/>
    </row>
    <row r="554" spans="1:10" ht="93.6" hidden="1" x14ac:dyDescent="0.3">
      <c r="A554" s="89" t="s">
        <v>581</v>
      </c>
      <c r="B554" s="77" t="s">
        <v>500</v>
      </c>
      <c r="C554" s="78" t="s">
        <v>52</v>
      </c>
      <c r="D554" s="78" t="s">
        <v>42</v>
      </c>
      <c r="E554" s="129" t="s">
        <v>582</v>
      </c>
      <c r="F554" s="78"/>
      <c r="G554" s="79">
        <f>G555</f>
        <v>6100484.6900000004</v>
      </c>
      <c r="H554" s="87">
        <f>H555</f>
        <v>6096923.7000000002</v>
      </c>
      <c r="I554" s="68">
        <f>I555</f>
        <v>0</v>
      </c>
      <c r="J554" s="81">
        <f t="shared" ref="J554:J563" si="25">H554/G554*100</f>
        <v>99.941627752859745</v>
      </c>
    </row>
    <row r="555" spans="1:10" ht="78" hidden="1" x14ac:dyDescent="0.3">
      <c r="A555" s="88" t="s">
        <v>583</v>
      </c>
      <c r="B555" s="77" t="s">
        <v>500</v>
      </c>
      <c r="C555" s="78" t="s">
        <v>52</v>
      </c>
      <c r="D555" s="78" t="s">
        <v>42</v>
      </c>
      <c r="E555" s="129" t="s">
        <v>582</v>
      </c>
      <c r="F555" s="78" t="s">
        <v>168</v>
      </c>
      <c r="G555" s="79">
        <v>6100484.6900000004</v>
      </c>
      <c r="H555" s="87">
        <v>6096923.7000000002</v>
      </c>
      <c r="I555" s="68">
        <v>0</v>
      </c>
      <c r="J555" s="81">
        <f t="shared" si="25"/>
        <v>99.941627752859745</v>
      </c>
    </row>
    <row r="556" spans="1:10" ht="62.4" hidden="1" x14ac:dyDescent="0.3">
      <c r="A556" s="76" t="s">
        <v>584</v>
      </c>
      <c r="B556" s="77" t="s">
        <v>500</v>
      </c>
      <c r="C556" s="78" t="s">
        <v>52</v>
      </c>
      <c r="D556" s="78" t="s">
        <v>42</v>
      </c>
      <c r="E556" s="78" t="s">
        <v>585</v>
      </c>
      <c r="F556" s="78"/>
      <c r="G556" s="68">
        <f>G557</f>
        <v>0</v>
      </c>
      <c r="H556" s="68">
        <f>H557</f>
        <v>0</v>
      </c>
      <c r="I556" s="68">
        <f>I557</f>
        <v>0</v>
      </c>
      <c r="J556" s="69" t="e">
        <f t="shared" si="25"/>
        <v>#DIV/0!</v>
      </c>
    </row>
    <row r="557" spans="1:10" ht="31.2" hidden="1" x14ac:dyDescent="0.3">
      <c r="A557" s="76" t="s">
        <v>503</v>
      </c>
      <c r="B557" s="77" t="s">
        <v>500</v>
      </c>
      <c r="C557" s="78" t="s">
        <v>52</v>
      </c>
      <c r="D557" s="78" t="s">
        <v>42</v>
      </c>
      <c r="E557" s="78" t="s">
        <v>585</v>
      </c>
      <c r="F557" s="78" t="s">
        <v>168</v>
      </c>
      <c r="G557" s="68"/>
      <c r="H557" s="68"/>
      <c r="I557" s="68"/>
      <c r="J557" s="69" t="e">
        <f t="shared" si="25"/>
        <v>#DIV/0!</v>
      </c>
    </row>
    <row r="558" spans="1:10" ht="62.4" hidden="1" x14ac:dyDescent="0.3">
      <c r="A558" s="76" t="s">
        <v>586</v>
      </c>
      <c r="B558" s="77" t="s">
        <v>500</v>
      </c>
      <c r="C558" s="78" t="s">
        <v>52</v>
      </c>
      <c r="D558" s="78" t="s">
        <v>42</v>
      </c>
      <c r="E558" s="78" t="s">
        <v>587</v>
      </c>
      <c r="F558" s="78"/>
      <c r="G558" s="68">
        <f>G559</f>
        <v>0</v>
      </c>
      <c r="H558" s="68">
        <f>H559</f>
        <v>0</v>
      </c>
      <c r="I558" s="68">
        <f>I559</f>
        <v>0</v>
      </c>
      <c r="J558" s="69" t="e">
        <f t="shared" si="25"/>
        <v>#DIV/0!</v>
      </c>
    </row>
    <row r="559" spans="1:10" ht="31.2" hidden="1" x14ac:dyDescent="0.3">
      <c r="A559" s="76" t="s">
        <v>503</v>
      </c>
      <c r="B559" s="77" t="s">
        <v>500</v>
      </c>
      <c r="C559" s="78" t="s">
        <v>52</v>
      </c>
      <c r="D559" s="78" t="s">
        <v>42</v>
      </c>
      <c r="E559" s="78" t="s">
        <v>587</v>
      </c>
      <c r="F559" s="78" t="s">
        <v>168</v>
      </c>
      <c r="G559" s="68"/>
      <c r="H559" s="68"/>
      <c r="I559" s="68"/>
      <c r="J559" s="69" t="e">
        <f t="shared" si="25"/>
        <v>#DIV/0!</v>
      </c>
    </row>
    <row r="560" spans="1:10" ht="78" hidden="1" x14ac:dyDescent="0.3">
      <c r="A560" s="89" t="s">
        <v>338</v>
      </c>
      <c r="B560" s="77" t="s">
        <v>500</v>
      </c>
      <c r="C560" s="78" t="s">
        <v>52</v>
      </c>
      <c r="D560" s="78" t="s">
        <v>42</v>
      </c>
      <c r="E560" s="129" t="s">
        <v>339</v>
      </c>
      <c r="F560" s="78"/>
      <c r="G560" s="79">
        <f>G561</f>
        <v>12730274.65</v>
      </c>
      <c r="H560" s="87">
        <f>H561</f>
        <v>12210787.93</v>
      </c>
      <c r="I560" s="68">
        <f>I561</f>
        <v>0</v>
      </c>
      <c r="J560" s="81">
        <f t="shared" si="25"/>
        <v>95.919281128785386</v>
      </c>
    </row>
    <row r="561" spans="1:11" ht="46.8" hidden="1" x14ac:dyDescent="0.3">
      <c r="A561" s="88" t="s">
        <v>588</v>
      </c>
      <c r="B561" s="77" t="s">
        <v>500</v>
      </c>
      <c r="C561" s="78" t="s">
        <v>52</v>
      </c>
      <c r="D561" s="78" t="s">
        <v>42</v>
      </c>
      <c r="E561" s="129" t="s">
        <v>339</v>
      </c>
      <c r="F561" s="78" t="s">
        <v>168</v>
      </c>
      <c r="G561" s="79">
        <v>12730274.65</v>
      </c>
      <c r="H561" s="87">
        <v>12210787.93</v>
      </c>
      <c r="I561" s="68">
        <v>0</v>
      </c>
      <c r="J561" s="81">
        <f t="shared" si="25"/>
        <v>95.919281128785386</v>
      </c>
    </row>
    <row r="562" spans="1:11" ht="78" hidden="1" x14ac:dyDescent="0.3">
      <c r="A562" s="89" t="s">
        <v>589</v>
      </c>
      <c r="B562" s="77" t="s">
        <v>500</v>
      </c>
      <c r="C562" s="78" t="s">
        <v>52</v>
      </c>
      <c r="D562" s="78" t="s">
        <v>42</v>
      </c>
      <c r="E562" s="129" t="s">
        <v>590</v>
      </c>
      <c r="F562" s="78"/>
      <c r="G562" s="79">
        <f>G563</f>
        <v>467984</v>
      </c>
      <c r="H562" s="87">
        <f>H563</f>
        <v>249912.8</v>
      </c>
      <c r="I562" s="68">
        <f>I563</f>
        <v>0</v>
      </c>
      <c r="J562" s="81">
        <f t="shared" si="25"/>
        <v>53.401996649458091</v>
      </c>
    </row>
    <row r="563" spans="1:11" ht="46.8" hidden="1" x14ac:dyDescent="0.3">
      <c r="A563" s="88" t="s">
        <v>591</v>
      </c>
      <c r="B563" s="77" t="s">
        <v>500</v>
      </c>
      <c r="C563" s="78" t="s">
        <v>52</v>
      </c>
      <c r="D563" s="78" t="s">
        <v>42</v>
      </c>
      <c r="E563" s="129" t="s">
        <v>590</v>
      </c>
      <c r="F563" s="78" t="s">
        <v>168</v>
      </c>
      <c r="G563" s="79">
        <v>467984</v>
      </c>
      <c r="H563" s="87">
        <v>249912.8</v>
      </c>
      <c r="I563" s="68">
        <v>0</v>
      </c>
      <c r="J563" s="81">
        <f t="shared" si="25"/>
        <v>53.401996649458091</v>
      </c>
    </row>
    <row r="564" spans="1:11" hidden="1" x14ac:dyDescent="0.3">
      <c r="A564" s="76"/>
      <c r="B564" s="77"/>
      <c r="C564" s="78"/>
      <c r="D564" s="78"/>
      <c r="E564" s="78"/>
      <c r="F564" s="78"/>
      <c r="G564" s="68"/>
      <c r="H564" s="68"/>
      <c r="I564" s="68"/>
      <c r="J564" s="81"/>
    </row>
    <row r="565" spans="1:11" hidden="1" x14ac:dyDescent="0.3">
      <c r="A565" s="76"/>
      <c r="B565" s="77"/>
      <c r="C565" s="78"/>
      <c r="D565" s="78"/>
      <c r="E565" s="78"/>
      <c r="F565" s="78"/>
      <c r="G565" s="68"/>
      <c r="H565" s="68"/>
      <c r="I565" s="68"/>
      <c r="J565" s="81"/>
    </row>
    <row r="566" spans="1:11" ht="109.2" hidden="1" x14ac:dyDescent="0.3">
      <c r="A566" s="89" t="s">
        <v>592</v>
      </c>
      <c r="B566" s="77" t="s">
        <v>500</v>
      </c>
      <c r="C566" s="78" t="s">
        <v>52</v>
      </c>
      <c r="D566" s="78" t="s">
        <v>42</v>
      </c>
      <c r="E566" s="129" t="s">
        <v>593</v>
      </c>
      <c r="F566" s="78"/>
      <c r="G566" s="79">
        <f>G567</f>
        <v>49330</v>
      </c>
      <c r="H566" s="87">
        <f>H567</f>
        <v>49330</v>
      </c>
      <c r="I566" s="68">
        <f>I567</f>
        <v>0</v>
      </c>
      <c r="J566" s="81">
        <f t="shared" ref="J566:J585" si="26">H566/G566*100</f>
        <v>100</v>
      </c>
    </row>
    <row r="567" spans="1:11" ht="78" hidden="1" x14ac:dyDescent="0.3">
      <c r="A567" s="88" t="s">
        <v>594</v>
      </c>
      <c r="B567" s="77" t="s">
        <v>500</v>
      </c>
      <c r="C567" s="78" t="s">
        <v>52</v>
      </c>
      <c r="D567" s="78" t="s">
        <v>42</v>
      </c>
      <c r="E567" s="129" t="s">
        <v>593</v>
      </c>
      <c r="F567" s="78" t="s">
        <v>168</v>
      </c>
      <c r="G567" s="79">
        <v>49330</v>
      </c>
      <c r="H567" s="87">
        <v>49330</v>
      </c>
      <c r="I567" s="68">
        <v>0</v>
      </c>
      <c r="J567" s="81">
        <f t="shared" si="26"/>
        <v>100</v>
      </c>
    </row>
    <row r="568" spans="1:11" hidden="1" x14ac:dyDescent="0.3">
      <c r="A568" s="76"/>
      <c r="B568" s="77" t="s">
        <v>500</v>
      </c>
      <c r="C568" s="78" t="s">
        <v>52</v>
      </c>
      <c r="D568" s="78" t="s">
        <v>42</v>
      </c>
      <c r="E568" s="78" t="s">
        <v>595</v>
      </c>
      <c r="F568" s="78"/>
      <c r="G568" s="68">
        <f>G569</f>
        <v>0</v>
      </c>
      <c r="H568" s="68">
        <f>H569</f>
        <v>0</v>
      </c>
      <c r="I568" s="68">
        <f>I569</f>
        <v>0</v>
      </c>
      <c r="J568" s="81" t="e">
        <f t="shared" si="26"/>
        <v>#DIV/0!</v>
      </c>
      <c r="K568" s="222"/>
    </row>
    <row r="569" spans="1:11" hidden="1" x14ac:dyDescent="0.3">
      <c r="A569" s="76"/>
      <c r="B569" s="77" t="s">
        <v>500</v>
      </c>
      <c r="C569" s="78" t="s">
        <v>52</v>
      </c>
      <c r="D569" s="78" t="s">
        <v>42</v>
      </c>
      <c r="E569" s="78" t="s">
        <v>595</v>
      </c>
      <c r="F569" s="78" t="s">
        <v>168</v>
      </c>
      <c r="G569" s="68"/>
      <c r="H569" s="68">
        <v>0</v>
      </c>
      <c r="I569" s="68">
        <v>0</v>
      </c>
      <c r="J569" s="81" t="e">
        <f t="shared" si="26"/>
        <v>#DIV/0!</v>
      </c>
      <c r="K569" s="222"/>
    </row>
    <row r="570" spans="1:11" ht="156" hidden="1" x14ac:dyDescent="0.3">
      <c r="A570" s="106" t="s">
        <v>596</v>
      </c>
      <c r="B570" s="77" t="s">
        <v>500</v>
      </c>
      <c r="C570" s="78" t="s">
        <v>52</v>
      </c>
      <c r="D570" s="78" t="s">
        <v>42</v>
      </c>
      <c r="E570" s="129" t="s">
        <v>597</v>
      </c>
      <c r="F570" s="78"/>
      <c r="G570" s="79">
        <f>G571</f>
        <v>154784950.44999999</v>
      </c>
      <c r="H570" s="87">
        <f>H571</f>
        <v>154784950.44999999</v>
      </c>
      <c r="I570" s="68">
        <f>I571</f>
        <v>15000</v>
      </c>
      <c r="J570" s="81">
        <f t="shared" si="26"/>
        <v>100</v>
      </c>
    </row>
    <row r="571" spans="1:11" ht="187.2" hidden="1" x14ac:dyDescent="0.3">
      <c r="A571" s="147" t="s">
        <v>598</v>
      </c>
      <c r="B571" s="77" t="s">
        <v>500</v>
      </c>
      <c r="C571" s="78" t="s">
        <v>52</v>
      </c>
      <c r="D571" s="78" t="s">
        <v>42</v>
      </c>
      <c r="E571" s="129" t="s">
        <v>597</v>
      </c>
      <c r="F571" s="78" t="s">
        <v>168</v>
      </c>
      <c r="G571" s="79">
        <v>154784950.44999999</v>
      </c>
      <c r="H571" s="87">
        <v>154784950.44999999</v>
      </c>
      <c r="I571" s="68">
        <v>15000</v>
      </c>
      <c r="J571" s="81">
        <f t="shared" si="26"/>
        <v>100</v>
      </c>
    </row>
    <row r="572" spans="1:11" ht="46.8" hidden="1" x14ac:dyDescent="0.3">
      <c r="A572" s="233" t="s">
        <v>599</v>
      </c>
      <c r="B572" s="77" t="s">
        <v>500</v>
      </c>
      <c r="C572" s="78" t="s">
        <v>52</v>
      </c>
      <c r="D572" s="78" t="s">
        <v>42</v>
      </c>
      <c r="E572" s="144" t="s">
        <v>600</v>
      </c>
      <c r="F572" s="78"/>
      <c r="G572" s="231">
        <f>G573</f>
        <v>1064000</v>
      </c>
      <c r="H572" s="232">
        <f>H573</f>
        <v>1064000</v>
      </c>
      <c r="I572" s="68"/>
      <c r="J572" s="81">
        <f t="shared" si="26"/>
        <v>100</v>
      </c>
    </row>
    <row r="573" spans="1:11" ht="187.2" hidden="1" x14ac:dyDescent="0.3">
      <c r="A573" s="233" t="s">
        <v>598</v>
      </c>
      <c r="B573" s="77" t="s">
        <v>500</v>
      </c>
      <c r="C573" s="78" t="s">
        <v>52</v>
      </c>
      <c r="D573" s="78" t="s">
        <v>42</v>
      </c>
      <c r="E573" s="144" t="s">
        <v>600</v>
      </c>
      <c r="F573" s="78" t="s">
        <v>168</v>
      </c>
      <c r="G573" s="231">
        <v>1064000</v>
      </c>
      <c r="H573" s="231">
        <v>1064000</v>
      </c>
      <c r="I573" s="68"/>
      <c r="J573" s="81">
        <f t="shared" si="26"/>
        <v>100</v>
      </c>
    </row>
    <row r="574" spans="1:11" ht="46.8" hidden="1" x14ac:dyDescent="0.3">
      <c r="A574" s="233" t="s">
        <v>599</v>
      </c>
      <c r="B574" s="77" t="s">
        <v>500</v>
      </c>
      <c r="C574" s="78" t="s">
        <v>52</v>
      </c>
      <c r="D574" s="78" t="s">
        <v>42</v>
      </c>
      <c r="E574" s="144" t="s">
        <v>601</v>
      </c>
      <c r="F574" s="78"/>
      <c r="G574" s="231">
        <f>G575</f>
        <v>456000</v>
      </c>
      <c r="H574" s="232">
        <f>H575</f>
        <v>456000</v>
      </c>
      <c r="I574" s="68"/>
      <c r="J574" s="81">
        <f t="shared" si="26"/>
        <v>100</v>
      </c>
    </row>
    <row r="575" spans="1:11" ht="187.2" hidden="1" x14ac:dyDescent="0.3">
      <c r="A575" s="233" t="s">
        <v>598</v>
      </c>
      <c r="B575" s="77" t="s">
        <v>500</v>
      </c>
      <c r="C575" s="78" t="s">
        <v>52</v>
      </c>
      <c r="D575" s="78" t="s">
        <v>42</v>
      </c>
      <c r="E575" s="144" t="s">
        <v>601</v>
      </c>
      <c r="F575" s="78" t="s">
        <v>168</v>
      </c>
      <c r="G575" s="231">
        <v>456000</v>
      </c>
      <c r="H575" s="87">
        <v>456000</v>
      </c>
      <c r="I575" s="68"/>
      <c r="J575" s="81">
        <f t="shared" si="26"/>
        <v>100</v>
      </c>
    </row>
    <row r="576" spans="1:11" ht="78" hidden="1" x14ac:dyDescent="0.3">
      <c r="A576" s="89" t="s">
        <v>602</v>
      </c>
      <c r="B576" s="77" t="s">
        <v>500</v>
      </c>
      <c r="C576" s="78" t="s">
        <v>52</v>
      </c>
      <c r="D576" s="78" t="s">
        <v>42</v>
      </c>
      <c r="E576" s="129" t="s">
        <v>603</v>
      </c>
      <c r="F576" s="78"/>
      <c r="G576" s="79">
        <f>G577</f>
        <v>79746.58</v>
      </c>
      <c r="H576" s="87">
        <f>H577</f>
        <v>79746.58</v>
      </c>
      <c r="I576" s="68">
        <v>4838200</v>
      </c>
      <c r="J576" s="81">
        <f t="shared" si="26"/>
        <v>100</v>
      </c>
    </row>
    <row r="577" spans="1:10" ht="46.8" hidden="1" x14ac:dyDescent="0.3">
      <c r="A577" s="88" t="s">
        <v>604</v>
      </c>
      <c r="B577" s="77" t="s">
        <v>500</v>
      </c>
      <c r="C577" s="78" t="s">
        <v>52</v>
      </c>
      <c r="D577" s="78" t="s">
        <v>42</v>
      </c>
      <c r="E577" s="129" t="s">
        <v>603</v>
      </c>
      <c r="F577" s="78" t="s">
        <v>168</v>
      </c>
      <c r="G577" s="79">
        <v>79746.58</v>
      </c>
      <c r="H577" s="87">
        <v>79746.58</v>
      </c>
      <c r="I577" s="68">
        <v>4838200</v>
      </c>
      <c r="J577" s="81">
        <f t="shared" si="26"/>
        <v>100</v>
      </c>
    </row>
    <row r="578" spans="1:10" ht="78" hidden="1" x14ac:dyDescent="0.3">
      <c r="A578" s="89" t="s">
        <v>605</v>
      </c>
      <c r="B578" s="77" t="s">
        <v>500</v>
      </c>
      <c r="C578" s="78" t="s">
        <v>52</v>
      </c>
      <c r="D578" s="78" t="s">
        <v>42</v>
      </c>
      <c r="E578" s="129" t="s">
        <v>606</v>
      </c>
      <c r="F578" s="78"/>
      <c r="G578" s="79">
        <f>G579</f>
        <v>49853.42</v>
      </c>
      <c r="H578" s="87">
        <f>H579</f>
        <v>49853.42</v>
      </c>
      <c r="I578" s="68">
        <f>I579</f>
        <v>0</v>
      </c>
      <c r="J578" s="81">
        <f t="shared" si="26"/>
        <v>100</v>
      </c>
    </row>
    <row r="579" spans="1:10" ht="46.8" hidden="1" x14ac:dyDescent="0.3">
      <c r="A579" s="88" t="s">
        <v>607</v>
      </c>
      <c r="B579" s="77" t="s">
        <v>500</v>
      </c>
      <c r="C579" s="78" t="s">
        <v>52</v>
      </c>
      <c r="D579" s="78" t="s">
        <v>42</v>
      </c>
      <c r="E579" s="129" t="s">
        <v>606</v>
      </c>
      <c r="F579" s="78" t="s">
        <v>168</v>
      </c>
      <c r="G579" s="79">
        <v>49853.42</v>
      </c>
      <c r="H579" s="87">
        <v>49853.42</v>
      </c>
      <c r="I579" s="68">
        <v>0</v>
      </c>
      <c r="J579" s="81">
        <f t="shared" si="26"/>
        <v>100</v>
      </c>
    </row>
    <row r="580" spans="1:10" ht="78" hidden="1" x14ac:dyDescent="0.3">
      <c r="A580" s="89" t="s">
        <v>608</v>
      </c>
      <c r="B580" s="77" t="s">
        <v>500</v>
      </c>
      <c r="C580" s="78" t="s">
        <v>52</v>
      </c>
      <c r="D580" s="78" t="s">
        <v>42</v>
      </c>
      <c r="E580" s="129" t="s">
        <v>609</v>
      </c>
      <c r="F580" s="78"/>
      <c r="G580" s="79">
        <f>G581</f>
        <v>20000</v>
      </c>
      <c r="H580" s="87">
        <f>H581</f>
        <v>20000</v>
      </c>
      <c r="I580" s="68"/>
      <c r="J580" s="81">
        <f t="shared" si="26"/>
        <v>100</v>
      </c>
    </row>
    <row r="581" spans="1:10" ht="46.8" hidden="1" x14ac:dyDescent="0.3">
      <c r="A581" s="88" t="s">
        <v>610</v>
      </c>
      <c r="B581" s="77" t="s">
        <v>500</v>
      </c>
      <c r="C581" s="78" t="s">
        <v>52</v>
      </c>
      <c r="D581" s="78" t="s">
        <v>42</v>
      </c>
      <c r="E581" s="129" t="s">
        <v>609</v>
      </c>
      <c r="F581" s="78" t="s">
        <v>168</v>
      </c>
      <c r="G581" s="79">
        <v>20000</v>
      </c>
      <c r="H581" s="87">
        <v>20000</v>
      </c>
      <c r="I581" s="68"/>
      <c r="J581" s="81">
        <f t="shared" si="26"/>
        <v>100</v>
      </c>
    </row>
    <row r="582" spans="1:10" ht="62.4" hidden="1" x14ac:dyDescent="0.3">
      <c r="A582" s="155" t="s">
        <v>417</v>
      </c>
      <c r="B582" s="77" t="s">
        <v>500</v>
      </c>
      <c r="C582" s="78" t="s">
        <v>52</v>
      </c>
      <c r="D582" s="78" t="s">
        <v>42</v>
      </c>
      <c r="E582" s="129" t="s">
        <v>418</v>
      </c>
      <c r="F582" s="78"/>
      <c r="G582" s="79">
        <f>G583</f>
        <v>234360</v>
      </c>
      <c r="H582" s="87">
        <f>H583</f>
        <v>180000</v>
      </c>
      <c r="I582" s="68">
        <f>I583</f>
        <v>200000</v>
      </c>
      <c r="J582" s="81">
        <f t="shared" si="26"/>
        <v>76.804915514592935</v>
      </c>
    </row>
    <row r="583" spans="1:10" ht="62.4" hidden="1" x14ac:dyDescent="0.3">
      <c r="A583" s="155" t="s">
        <v>417</v>
      </c>
      <c r="B583" s="77" t="s">
        <v>500</v>
      </c>
      <c r="C583" s="78" t="s">
        <v>52</v>
      </c>
      <c r="D583" s="78" t="s">
        <v>42</v>
      </c>
      <c r="E583" s="129" t="s">
        <v>418</v>
      </c>
      <c r="F583" s="78" t="s">
        <v>168</v>
      </c>
      <c r="G583" s="79">
        <v>234360</v>
      </c>
      <c r="H583" s="87">
        <v>180000</v>
      </c>
      <c r="I583" s="68">
        <v>200000</v>
      </c>
      <c r="J583" s="81">
        <f t="shared" si="26"/>
        <v>76.804915514592935</v>
      </c>
    </row>
    <row r="584" spans="1:10" ht="46.8" hidden="1" x14ac:dyDescent="0.3">
      <c r="A584" s="89" t="s">
        <v>611</v>
      </c>
      <c r="B584" s="77" t="s">
        <v>500</v>
      </c>
      <c r="C584" s="78" t="s">
        <v>52</v>
      </c>
      <c r="D584" s="78" t="s">
        <v>42</v>
      </c>
      <c r="E584" s="129" t="s">
        <v>612</v>
      </c>
      <c r="F584" s="78"/>
      <c r="G584" s="79">
        <f>G585</f>
        <v>150000</v>
      </c>
      <c r="H584" s="87">
        <f>H585</f>
        <v>150000</v>
      </c>
      <c r="I584" s="68">
        <f>I585</f>
        <v>0</v>
      </c>
      <c r="J584" s="81">
        <f t="shared" si="26"/>
        <v>100</v>
      </c>
    </row>
    <row r="585" spans="1:10" ht="78" hidden="1" x14ac:dyDescent="0.3">
      <c r="A585" s="89" t="s">
        <v>613</v>
      </c>
      <c r="B585" s="77" t="s">
        <v>500</v>
      </c>
      <c r="C585" s="78" t="s">
        <v>52</v>
      </c>
      <c r="D585" s="78" t="s">
        <v>42</v>
      </c>
      <c r="E585" s="129" t="s">
        <v>612</v>
      </c>
      <c r="F585" s="78" t="s">
        <v>168</v>
      </c>
      <c r="G585" s="79">
        <v>150000</v>
      </c>
      <c r="H585" s="87">
        <v>150000</v>
      </c>
      <c r="I585" s="68">
        <v>0</v>
      </c>
      <c r="J585" s="81">
        <f t="shared" si="26"/>
        <v>100</v>
      </c>
    </row>
    <row r="586" spans="1:10" hidden="1" x14ac:dyDescent="0.3">
      <c r="A586" s="76"/>
      <c r="B586" s="77"/>
      <c r="C586" s="78"/>
      <c r="D586" s="78"/>
      <c r="E586" s="78"/>
      <c r="F586" s="78"/>
      <c r="G586" s="68"/>
      <c r="H586" s="68"/>
      <c r="I586" s="68"/>
      <c r="J586" s="69"/>
    </row>
    <row r="587" spans="1:10" hidden="1" x14ac:dyDescent="0.3">
      <c r="A587" s="76"/>
      <c r="B587" s="77"/>
      <c r="C587" s="78"/>
      <c r="D587" s="78"/>
      <c r="E587" s="78"/>
      <c r="F587" s="78"/>
      <c r="G587" s="68"/>
      <c r="H587" s="68"/>
      <c r="I587" s="68"/>
      <c r="J587" s="69"/>
    </row>
    <row r="588" spans="1:10" hidden="1" x14ac:dyDescent="0.3">
      <c r="A588" s="76"/>
      <c r="B588" s="77"/>
      <c r="C588" s="78"/>
      <c r="D588" s="78"/>
      <c r="E588" s="78"/>
      <c r="F588" s="78"/>
      <c r="G588" s="68"/>
      <c r="H588" s="68"/>
      <c r="I588" s="68"/>
      <c r="J588" s="69"/>
    </row>
    <row r="589" spans="1:10" hidden="1" x14ac:dyDescent="0.3">
      <c r="A589" s="76"/>
      <c r="B589" s="77"/>
      <c r="C589" s="78"/>
      <c r="D589" s="78"/>
      <c r="E589" s="78"/>
      <c r="F589" s="78"/>
      <c r="G589" s="68"/>
      <c r="H589" s="68"/>
      <c r="I589" s="68"/>
      <c r="J589" s="69"/>
    </row>
    <row r="590" spans="1:10" hidden="1" x14ac:dyDescent="0.3">
      <c r="A590" s="76"/>
      <c r="B590" s="77"/>
      <c r="C590" s="78"/>
      <c r="D590" s="78"/>
      <c r="E590" s="78"/>
      <c r="F590" s="78"/>
      <c r="G590" s="68"/>
      <c r="H590" s="68"/>
      <c r="I590" s="68"/>
      <c r="J590" s="69"/>
    </row>
    <row r="591" spans="1:10" hidden="1" x14ac:dyDescent="0.3">
      <c r="A591" s="76"/>
      <c r="B591" s="77"/>
      <c r="C591" s="78"/>
      <c r="D591" s="78"/>
      <c r="E591" s="78"/>
      <c r="F591" s="78"/>
      <c r="G591" s="68"/>
      <c r="H591" s="84"/>
      <c r="I591" s="84"/>
      <c r="J591" s="69"/>
    </row>
    <row r="592" spans="1:10" hidden="1" x14ac:dyDescent="0.3">
      <c r="A592" s="76"/>
      <c r="B592" s="77"/>
      <c r="C592" s="78"/>
      <c r="D592" s="78"/>
      <c r="E592" s="78"/>
      <c r="F592" s="78"/>
      <c r="G592" s="68"/>
      <c r="H592" s="84"/>
      <c r="I592" s="84"/>
      <c r="J592" s="69"/>
    </row>
    <row r="593" spans="1:10" hidden="1" x14ac:dyDescent="0.3">
      <c r="A593" s="76"/>
      <c r="B593" s="77"/>
      <c r="C593" s="78"/>
      <c r="D593" s="78"/>
      <c r="E593" s="78"/>
      <c r="F593" s="78"/>
      <c r="G593" s="68"/>
      <c r="H593" s="84"/>
      <c r="I593" s="84"/>
      <c r="J593" s="69"/>
    </row>
    <row r="594" spans="1:10" hidden="1" x14ac:dyDescent="0.3">
      <c r="A594" s="76"/>
      <c r="B594" s="77"/>
      <c r="C594" s="78"/>
      <c r="D594" s="78"/>
      <c r="E594" s="78"/>
      <c r="F594" s="78"/>
      <c r="G594" s="68"/>
      <c r="H594" s="84"/>
      <c r="I594" s="84"/>
      <c r="J594" s="69"/>
    </row>
    <row r="595" spans="1:10" hidden="1" x14ac:dyDescent="0.3">
      <c r="A595" s="76"/>
      <c r="B595" s="77"/>
      <c r="C595" s="78"/>
      <c r="D595" s="78"/>
      <c r="E595" s="78"/>
      <c r="F595" s="78"/>
      <c r="G595" s="68"/>
      <c r="H595" s="68"/>
      <c r="I595" s="68"/>
      <c r="J595" s="69"/>
    </row>
    <row r="596" spans="1:10" hidden="1" x14ac:dyDescent="0.3">
      <c r="A596" s="76"/>
      <c r="B596" s="77"/>
      <c r="C596" s="78"/>
      <c r="D596" s="78"/>
      <c r="E596" s="78"/>
      <c r="F596" s="78"/>
      <c r="G596" s="68"/>
      <c r="H596" s="84"/>
      <c r="I596" s="84"/>
      <c r="J596" s="69"/>
    </row>
    <row r="597" spans="1:10" hidden="1" x14ac:dyDescent="0.3">
      <c r="A597" s="76"/>
      <c r="B597" s="77"/>
      <c r="C597" s="78"/>
      <c r="D597" s="78"/>
      <c r="E597" s="78"/>
      <c r="F597" s="78"/>
      <c r="G597" s="68"/>
      <c r="H597" s="68"/>
      <c r="I597" s="68"/>
      <c r="J597" s="69"/>
    </row>
    <row r="598" spans="1:10" hidden="1" x14ac:dyDescent="0.3">
      <c r="A598" s="76"/>
      <c r="B598" s="77"/>
      <c r="C598" s="78"/>
      <c r="D598" s="78"/>
      <c r="E598" s="78"/>
      <c r="F598" s="78"/>
      <c r="G598" s="68"/>
      <c r="H598" s="84"/>
      <c r="I598" s="84"/>
      <c r="J598" s="69"/>
    </row>
    <row r="599" spans="1:10" hidden="1" x14ac:dyDescent="0.3">
      <c r="A599" s="76"/>
      <c r="B599" s="77"/>
      <c r="C599" s="78"/>
      <c r="D599" s="78"/>
      <c r="E599" s="78"/>
      <c r="F599" s="78"/>
      <c r="G599" s="68"/>
      <c r="H599" s="68"/>
      <c r="I599" s="68"/>
      <c r="J599" s="69"/>
    </row>
    <row r="600" spans="1:10" hidden="1" x14ac:dyDescent="0.3">
      <c r="A600" s="76"/>
      <c r="B600" s="77"/>
      <c r="C600" s="78"/>
      <c r="D600" s="78"/>
      <c r="E600" s="78"/>
      <c r="F600" s="78"/>
      <c r="G600" s="68"/>
      <c r="H600" s="84"/>
      <c r="I600" s="84"/>
      <c r="J600" s="69"/>
    </row>
    <row r="601" spans="1:10" hidden="1" x14ac:dyDescent="0.3">
      <c r="A601" s="76"/>
      <c r="B601" s="77"/>
      <c r="C601" s="78"/>
      <c r="D601" s="78"/>
      <c r="E601" s="78"/>
      <c r="F601" s="78"/>
      <c r="G601" s="68"/>
      <c r="H601" s="68"/>
      <c r="I601" s="68"/>
      <c r="J601" s="69"/>
    </row>
    <row r="602" spans="1:10" hidden="1" x14ac:dyDescent="0.3">
      <c r="A602" s="76"/>
      <c r="B602" s="77"/>
      <c r="C602" s="78"/>
      <c r="D602" s="78"/>
      <c r="E602" s="78"/>
      <c r="F602" s="78"/>
      <c r="G602" s="68"/>
      <c r="H602" s="84"/>
      <c r="I602" s="84"/>
      <c r="J602" s="69"/>
    </row>
    <row r="603" spans="1:10" hidden="1" x14ac:dyDescent="0.3">
      <c r="A603" s="76"/>
      <c r="B603" s="77"/>
      <c r="C603" s="78"/>
      <c r="D603" s="78"/>
      <c r="E603" s="78"/>
      <c r="F603" s="78"/>
      <c r="G603" s="68"/>
      <c r="H603" s="84"/>
      <c r="I603" s="84"/>
      <c r="J603" s="69"/>
    </row>
    <row r="604" spans="1:10" hidden="1" x14ac:dyDescent="0.3">
      <c r="A604" s="76"/>
      <c r="B604" s="77"/>
      <c r="C604" s="78"/>
      <c r="D604" s="78"/>
      <c r="E604" s="78"/>
      <c r="F604" s="78"/>
      <c r="G604" s="68"/>
      <c r="H604" s="84"/>
      <c r="I604" s="84"/>
      <c r="J604" s="69"/>
    </row>
    <row r="605" spans="1:10" hidden="1" x14ac:dyDescent="0.3">
      <c r="A605" s="76"/>
      <c r="B605" s="77"/>
      <c r="C605" s="78"/>
      <c r="D605" s="78"/>
      <c r="E605" s="78"/>
      <c r="F605" s="78"/>
      <c r="G605" s="68"/>
      <c r="H605" s="84"/>
      <c r="I605" s="84"/>
      <c r="J605" s="69"/>
    </row>
    <row r="606" spans="1:10" hidden="1" x14ac:dyDescent="0.3">
      <c r="A606" s="76"/>
      <c r="B606" s="234"/>
      <c r="C606" s="235"/>
      <c r="D606" s="235"/>
      <c r="E606" s="78"/>
      <c r="F606" s="78"/>
      <c r="G606" s="68"/>
      <c r="H606" s="68"/>
      <c r="I606" s="68"/>
      <c r="J606" s="69"/>
    </row>
    <row r="607" spans="1:10" hidden="1" x14ac:dyDescent="0.3">
      <c r="A607" s="76"/>
      <c r="B607" s="77"/>
      <c r="C607" s="78"/>
      <c r="D607" s="78"/>
      <c r="E607" s="78"/>
      <c r="F607" s="78"/>
      <c r="G607" s="68"/>
      <c r="H607" s="84"/>
      <c r="I607" s="84"/>
      <c r="J607" s="69"/>
    </row>
    <row r="608" spans="1:10" hidden="1" x14ac:dyDescent="0.3">
      <c r="A608" s="76"/>
      <c r="B608" s="77"/>
      <c r="C608" s="78"/>
      <c r="D608" s="78"/>
      <c r="E608" s="78"/>
      <c r="F608" s="78"/>
      <c r="G608" s="68"/>
      <c r="H608" s="84"/>
      <c r="I608" s="84"/>
      <c r="J608" s="69"/>
    </row>
    <row r="609" spans="1:10" hidden="1" x14ac:dyDescent="0.3">
      <c r="A609" s="76"/>
      <c r="B609" s="77"/>
      <c r="C609" s="78"/>
      <c r="D609" s="78"/>
      <c r="E609" s="78"/>
      <c r="F609" s="78"/>
      <c r="G609" s="68"/>
      <c r="H609" s="84"/>
      <c r="I609" s="84"/>
      <c r="J609" s="69"/>
    </row>
    <row r="610" spans="1:10" hidden="1" x14ac:dyDescent="0.3">
      <c r="A610" s="70" t="s">
        <v>85</v>
      </c>
      <c r="B610" s="71" t="s">
        <v>500</v>
      </c>
      <c r="C610" s="72" t="s">
        <v>52</v>
      </c>
      <c r="D610" s="72" t="s">
        <v>52</v>
      </c>
      <c r="E610" s="72"/>
      <c r="F610" s="72"/>
      <c r="G610" s="73">
        <f>G611+G615+G617</f>
        <v>4065752.13</v>
      </c>
      <c r="H610" s="74">
        <f>H611+H615+H617</f>
        <v>4065752.13</v>
      </c>
      <c r="I610" s="68">
        <f>I611+I615+I617</f>
        <v>0</v>
      </c>
      <c r="J610" s="69">
        <f>H610/G610*100</f>
        <v>100</v>
      </c>
    </row>
    <row r="611" spans="1:10" ht="78" hidden="1" x14ac:dyDescent="0.3">
      <c r="A611" s="89" t="s">
        <v>614</v>
      </c>
      <c r="B611" s="77" t="s">
        <v>500</v>
      </c>
      <c r="C611" s="78" t="s">
        <v>52</v>
      </c>
      <c r="D611" s="78" t="s">
        <v>52</v>
      </c>
      <c r="E611" s="129" t="s">
        <v>615</v>
      </c>
      <c r="F611" s="78"/>
      <c r="G611" s="79">
        <f>G614+G613+G612</f>
        <v>2499412.13</v>
      </c>
      <c r="H611" s="87">
        <f>H614+H613+H612</f>
        <v>2499412.13</v>
      </c>
      <c r="I611" s="68">
        <f>I614+I613</f>
        <v>0</v>
      </c>
      <c r="J611" s="81">
        <f>H611/G611*100</f>
        <v>100</v>
      </c>
    </row>
    <row r="612" spans="1:10" ht="62.4" hidden="1" x14ac:dyDescent="0.3">
      <c r="A612" s="154" t="s">
        <v>616</v>
      </c>
      <c r="B612" s="77" t="s">
        <v>500</v>
      </c>
      <c r="C612" s="78" t="s">
        <v>52</v>
      </c>
      <c r="D612" s="78" t="s">
        <v>52</v>
      </c>
      <c r="E612" s="144" t="s">
        <v>615</v>
      </c>
      <c r="F612" s="78" t="s">
        <v>132</v>
      </c>
      <c r="G612" s="79">
        <v>105000</v>
      </c>
      <c r="H612" s="87">
        <v>105000</v>
      </c>
      <c r="I612" s="68"/>
      <c r="J612" s="81">
        <f>H612/G612*100</f>
        <v>100</v>
      </c>
    </row>
    <row r="613" spans="1:10" ht="78" hidden="1" x14ac:dyDescent="0.3">
      <c r="A613" s="88" t="s">
        <v>617</v>
      </c>
      <c r="B613" s="77" t="s">
        <v>500</v>
      </c>
      <c r="C613" s="78" t="s">
        <v>52</v>
      </c>
      <c r="D613" s="78" t="s">
        <v>52</v>
      </c>
      <c r="E613" s="129" t="s">
        <v>615</v>
      </c>
      <c r="F613" s="78" t="s">
        <v>168</v>
      </c>
      <c r="G613" s="79">
        <v>2394412.13</v>
      </c>
      <c r="H613" s="87">
        <v>2394412.13</v>
      </c>
      <c r="I613" s="68">
        <v>0</v>
      </c>
      <c r="J613" s="81">
        <f>H613/G613*100</f>
        <v>100</v>
      </c>
    </row>
    <row r="614" spans="1:10" hidden="1" x14ac:dyDescent="0.3">
      <c r="A614" s="76"/>
      <c r="B614" s="77"/>
      <c r="C614" s="78"/>
      <c r="D614" s="78"/>
      <c r="E614" s="78"/>
      <c r="F614" s="78"/>
      <c r="G614" s="68"/>
      <c r="H614" s="68"/>
      <c r="I614" s="68"/>
      <c r="J614" s="81"/>
    </row>
    <row r="615" spans="1:10" ht="78" hidden="1" x14ac:dyDescent="0.3">
      <c r="A615" s="89" t="s">
        <v>618</v>
      </c>
      <c r="B615" s="77" t="s">
        <v>500</v>
      </c>
      <c r="C615" s="78" t="s">
        <v>52</v>
      </c>
      <c r="D615" s="78" t="s">
        <v>52</v>
      </c>
      <c r="E615" s="129" t="s">
        <v>619</v>
      </c>
      <c r="F615" s="78"/>
      <c r="G615" s="79">
        <f>G616</f>
        <v>0</v>
      </c>
      <c r="H615" s="87">
        <f>H616</f>
        <v>0</v>
      </c>
      <c r="I615" s="68">
        <f>I616</f>
        <v>0</v>
      </c>
      <c r="J615" s="81">
        <v>0</v>
      </c>
    </row>
    <row r="616" spans="1:10" ht="62.4" hidden="1" x14ac:dyDescent="0.3">
      <c r="A616" s="88" t="s">
        <v>620</v>
      </c>
      <c r="B616" s="77" t="s">
        <v>500</v>
      </c>
      <c r="C616" s="78" t="s">
        <v>52</v>
      </c>
      <c r="D616" s="78" t="s">
        <v>52</v>
      </c>
      <c r="E616" s="129" t="s">
        <v>619</v>
      </c>
      <c r="F616" s="78" t="s">
        <v>168</v>
      </c>
      <c r="G616" s="79">
        <v>0</v>
      </c>
      <c r="H616" s="87">
        <v>0</v>
      </c>
      <c r="I616" s="68">
        <v>0</v>
      </c>
      <c r="J616" s="81">
        <v>0</v>
      </c>
    </row>
    <row r="617" spans="1:10" ht="109.2" hidden="1" x14ac:dyDescent="0.3">
      <c r="A617" s="88" t="s">
        <v>621</v>
      </c>
      <c r="B617" s="77" t="s">
        <v>500</v>
      </c>
      <c r="C617" s="78" t="s">
        <v>52</v>
      </c>
      <c r="D617" s="78" t="s">
        <v>52</v>
      </c>
      <c r="E617" s="129" t="s">
        <v>622</v>
      </c>
      <c r="F617" s="78"/>
      <c r="G617" s="79">
        <f>G620+G618+G619</f>
        <v>1566340</v>
      </c>
      <c r="H617" s="87">
        <f>H620+H618+H619</f>
        <v>1566340</v>
      </c>
      <c r="I617" s="68">
        <f>I620</f>
        <v>0</v>
      </c>
      <c r="J617" s="81">
        <f>H617/G617*100</f>
        <v>100</v>
      </c>
    </row>
    <row r="618" spans="1:10" hidden="1" x14ac:dyDescent="0.3">
      <c r="A618" s="88"/>
      <c r="B618" s="77"/>
      <c r="C618" s="78"/>
      <c r="D618" s="78"/>
      <c r="E618" s="129"/>
      <c r="F618" s="78"/>
      <c r="G618" s="79"/>
      <c r="H618" s="87"/>
      <c r="I618" s="68"/>
      <c r="J618" s="81" t="e">
        <f>H618/G618*100</f>
        <v>#DIV/0!</v>
      </c>
    </row>
    <row r="619" spans="1:10" ht="31.2" hidden="1" x14ac:dyDescent="0.3">
      <c r="A619" s="154" t="s">
        <v>201</v>
      </c>
      <c r="B619" s="236" t="s">
        <v>500</v>
      </c>
      <c r="C619" s="174" t="s">
        <v>52</v>
      </c>
      <c r="D619" s="174" t="s">
        <v>52</v>
      </c>
      <c r="E619" s="144" t="s">
        <v>622</v>
      </c>
      <c r="F619" s="78" t="s">
        <v>132</v>
      </c>
      <c r="G619" s="231">
        <v>239030.39999999999</v>
      </c>
      <c r="H619" s="87">
        <v>239030.39999999999</v>
      </c>
      <c r="I619" s="68"/>
      <c r="J619" s="81">
        <f>H619/G619*100</f>
        <v>100</v>
      </c>
    </row>
    <row r="620" spans="1:10" ht="31.2" hidden="1" x14ac:dyDescent="0.3">
      <c r="A620" s="157" t="s">
        <v>503</v>
      </c>
      <c r="B620" s="77" t="s">
        <v>500</v>
      </c>
      <c r="C620" s="78" t="s">
        <v>52</v>
      </c>
      <c r="D620" s="78" t="s">
        <v>52</v>
      </c>
      <c r="E620" s="129" t="s">
        <v>622</v>
      </c>
      <c r="F620" s="78" t="s">
        <v>168</v>
      </c>
      <c r="G620" s="79">
        <v>1327309.6000000001</v>
      </c>
      <c r="H620" s="87">
        <v>1327309.6000000001</v>
      </c>
      <c r="I620" s="68">
        <v>0</v>
      </c>
      <c r="J620" s="81">
        <f>H620/G620*100</f>
        <v>100</v>
      </c>
    </row>
    <row r="621" spans="1:10" hidden="1" x14ac:dyDescent="0.3">
      <c r="A621" s="70" t="s">
        <v>86</v>
      </c>
      <c r="B621" s="71" t="s">
        <v>500</v>
      </c>
      <c r="C621" s="72" t="s">
        <v>52</v>
      </c>
      <c r="D621" s="72" t="s">
        <v>60</v>
      </c>
      <c r="E621" s="72"/>
      <c r="F621" s="72"/>
      <c r="G621" s="73">
        <f>G622+G626+G630</f>
        <v>24206137.660000004</v>
      </c>
      <c r="H621" s="74">
        <f>H622+H626+H630</f>
        <v>23511936.140000001</v>
      </c>
      <c r="I621" s="146">
        <f>I622+I626+I630+I634</f>
        <v>20485058.32</v>
      </c>
      <c r="J621" s="69">
        <f t="shared" ref="J621:J693" si="27">H621/G621*100</f>
        <v>97.132126034517469</v>
      </c>
    </row>
    <row r="622" spans="1:10" ht="93.6" hidden="1" x14ac:dyDescent="0.3">
      <c r="A622" s="89" t="s">
        <v>623</v>
      </c>
      <c r="B622" s="77" t="s">
        <v>500</v>
      </c>
      <c r="C622" s="78" t="s">
        <v>52</v>
      </c>
      <c r="D622" s="78" t="s">
        <v>60</v>
      </c>
      <c r="E622" s="129" t="s">
        <v>624</v>
      </c>
      <c r="F622" s="78"/>
      <c r="G622" s="79">
        <f>G623+G624+G625</f>
        <v>5523184.1100000003</v>
      </c>
      <c r="H622" s="87">
        <f>H623+H624+H625</f>
        <v>5309169.09</v>
      </c>
      <c r="I622" s="68">
        <f>I623+I624+I625</f>
        <v>5255994</v>
      </c>
      <c r="J622" s="81">
        <f t="shared" si="27"/>
        <v>96.125151439139685</v>
      </c>
    </row>
    <row r="623" spans="1:10" ht="93.6" hidden="1" x14ac:dyDescent="0.3">
      <c r="A623" s="86" t="s">
        <v>625</v>
      </c>
      <c r="B623" s="77" t="s">
        <v>500</v>
      </c>
      <c r="C623" s="78" t="s">
        <v>52</v>
      </c>
      <c r="D623" s="78" t="s">
        <v>60</v>
      </c>
      <c r="E623" s="129" t="s">
        <v>624</v>
      </c>
      <c r="F623" s="78" t="s">
        <v>125</v>
      </c>
      <c r="G623" s="79">
        <v>5416984.1100000003</v>
      </c>
      <c r="H623" s="92">
        <v>5202969.09</v>
      </c>
      <c r="I623" s="84">
        <v>5100000</v>
      </c>
      <c r="J623" s="81">
        <f t="shared" si="27"/>
        <v>96.04918501413141</v>
      </c>
    </row>
    <row r="624" spans="1:10" ht="62.4" hidden="1" x14ac:dyDescent="0.3">
      <c r="A624" s="88" t="s">
        <v>626</v>
      </c>
      <c r="B624" s="77" t="s">
        <v>500</v>
      </c>
      <c r="C624" s="78" t="s">
        <v>52</v>
      </c>
      <c r="D624" s="78" t="s">
        <v>60</v>
      </c>
      <c r="E624" s="129" t="s">
        <v>624</v>
      </c>
      <c r="F624" s="78" t="s">
        <v>132</v>
      </c>
      <c r="G624" s="79">
        <v>106167</v>
      </c>
      <c r="H624" s="92">
        <v>106167</v>
      </c>
      <c r="I624" s="84">
        <v>150000</v>
      </c>
      <c r="J624" s="81">
        <f t="shared" si="27"/>
        <v>100</v>
      </c>
    </row>
    <row r="625" spans="1:10" ht="46.8" hidden="1" x14ac:dyDescent="0.3">
      <c r="A625" s="88" t="s">
        <v>627</v>
      </c>
      <c r="B625" s="77" t="s">
        <v>500</v>
      </c>
      <c r="C625" s="78" t="s">
        <v>52</v>
      </c>
      <c r="D625" s="78" t="s">
        <v>60</v>
      </c>
      <c r="E625" s="129" t="s">
        <v>624</v>
      </c>
      <c r="F625" s="78" t="s">
        <v>134</v>
      </c>
      <c r="G625" s="79">
        <v>33</v>
      </c>
      <c r="H625" s="92">
        <v>33</v>
      </c>
      <c r="I625" s="84">
        <v>5994</v>
      </c>
      <c r="J625" s="81">
        <f t="shared" si="27"/>
        <v>100</v>
      </c>
    </row>
    <row r="626" spans="1:10" ht="109.2" hidden="1" x14ac:dyDescent="0.3">
      <c r="A626" s="89" t="s">
        <v>628</v>
      </c>
      <c r="B626" s="77" t="s">
        <v>500</v>
      </c>
      <c r="C626" s="78" t="s">
        <v>52</v>
      </c>
      <c r="D626" s="78" t="s">
        <v>60</v>
      </c>
      <c r="E626" s="129" t="s">
        <v>629</v>
      </c>
      <c r="F626" s="78"/>
      <c r="G626" s="79">
        <f>G627+G628+G629</f>
        <v>16187799.880000001</v>
      </c>
      <c r="H626" s="87">
        <f>H627+H628+H629</f>
        <v>15819339.9</v>
      </c>
      <c r="I626" s="68">
        <f>I627</f>
        <v>3316417.32</v>
      </c>
      <c r="J626" s="81">
        <f t="shared" si="27"/>
        <v>97.723841518109992</v>
      </c>
    </row>
    <row r="627" spans="1:10" ht="109.2" hidden="1" x14ac:dyDescent="0.3">
      <c r="A627" s="86" t="s">
        <v>630</v>
      </c>
      <c r="B627" s="77" t="s">
        <v>500</v>
      </c>
      <c r="C627" s="78" t="s">
        <v>52</v>
      </c>
      <c r="D627" s="78" t="s">
        <v>60</v>
      </c>
      <c r="E627" s="129" t="s">
        <v>629</v>
      </c>
      <c r="F627" s="78" t="s">
        <v>125</v>
      </c>
      <c r="G627" s="79">
        <v>13399272.48</v>
      </c>
      <c r="H627" s="92">
        <v>13285361.84</v>
      </c>
      <c r="I627" s="84">
        <v>3316417.32</v>
      </c>
      <c r="J627" s="81">
        <f t="shared" si="27"/>
        <v>99.149874441541314</v>
      </c>
    </row>
    <row r="628" spans="1:10" ht="62.4" hidden="1" x14ac:dyDescent="0.3">
      <c r="A628" s="88" t="s">
        <v>631</v>
      </c>
      <c r="B628" s="77" t="s">
        <v>500</v>
      </c>
      <c r="C628" s="78" t="s">
        <v>52</v>
      </c>
      <c r="D628" s="78" t="s">
        <v>60</v>
      </c>
      <c r="E628" s="129" t="s">
        <v>629</v>
      </c>
      <c r="F628" s="78" t="s">
        <v>132</v>
      </c>
      <c r="G628" s="79">
        <v>2774600.4</v>
      </c>
      <c r="H628" s="92">
        <v>2520051.06</v>
      </c>
      <c r="I628" s="84"/>
      <c r="J628" s="81">
        <f t="shared" si="27"/>
        <v>90.825729715889906</v>
      </c>
    </row>
    <row r="629" spans="1:10" ht="62.4" hidden="1" x14ac:dyDescent="0.3">
      <c r="A629" s="88" t="s">
        <v>632</v>
      </c>
      <c r="B629" s="77" t="s">
        <v>500</v>
      </c>
      <c r="C629" s="78" t="s">
        <v>52</v>
      </c>
      <c r="D629" s="78" t="s">
        <v>60</v>
      </c>
      <c r="E629" s="129" t="s">
        <v>629</v>
      </c>
      <c r="F629" s="78" t="s">
        <v>134</v>
      </c>
      <c r="G629" s="79">
        <v>13927</v>
      </c>
      <c r="H629" s="92">
        <v>13927</v>
      </c>
      <c r="I629" s="84"/>
      <c r="J629" s="81">
        <f t="shared" si="27"/>
        <v>100</v>
      </c>
    </row>
    <row r="630" spans="1:10" ht="109.2" hidden="1" x14ac:dyDescent="0.3">
      <c r="A630" s="89" t="s">
        <v>633</v>
      </c>
      <c r="B630" s="77" t="s">
        <v>500</v>
      </c>
      <c r="C630" s="78" t="s">
        <v>52</v>
      </c>
      <c r="D630" s="78" t="s">
        <v>60</v>
      </c>
      <c r="E630" s="129" t="s">
        <v>634</v>
      </c>
      <c r="F630" s="78"/>
      <c r="G630" s="79">
        <f>G631</f>
        <v>2495153.67</v>
      </c>
      <c r="H630" s="87">
        <f>H631</f>
        <v>2383427.15</v>
      </c>
      <c r="I630" s="68">
        <f>I631+I632+I633</f>
        <v>11912647</v>
      </c>
      <c r="J630" s="81">
        <f t="shared" si="27"/>
        <v>95.522258955697907</v>
      </c>
    </row>
    <row r="631" spans="1:10" ht="78" hidden="1" x14ac:dyDescent="0.3">
      <c r="A631" s="88" t="s">
        <v>635</v>
      </c>
      <c r="B631" s="77" t="s">
        <v>500</v>
      </c>
      <c r="C631" s="78" t="s">
        <v>52</v>
      </c>
      <c r="D631" s="78" t="s">
        <v>60</v>
      </c>
      <c r="E631" s="129" t="s">
        <v>634</v>
      </c>
      <c r="F631" s="78" t="s">
        <v>168</v>
      </c>
      <c r="G631" s="79">
        <v>2495153.67</v>
      </c>
      <c r="H631" s="92">
        <v>2383427.15</v>
      </c>
      <c r="I631" s="84">
        <f>11821647+91000</f>
        <v>11912647</v>
      </c>
      <c r="J631" s="81">
        <f t="shared" si="27"/>
        <v>95.522258955697907</v>
      </c>
    </row>
    <row r="632" spans="1:10" hidden="1" x14ac:dyDescent="0.3">
      <c r="A632" s="76"/>
      <c r="B632" s="77"/>
      <c r="C632" s="78"/>
      <c r="D632" s="78"/>
      <c r="E632" s="78"/>
      <c r="F632" s="78"/>
      <c r="G632" s="68"/>
      <c r="H632" s="84"/>
      <c r="I632" s="84"/>
      <c r="J632" s="69"/>
    </row>
    <row r="633" spans="1:10" hidden="1" x14ac:dyDescent="0.3">
      <c r="A633" s="76"/>
      <c r="B633" s="77"/>
      <c r="C633" s="78"/>
      <c r="D633" s="78"/>
      <c r="E633" s="78"/>
      <c r="F633" s="78"/>
      <c r="G633" s="68"/>
      <c r="H633" s="84"/>
      <c r="I633" s="84"/>
      <c r="J633" s="69"/>
    </row>
    <row r="634" spans="1:10" hidden="1" x14ac:dyDescent="0.3">
      <c r="A634" s="76"/>
      <c r="B634" s="77"/>
      <c r="C634" s="78"/>
      <c r="D634" s="78"/>
      <c r="E634" s="78"/>
      <c r="F634" s="78"/>
      <c r="G634" s="68"/>
      <c r="H634" s="68"/>
      <c r="I634" s="68"/>
      <c r="J634" s="69"/>
    </row>
    <row r="635" spans="1:10" hidden="1" x14ac:dyDescent="0.3">
      <c r="A635" s="76"/>
      <c r="B635" s="77"/>
      <c r="C635" s="78"/>
      <c r="D635" s="78"/>
      <c r="E635" s="78"/>
      <c r="F635" s="78"/>
      <c r="G635" s="68"/>
      <c r="H635" s="84"/>
      <c r="I635" s="84"/>
      <c r="J635" s="69"/>
    </row>
    <row r="636" spans="1:10" hidden="1" x14ac:dyDescent="0.3">
      <c r="A636" s="76"/>
      <c r="B636" s="77"/>
      <c r="C636" s="78"/>
      <c r="D636" s="78"/>
      <c r="E636" s="78"/>
      <c r="F636" s="78"/>
      <c r="G636" s="68"/>
      <c r="H636" s="84"/>
      <c r="I636" s="84"/>
      <c r="J636" s="69"/>
    </row>
    <row r="637" spans="1:10" hidden="1" x14ac:dyDescent="0.3">
      <c r="A637" s="70" t="s">
        <v>92</v>
      </c>
      <c r="B637" s="71" t="s">
        <v>500</v>
      </c>
      <c r="C637" s="72" t="s">
        <v>62</v>
      </c>
      <c r="D637" s="72" t="s">
        <v>40</v>
      </c>
      <c r="E637" s="72"/>
      <c r="F637" s="72"/>
      <c r="G637" s="74">
        <f>G638+G642</f>
        <v>28524819.640000001</v>
      </c>
      <c r="H637" s="74">
        <f>H638+H642</f>
        <v>28039636.789999999</v>
      </c>
      <c r="I637" s="68">
        <f>I638+I642</f>
        <v>34868800</v>
      </c>
      <c r="J637" s="69">
        <f t="shared" si="27"/>
        <v>98.299085301420675</v>
      </c>
    </row>
    <row r="638" spans="1:10" hidden="1" x14ac:dyDescent="0.3">
      <c r="A638" s="70" t="s">
        <v>93</v>
      </c>
      <c r="B638" s="71" t="s">
        <v>500</v>
      </c>
      <c r="C638" s="72" t="s">
        <v>62</v>
      </c>
      <c r="D638" s="72" t="s">
        <v>39</v>
      </c>
      <c r="E638" s="72"/>
      <c r="F638" s="72"/>
      <c r="G638" s="73">
        <f>G639</f>
        <v>395296</v>
      </c>
      <c r="H638" s="74">
        <f>H639</f>
        <v>395296</v>
      </c>
      <c r="I638" s="68">
        <f>I639</f>
        <v>355200</v>
      </c>
      <c r="J638" s="69">
        <f t="shared" si="27"/>
        <v>100</v>
      </c>
    </row>
    <row r="639" spans="1:10" ht="109.2" hidden="1" x14ac:dyDescent="0.3">
      <c r="A639" s="106" t="s">
        <v>396</v>
      </c>
      <c r="B639" s="77" t="s">
        <v>500</v>
      </c>
      <c r="C639" s="78" t="s">
        <v>62</v>
      </c>
      <c r="D639" s="78" t="s">
        <v>39</v>
      </c>
      <c r="E639" s="129" t="s">
        <v>397</v>
      </c>
      <c r="F639" s="78"/>
      <c r="G639" s="79">
        <f>G641+G640</f>
        <v>395296</v>
      </c>
      <c r="H639" s="87">
        <f>H641+H640</f>
        <v>395296</v>
      </c>
      <c r="I639" s="68">
        <f>I641</f>
        <v>355200</v>
      </c>
      <c r="J639" s="81">
        <f t="shared" si="27"/>
        <v>100</v>
      </c>
    </row>
    <row r="640" spans="1:10" ht="140.4" hidden="1" x14ac:dyDescent="0.3">
      <c r="A640" s="108" t="s">
        <v>636</v>
      </c>
      <c r="B640" s="237" t="s">
        <v>500</v>
      </c>
      <c r="C640" s="143" t="s">
        <v>62</v>
      </c>
      <c r="D640" s="143" t="s">
        <v>39</v>
      </c>
      <c r="E640" s="143" t="s">
        <v>397</v>
      </c>
      <c r="F640" s="78" t="s">
        <v>132</v>
      </c>
      <c r="G640" s="79">
        <v>2496</v>
      </c>
      <c r="H640" s="87">
        <v>2496</v>
      </c>
      <c r="I640" s="68"/>
      <c r="J640" s="81">
        <f t="shared" si="27"/>
        <v>100</v>
      </c>
    </row>
    <row r="641" spans="1:10" ht="124.8" hidden="1" x14ac:dyDescent="0.3">
      <c r="A641" s="86" t="s">
        <v>398</v>
      </c>
      <c r="B641" s="77" t="s">
        <v>500</v>
      </c>
      <c r="C641" s="78" t="s">
        <v>62</v>
      </c>
      <c r="D641" s="78" t="s">
        <v>39</v>
      </c>
      <c r="E641" s="129" t="s">
        <v>397</v>
      </c>
      <c r="F641" s="78" t="s">
        <v>395</v>
      </c>
      <c r="G641" s="79">
        <v>392800</v>
      </c>
      <c r="H641" s="87">
        <v>392800</v>
      </c>
      <c r="I641" s="84">
        <v>355200</v>
      </c>
      <c r="J641" s="81">
        <f t="shared" si="27"/>
        <v>100</v>
      </c>
    </row>
    <row r="642" spans="1:10" hidden="1" x14ac:dyDescent="0.3">
      <c r="A642" s="70" t="s">
        <v>95</v>
      </c>
      <c r="B642" s="71" t="s">
        <v>500</v>
      </c>
      <c r="C642" s="72" t="s">
        <v>62</v>
      </c>
      <c r="D642" s="72" t="s">
        <v>46</v>
      </c>
      <c r="E642" s="72"/>
      <c r="F642" s="72"/>
      <c r="G642" s="73">
        <f>G643+G648+G651+G654+G645+G658</f>
        <v>28129523.640000001</v>
      </c>
      <c r="H642" s="73">
        <f>H645+H648+H651+H654+H658</f>
        <v>27644340.789999999</v>
      </c>
      <c r="I642" s="68">
        <f>I643+I648+I651+I654+I645</f>
        <v>34513600</v>
      </c>
      <c r="J642" s="69">
        <f t="shared" si="27"/>
        <v>98.275182842733699</v>
      </c>
    </row>
    <row r="643" spans="1:10" ht="62.4" hidden="1" x14ac:dyDescent="0.3">
      <c r="A643" s="76" t="s">
        <v>637</v>
      </c>
      <c r="B643" s="77" t="s">
        <v>500</v>
      </c>
      <c r="C643" s="78" t="s">
        <v>62</v>
      </c>
      <c r="D643" s="78" t="s">
        <v>46</v>
      </c>
      <c r="E643" s="78" t="s">
        <v>638</v>
      </c>
      <c r="F643" s="78"/>
      <c r="G643" s="68">
        <f>G644</f>
        <v>0</v>
      </c>
      <c r="H643" s="68">
        <f>H644</f>
        <v>0</v>
      </c>
      <c r="I643" s="68">
        <f>I644</f>
        <v>0</v>
      </c>
      <c r="J643" s="69" t="e">
        <f t="shared" si="27"/>
        <v>#DIV/0!</v>
      </c>
    </row>
    <row r="644" spans="1:10" hidden="1" x14ac:dyDescent="0.3">
      <c r="A644" s="76" t="s">
        <v>639</v>
      </c>
      <c r="B644" s="77" t="s">
        <v>500</v>
      </c>
      <c r="C644" s="78" t="s">
        <v>62</v>
      </c>
      <c r="D644" s="78" t="s">
        <v>46</v>
      </c>
      <c r="E644" s="78" t="s">
        <v>638</v>
      </c>
      <c r="F644" s="78" t="s">
        <v>395</v>
      </c>
      <c r="G644" s="68">
        <v>0</v>
      </c>
      <c r="H644" s="84">
        <v>0</v>
      </c>
      <c r="I644" s="84">
        <v>0</v>
      </c>
      <c r="J644" s="69" t="e">
        <f t="shared" si="27"/>
        <v>#DIV/0!</v>
      </c>
    </row>
    <row r="645" spans="1:10" ht="78" hidden="1" x14ac:dyDescent="0.3">
      <c r="A645" s="89" t="s">
        <v>640</v>
      </c>
      <c r="B645" s="77" t="s">
        <v>500</v>
      </c>
      <c r="C645" s="78" t="s">
        <v>62</v>
      </c>
      <c r="D645" s="78" t="s">
        <v>46</v>
      </c>
      <c r="E645" s="129" t="s">
        <v>641</v>
      </c>
      <c r="F645" s="78"/>
      <c r="G645" s="79">
        <f>G647+G646</f>
        <v>1601856</v>
      </c>
      <c r="H645" s="87">
        <f>H647+H646</f>
        <v>1409436.56</v>
      </c>
      <c r="I645" s="68">
        <f>I647</f>
        <v>3919800</v>
      </c>
      <c r="J645" s="81">
        <f t="shared" si="27"/>
        <v>87.987719245675024</v>
      </c>
    </row>
    <row r="646" spans="1:10" ht="46.8" hidden="1" x14ac:dyDescent="0.3">
      <c r="A646" s="198" t="s">
        <v>642</v>
      </c>
      <c r="B646" s="77" t="s">
        <v>500</v>
      </c>
      <c r="C646" s="78" t="s">
        <v>62</v>
      </c>
      <c r="D646" s="78" t="s">
        <v>46</v>
      </c>
      <c r="E646" s="144" t="s">
        <v>641</v>
      </c>
      <c r="F646" s="78" t="s">
        <v>132</v>
      </c>
      <c r="G646" s="79">
        <v>13034.64</v>
      </c>
      <c r="H646" s="87">
        <v>12348.56</v>
      </c>
      <c r="I646" s="68"/>
      <c r="J646" s="81">
        <f t="shared" si="27"/>
        <v>94.736486776773276</v>
      </c>
    </row>
    <row r="647" spans="1:10" ht="46.8" hidden="1" x14ac:dyDescent="0.3">
      <c r="A647" s="88" t="s">
        <v>643</v>
      </c>
      <c r="B647" s="77" t="s">
        <v>500</v>
      </c>
      <c r="C647" s="78" t="s">
        <v>62</v>
      </c>
      <c r="D647" s="78" t="s">
        <v>46</v>
      </c>
      <c r="E647" s="129" t="s">
        <v>641</v>
      </c>
      <c r="F647" s="78" t="s">
        <v>395</v>
      </c>
      <c r="G647" s="79">
        <v>1588821.36</v>
      </c>
      <c r="H647" s="92">
        <v>1397088</v>
      </c>
      <c r="I647" s="84">
        <v>3919800</v>
      </c>
      <c r="J647" s="81">
        <f t="shared" si="27"/>
        <v>87.932352571090817</v>
      </c>
    </row>
    <row r="648" spans="1:10" ht="109.2" hidden="1" x14ac:dyDescent="0.3">
      <c r="A648" s="89" t="s">
        <v>644</v>
      </c>
      <c r="B648" s="77" t="s">
        <v>500</v>
      </c>
      <c r="C648" s="78" t="s">
        <v>62</v>
      </c>
      <c r="D648" s="78" t="s">
        <v>46</v>
      </c>
      <c r="E648" s="129" t="s">
        <v>645</v>
      </c>
      <c r="F648" s="78"/>
      <c r="G648" s="79">
        <f>G650+G649</f>
        <v>68420.77</v>
      </c>
      <c r="H648" s="87">
        <f>H650+H649</f>
        <v>61507.38</v>
      </c>
      <c r="I648" s="68">
        <f>I650</f>
        <v>9839200</v>
      </c>
      <c r="J648" s="81">
        <f t="shared" si="27"/>
        <v>89.895772877154101</v>
      </c>
    </row>
    <row r="649" spans="1:10" ht="78" hidden="1" x14ac:dyDescent="0.3">
      <c r="A649" s="103" t="s">
        <v>646</v>
      </c>
      <c r="B649" s="77" t="s">
        <v>500</v>
      </c>
      <c r="C649" s="78" t="s">
        <v>62</v>
      </c>
      <c r="D649" s="78" t="s">
        <v>46</v>
      </c>
      <c r="E649" s="129" t="s">
        <v>645</v>
      </c>
      <c r="F649" s="78" t="s">
        <v>132</v>
      </c>
      <c r="G649" s="79">
        <v>136.38</v>
      </c>
      <c r="H649" s="87">
        <v>136.38</v>
      </c>
      <c r="I649" s="68"/>
      <c r="J649" s="81">
        <f t="shared" si="27"/>
        <v>100</v>
      </c>
    </row>
    <row r="650" spans="1:10" ht="78" hidden="1" x14ac:dyDescent="0.3">
      <c r="A650" s="88" t="s">
        <v>647</v>
      </c>
      <c r="B650" s="77" t="s">
        <v>500</v>
      </c>
      <c r="C650" s="78" t="s">
        <v>62</v>
      </c>
      <c r="D650" s="78" t="s">
        <v>46</v>
      </c>
      <c r="E650" s="129" t="s">
        <v>645</v>
      </c>
      <c r="F650" s="78" t="s">
        <v>395</v>
      </c>
      <c r="G650" s="79">
        <v>68284.39</v>
      </c>
      <c r="H650" s="92">
        <v>61371</v>
      </c>
      <c r="I650" s="84">
        <v>9839200</v>
      </c>
      <c r="J650" s="81">
        <f t="shared" si="27"/>
        <v>89.875592357199068</v>
      </c>
    </row>
    <row r="651" spans="1:10" ht="109.2" hidden="1" x14ac:dyDescent="0.3">
      <c r="A651" s="89" t="s">
        <v>648</v>
      </c>
      <c r="B651" s="77" t="s">
        <v>500</v>
      </c>
      <c r="C651" s="78" t="s">
        <v>62</v>
      </c>
      <c r="D651" s="78" t="s">
        <v>46</v>
      </c>
      <c r="E651" s="129" t="s">
        <v>649</v>
      </c>
      <c r="F651" s="78"/>
      <c r="G651" s="79">
        <f>G653+G652</f>
        <v>13882117.26</v>
      </c>
      <c r="H651" s="87">
        <f>H653+H652</f>
        <v>13766859.890000001</v>
      </c>
      <c r="I651" s="68">
        <f>I653</f>
        <v>19251400</v>
      </c>
      <c r="J651" s="81">
        <f t="shared" si="27"/>
        <v>99.169742137734985</v>
      </c>
    </row>
    <row r="652" spans="1:10" ht="78" hidden="1" x14ac:dyDescent="0.3">
      <c r="A652" s="154" t="s">
        <v>650</v>
      </c>
      <c r="B652" s="77" t="s">
        <v>500</v>
      </c>
      <c r="C652" s="78" t="s">
        <v>62</v>
      </c>
      <c r="D652" s="78" t="s">
        <v>46</v>
      </c>
      <c r="E652" s="144" t="s">
        <v>649</v>
      </c>
      <c r="F652" s="78" t="s">
        <v>132</v>
      </c>
      <c r="G652" s="79">
        <v>0</v>
      </c>
      <c r="H652" s="87">
        <v>0</v>
      </c>
      <c r="I652" s="68"/>
      <c r="J652" s="81">
        <v>0</v>
      </c>
    </row>
    <row r="653" spans="1:10" ht="78" hidden="1" x14ac:dyDescent="0.3">
      <c r="A653" s="88" t="s">
        <v>651</v>
      </c>
      <c r="B653" s="77" t="s">
        <v>500</v>
      </c>
      <c r="C653" s="78" t="s">
        <v>62</v>
      </c>
      <c r="D653" s="78" t="s">
        <v>46</v>
      </c>
      <c r="E653" s="129" t="s">
        <v>649</v>
      </c>
      <c r="F653" s="78" t="s">
        <v>395</v>
      </c>
      <c r="G653" s="79">
        <v>13882117.26</v>
      </c>
      <c r="H653" s="92">
        <v>13766859.890000001</v>
      </c>
      <c r="I653" s="84">
        <v>19251400</v>
      </c>
      <c r="J653" s="81">
        <f t="shared" si="27"/>
        <v>99.169742137734985</v>
      </c>
    </row>
    <row r="654" spans="1:10" ht="93.6" hidden="1" x14ac:dyDescent="0.3">
      <c r="A654" s="106" t="s">
        <v>652</v>
      </c>
      <c r="B654" s="77" t="s">
        <v>500</v>
      </c>
      <c r="C654" s="78" t="s">
        <v>62</v>
      </c>
      <c r="D654" s="78" t="s">
        <v>46</v>
      </c>
      <c r="E654" s="129" t="s">
        <v>653</v>
      </c>
      <c r="F654" s="78"/>
      <c r="G654" s="79">
        <f>G656+G657+G655</f>
        <v>10826938.460000001</v>
      </c>
      <c r="H654" s="87">
        <f>H656+H657+H655</f>
        <v>10826938.460000001</v>
      </c>
      <c r="I654" s="68">
        <f>I656</f>
        <v>1503200</v>
      </c>
      <c r="J654" s="81">
        <f t="shared" si="27"/>
        <v>100</v>
      </c>
    </row>
    <row r="655" spans="1:10" ht="109.2" hidden="1" x14ac:dyDescent="0.3">
      <c r="A655" s="108" t="s">
        <v>654</v>
      </c>
      <c r="B655" s="77" t="s">
        <v>500</v>
      </c>
      <c r="C655" s="78" t="s">
        <v>62</v>
      </c>
      <c r="D655" s="78" t="s">
        <v>46</v>
      </c>
      <c r="E655" s="143" t="s">
        <v>653</v>
      </c>
      <c r="F655" s="78" t="s">
        <v>132</v>
      </c>
      <c r="G655" s="79">
        <v>23679.05</v>
      </c>
      <c r="H655" s="87">
        <v>23679.05</v>
      </c>
      <c r="I655" s="68"/>
      <c r="J655" s="81">
        <f t="shared" si="27"/>
        <v>100</v>
      </c>
    </row>
    <row r="656" spans="1:10" ht="109.2" hidden="1" x14ac:dyDescent="0.3">
      <c r="A656" s="86" t="s">
        <v>655</v>
      </c>
      <c r="B656" s="77" t="s">
        <v>500</v>
      </c>
      <c r="C656" s="78" t="s">
        <v>62</v>
      </c>
      <c r="D656" s="78" t="s">
        <v>46</v>
      </c>
      <c r="E656" s="129" t="s">
        <v>653</v>
      </c>
      <c r="F656" s="78" t="s">
        <v>395</v>
      </c>
      <c r="G656" s="79">
        <v>3499697.74</v>
      </c>
      <c r="H656" s="92">
        <v>3499697.74</v>
      </c>
      <c r="I656" s="84">
        <v>1503200</v>
      </c>
      <c r="J656" s="81">
        <f t="shared" si="27"/>
        <v>100</v>
      </c>
    </row>
    <row r="657" spans="1:10" ht="78" hidden="1" x14ac:dyDescent="0.3">
      <c r="A657" s="88" t="s">
        <v>635</v>
      </c>
      <c r="B657" s="77" t="s">
        <v>500</v>
      </c>
      <c r="C657" s="78" t="s">
        <v>62</v>
      </c>
      <c r="D657" s="78" t="s">
        <v>46</v>
      </c>
      <c r="E657" s="129" t="s">
        <v>653</v>
      </c>
      <c r="F657" s="78" t="s">
        <v>168</v>
      </c>
      <c r="G657" s="79">
        <v>7303561.6699999999</v>
      </c>
      <c r="H657" s="92">
        <v>7303561.6699999999</v>
      </c>
      <c r="I657" s="84"/>
      <c r="J657" s="81">
        <f t="shared" si="27"/>
        <v>100</v>
      </c>
    </row>
    <row r="658" spans="1:10" ht="93.6" hidden="1" x14ac:dyDescent="0.3">
      <c r="A658" s="89" t="s">
        <v>656</v>
      </c>
      <c r="B658" s="77" t="s">
        <v>500</v>
      </c>
      <c r="C658" s="78" t="s">
        <v>62</v>
      </c>
      <c r="D658" s="78" t="s">
        <v>46</v>
      </c>
      <c r="E658" s="129" t="s">
        <v>657</v>
      </c>
      <c r="F658" s="78"/>
      <c r="G658" s="79">
        <f>G659+G660</f>
        <v>1750191.15</v>
      </c>
      <c r="H658" s="87">
        <f>H659+H660</f>
        <v>1579598.5</v>
      </c>
      <c r="I658" s="84"/>
      <c r="J658" s="81">
        <f t="shared" si="27"/>
        <v>90.252913231791851</v>
      </c>
    </row>
    <row r="659" spans="1:10" ht="93.6" hidden="1" x14ac:dyDescent="0.3">
      <c r="A659" s="86" t="s">
        <v>658</v>
      </c>
      <c r="B659" s="77" t="s">
        <v>500</v>
      </c>
      <c r="C659" s="78" t="s">
        <v>62</v>
      </c>
      <c r="D659" s="78" t="s">
        <v>46</v>
      </c>
      <c r="E659" s="129" t="s">
        <v>657</v>
      </c>
      <c r="F659" s="78" t="s">
        <v>125</v>
      </c>
      <c r="G659" s="79">
        <v>1455055.15</v>
      </c>
      <c r="H659" s="92">
        <v>1297428.29</v>
      </c>
      <c r="I659" s="84"/>
      <c r="J659" s="81">
        <f t="shared" si="27"/>
        <v>89.166949445180833</v>
      </c>
    </row>
    <row r="660" spans="1:10" ht="62.4" hidden="1" x14ac:dyDescent="0.3">
      <c r="A660" s="88" t="s">
        <v>659</v>
      </c>
      <c r="B660" s="77" t="s">
        <v>500</v>
      </c>
      <c r="C660" s="78" t="s">
        <v>62</v>
      </c>
      <c r="D660" s="78" t="s">
        <v>46</v>
      </c>
      <c r="E660" s="129" t="s">
        <v>657</v>
      </c>
      <c r="F660" s="78" t="s">
        <v>132</v>
      </c>
      <c r="G660" s="79">
        <v>295136</v>
      </c>
      <c r="H660" s="92">
        <v>282170.21000000002</v>
      </c>
      <c r="I660" s="84"/>
      <c r="J660" s="81">
        <f t="shared" si="27"/>
        <v>95.606842269326691</v>
      </c>
    </row>
    <row r="661" spans="1:10" ht="18" x14ac:dyDescent="0.35">
      <c r="A661" s="63" t="s">
        <v>660</v>
      </c>
      <c r="B661" s="64" t="s">
        <v>661</v>
      </c>
      <c r="C661" s="65"/>
      <c r="D661" s="65"/>
      <c r="E661" s="65"/>
      <c r="F661" s="65"/>
      <c r="G661" s="67">
        <f>(G662+G674+G678+G686+G704)/1000</f>
        <v>26811.096659999999</v>
      </c>
      <c r="H661" s="67">
        <f>(H662+H674+H678+H686+H704)/1000</f>
        <v>25418.657859999999</v>
      </c>
      <c r="I661" s="158">
        <f>I662+I674+I678+I686+I704</f>
        <v>7465039.6899999995</v>
      </c>
      <c r="J661" s="69">
        <f t="shared" si="27"/>
        <v>94.806483234692124</v>
      </c>
    </row>
    <row r="662" spans="1:10" hidden="1" x14ac:dyDescent="0.3">
      <c r="A662" s="70" t="s">
        <v>41</v>
      </c>
      <c r="B662" s="71" t="s">
        <v>661</v>
      </c>
      <c r="C662" s="72" t="s">
        <v>39</v>
      </c>
      <c r="D662" s="72" t="s">
        <v>40</v>
      </c>
      <c r="E662" s="72"/>
      <c r="F662" s="72"/>
      <c r="G662" s="73">
        <f>G663</f>
        <v>8254575.4900000002</v>
      </c>
      <c r="H662" s="74">
        <f>H663</f>
        <v>7511427.5200000005</v>
      </c>
      <c r="I662" s="68">
        <f>I663</f>
        <v>4952842</v>
      </c>
      <c r="J662" s="69">
        <f t="shared" si="27"/>
        <v>90.997138848626619</v>
      </c>
    </row>
    <row r="663" spans="1:10" hidden="1" x14ac:dyDescent="0.3">
      <c r="A663" s="70" t="s">
        <v>57</v>
      </c>
      <c r="B663" s="71" t="s">
        <v>661</v>
      </c>
      <c r="C663" s="72" t="s">
        <v>39</v>
      </c>
      <c r="D663" s="72" t="s">
        <v>56</v>
      </c>
      <c r="E663" s="72"/>
      <c r="F663" s="72"/>
      <c r="G663" s="73">
        <f>G664+G668+G671</f>
        <v>8254575.4900000002</v>
      </c>
      <c r="H663" s="74">
        <f>H664+H668+H671</f>
        <v>7511427.5200000005</v>
      </c>
      <c r="I663" s="68">
        <f>I664+I668+I671</f>
        <v>4952842</v>
      </c>
      <c r="J663" s="69">
        <f t="shared" si="27"/>
        <v>90.997138848626619</v>
      </c>
    </row>
    <row r="664" spans="1:10" ht="109.2" hidden="1" x14ac:dyDescent="0.3">
      <c r="A664" s="89" t="s">
        <v>662</v>
      </c>
      <c r="B664" s="77" t="s">
        <v>661</v>
      </c>
      <c r="C664" s="78" t="s">
        <v>39</v>
      </c>
      <c r="D664" s="78" t="s">
        <v>56</v>
      </c>
      <c r="E664" s="129" t="s">
        <v>663</v>
      </c>
      <c r="F664" s="78"/>
      <c r="G664" s="79">
        <f>G665+G666+G667</f>
        <v>5262585.96</v>
      </c>
      <c r="H664" s="87">
        <f>H665+H666+H667</f>
        <v>5129383.4000000004</v>
      </c>
      <c r="I664" s="68">
        <f>I665+I666+I667</f>
        <v>4336342</v>
      </c>
      <c r="J664" s="81">
        <f t="shared" si="27"/>
        <v>97.468876308863187</v>
      </c>
    </row>
    <row r="665" spans="1:10" ht="109.2" hidden="1" x14ac:dyDescent="0.3">
      <c r="A665" s="86" t="s">
        <v>664</v>
      </c>
      <c r="B665" s="77" t="s">
        <v>661</v>
      </c>
      <c r="C665" s="78" t="s">
        <v>39</v>
      </c>
      <c r="D665" s="78" t="s">
        <v>56</v>
      </c>
      <c r="E665" s="129" t="s">
        <v>663</v>
      </c>
      <c r="F665" s="78" t="s">
        <v>125</v>
      </c>
      <c r="G665" s="79">
        <v>5014330.96</v>
      </c>
      <c r="H665" s="92">
        <v>4882024.1100000003</v>
      </c>
      <c r="I665" s="84">
        <v>4142000</v>
      </c>
      <c r="J665" s="81">
        <f t="shared" si="27"/>
        <v>97.361425660662832</v>
      </c>
    </row>
    <row r="666" spans="1:10" ht="62.4" hidden="1" x14ac:dyDescent="0.3">
      <c r="A666" s="88" t="s">
        <v>665</v>
      </c>
      <c r="B666" s="77" t="s">
        <v>661</v>
      </c>
      <c r="C666" s="78" t="s">
        <v>39</v>
      </c>
      <c r="D666" s="78" t="s">
        <v>56</v>
      </c>
      <c r="E666" s="129" t="s">
        <v>663</v>
      </c>
      <c r="F666" s="78" t="s">
        <v>132</v>
      </c>
      <c r="G666" s="79">
        <v>244874</v>
      </c>
      <c r="H666" s="92">
        <v>244359.29</v>
      </c>
      <c r="I666" s="84">
        <v>194000</v>
      </c>
      <c r="J666" s="81">
        <f t="shared" si="27"/>
        <v>99.789806186038533</v>
      </c>
    </row>
    <row r="667" spans="1:10" ht="46.8" hidden="1" x14ac:dyDescent="0.3">
      <c r="A667" s="88" t="s">
        <v>666</v>
      </c>
      <c r="B667" s="77" t="s">
        <v>661</v>
      </c>
      <c r="C667" s="78" t="s">
        <v>39</v>
      </c>
      <c r="D667" s="78" t="s">
        <v>56</v>
      </c>
      <c r="E667" s="129" t="s">
        <v>663</v>
      </c>
      <c r="F667" s="78" t="s">
        <v>134</v>
      </c>
      <c r="G667" s="79">
        <v>3381</v>
      </c>
      <c r="H667" s="92">
        <v>3000</v>
      </c>
      <c r="I667" s="84">
        <v>342</v>
      </c>
      <c r="J667" s="81">
        <f t="shared" si="27"/>
        <v>88.731144631765744</v>
      </c>
    </row>
    <row r="668" spans="1:10" ht="124.8" hidden="1" x14ac:dyDescent="0.3">
      <c r="A668" s="89" t="s">
        <v>162</v>
      </c>
      <c r="B668" s="77" t="s">
        <v>661</v>
      </c>
      <c r="C668" s="78" t="s">
        <v>39</v>
      </c>
      <c r="D668" s="78" t="s">
        <v>56</v>
      </c>
      <c r="E668" s="129" t="s">
        <v>163</v>
      </c>
      <c r="F668" s="78"/>
      <c r="G668" s="79">
        <f>G669+G670</f>
        <v>2991989.53</v>
      </c>
      <c r="H668" s="87">
        <f>H669+H670</f>
        <v>2382044.12</v>
      </c>
      <c r="I668" s="68">
        <f>I669</f>
        <v>616500</v>
      </c>
      <c r="J668" s="81">
        <f t="shared" si="27"/>
        <v>79.614052660137489</v>
      </c>
    </row>
    <row r="669" spans="1:10" ht="78" hidden="1" x14ac:dyDescent="0.3">
      <c r="A669" s="88" t="s">
        <v>164</v>
      </c>
      <c r="B669" s="77" t="s">
        <v>661</v>
      </c>
      <c r="C669" s="78" t="s">
        <v>39</v>
      </c>
      <c r="D669" s="78" t="s">
        <v>56</v>
      </c>
      <c r="E669" s="129" t="s">
        <v>163</v>
      </c>
      <c r="F669" s="78" t="s">
        <v>132</v>
      </c>
      <c r="G669" s="79">
        <v>2943863.53</v>
      </c>
      <c r="H669" s="92">
        <v>2380394.12</v>
      </c>
      <c r="I669" s="84">
        <v>616500</v>
      </c>
      <c r="J669" s="81">
        <f t="shared" si="27"/>
        <v>80.859526800143485</v>
      </c>
    </row>
    <row r="670" spans="1:10" ht="46.8" hidden="1" x14ac:dyDescent="0.3">
      <c r="A670" s="88" t="s">
        <v>666</v>
      </c>
      <c r="B670" s="77" t="s">
        <v>661</v>
      </c>
      <c r="C670" s="78" t="s">
        <v>39</v>
      </c>
      <c r="D670" s="78" t="s">
        <v>56</v>
      </c>
      <c r="E670" s="129" t="s">
        <v>163</v>
      </c>
      <c r="F670" s="78" t="s">
        <v>134</v>
      </c>
      <c r="G670" s="79">
        <v>48126</v>
      </c>
      <c r="H670" s="92">
        <v>1650</v>
      </c>
      <c r="I670" s="84"/>
      <c r="J670" s="81">
        <f t="shared" si="27"/>
        <v>3.4285001870091008</v>
      </c>
    </row>
    <row r="671" spans="1:10" hidden="1" x14ac:dyDescent="0.3">
      <c r="A671" s="76"/>
      <c r="B671" s="77"/>
      <c r="C671" s="78"/>
      <c r="D671" s="78"/>
      <c r="E671" s="78"/>
      <c r="F671" s="78"/>
      <c r="G671" s="68"/>
      <c r="H671" s="68"/>
      <c r="I671" s="68"/>
      <c r="J671" s="69"/>
    </row>
    <row r="672" spans="1:10" hidden="1" x14ac:dyDescent="0.3">
      <c r="A672" s="76"/>
      <c r="B672" s="77"/>
      <c r="C672" s="78"/>
      <c r="D672" s="78"/>
      <c r="E672" s="78"/>
      <c r="F672" s="78"/>
      <c r="G672" s="68"/>
      <c r="H672" s="84"/>
      <c r="I672" s="84"/>
      <c r="J672" s="69"/>
    </row>
    <row r="673" spans="1:10" hidden="1" x14ac:dyDescent="0.3">
      <c r="A673" s="76"/>
      <c r="B673" s="77"/>
      <c r="C673" s="78"/>
      <c r="D673" s="78"/>
      <c r="E673" s="78"/>
      <c r="F673" s="78"/>
      <c r="G673" s="68"/>
      <c r="H673" s="84"/>
      <c r="I673" s="84"/>
      <c r="J673" s="69"/>
    </row>
    <row r="674" spans="1:10" hidden="1" x14ac:dyDescent="0.3">
      <c r="A674" s="70" t="s">
        <v>58</v>
      </c>
      <c r="B674" s="71" t="s">
        <v>661</v>
      </c>
      <c r="C674" s="72" t="s">
        <v>44</v>
      </c>
      <c r="D674" s="72" t="s">
        <v>40</v>
      </c>
      <c r="E674" s="72"/>
      <c r="F674" s="72"/>
      <c r="G674" s="73">
        <f>G675</f>
        <v>2147749.9900000002</v>
      </c>
      <c r="H674" s="74">
        <f>H675</f>
        <v>1951704.47</v>
      </c>
      <c r="I674" s="146">
        <f t="shared" ref="H674:I676" si="28">I675</f>
        <v>2512197.69</v>
      </c>
      <c r="J674" s="69">
        <f t="shared" si="27"/>
        <v>90.872051173889176</v>
      </c>
    </row>
    <row r="675" spans="1:10" ht="31.2" hidden="1" x14ac:dyDescent="0.3">
      <c r="A675" s="70" t="s">
        <v>61</v>
      </c>
      <c r="B675" s="71" t="s">
        <v>661</v>
      </c>
      <c r="C675" s="72" t="s">
        <v>44</v>
      </c>
      <c r="D675" s="72" t="s">
        <v>60</v>
      </c>
      <c r="E675" s="72"/>
      <c r="F675" s="72"/>
      <c r="G675" s="73">
        <f>G676</f>
        <v>2147749.9900000002</v>
      </c>
      <c r="H675" s="74">
        <f t="shared" si="28"/>
        <v>1951704.47</v>
      </c>
      <c r="I675" s="146">
        <f t="shared" si="28"/>
        <v>2512197.69</v>
      </c>
      <c r="J675" s="69">
        <f t="shared" si="27"/>
        <v>90.872051173889176</v>
      </c>
    </row>
    <row r="676" spans="1:10" ht="124.8" hidden="1" x14ac:dyDescent="0.3">
      <c r="A676" s="89" t="s">
        <v>667</v>
      </c>
      <c r="B676" s="77" t="s">
        <v>661</v>
      </c>
      <c r="C676" s="78" t="s">
        <v>44</v>
      </c>
      <c r="D676" s="78" t="s">
        <v>60</v>
      </c>
      <c r="E676" s="129" t="s">
        <v>668</v>
      </c>
      <c r="F676" s="78"/>
      <c r="G676" s="79">
        <f>G677</f>
        <v>2147749.9900000002</v>
      </c>
      <c r="H676" s="87">
        <f t="shared" si="28"/>
        <v>1951704.47</v>
      </c>
      <c r="I676" s="68">
        <f t="shared" si="28"/>
        <v>2512197.69</v>
      </c>
      <c r="J676" s="81">
        <f t="shared" si="27"/>
        <v>90.872051173889176</v>
      </c>
    </row>
    <row r="677" spans="1:10" ht="62.4" hidden="1" x14ac:dyDescent="0.3">
      <c r="A677" s="88" t="s">
        <v>669</v>
      </c>
      <c r="B677" s="77" t="s">
        <v>661</v>
      </c>
      <c r="C677" s="78" t="s">
        <v>44</v>
      </c>
      <c r="D677" s="78" t="s">
        <v>60</v>
      </c>
      <c r="E677" s="129" t="s">
        <v>668</v>
      </c>
      <c r="F677" s="78" t="s">
        <v>168</v>
      </c>
      <c r="G677" s="79">
        <v>2147749.9900000002</v>
      </c>
      <c r="H677" s="87">
        <v>1951704.47</v>
      </c>
      <c r="I677" s="68">
        <v>2512197.69</v>
      </c>
      <c r="J677" s="81">
        <f t="shared" si="27"/>
        <v>90.872051173889176</v>
      </c>
    </row>
    <row r="678" spans="1:10" hidden="1" x14ac:dyDescent="0.3">
      <c r="A678" s="70" t="s">
        <v>82</v>
      </c>
      <c r="B678" s="71" t="s">
        <v>661</v>
      </c>
      <c r="C678" s="72" t="s">
        <v>52</v>
      </c>
      <c r="D678" s="72" t="s">
        <v>40</v>
      </c>
      <c r="E678" s="72"/>
      <c r="F678" s="72"/>
      <c r="G678" s="73">
        <f>G679</f>
        <v>4736834.5599999996</v>
      </c>
      <c r="H678" s="74">
        <f>H679</f>
        <v>4574226.01</v>
      </c>
      <c r="I678" s="68">
        <f>I679</f>
        <v>0</v>
      </c>
      <c r="J678" s="69">
        <f t="shared" si="27"/>
        <v>96.567147365180517</v>
      </c>
    </row>
    <row r="679" spans="1:10" hidden="1" x14ac:dyDescent="0.3">
      <c r="A679" s="70" t="s">
        <v>84</v>
      </c>
      <c r="B679" s="71" t="s">
        <v>661</v>
      </c>
      <c r="C679" s="72" t="s">
        <v>52</v>
      </c>
      <c r="D679" s="72" t="s">
        <v>42</v>
      </c>
      <c r="E679" s="72"/>
      <c r="F679" s="72"/>
      <c r="G679" s="73">
        <f>G684+G680+G682</f>
        <v>4736834.5599999996</v>
      </c>
      <c r="H679" s="74">
        <f>H684+H680+H682</f>
        <v>4574226.01</v>
      </c>
      <c r="I679" s="68">
        <f>I684+I680+I682</f>
        <v>0</v>
      </c>
      <c r="J679" s="69">
        <f t="shared" si="27"/>
        <v>96.567147365180517</v>
      </c>
    </row>
    <row r="680" spans="1:10" ht="93.6" hidden="1" x14ac:dyDescent="0.3">
      <c r="A680" s="89" t="s">
        <v>670</v>
      </c>
      <c r="B680" s="77" t="s">
        <v>661</v>
      </c>
      <c r="C680" s="78" t="s">
        <v>52</v>
      </c>
      <c r="D680" s="78" t="s">
        <v>42</v>
      </c>
      <c r="E680" s="129" t="s">
        <v>671</v>
      </c>
      <c r="F680" s="78"/>
      <c r="G680" s="79">
        <f>G681</f>
        <v>4736834.5599999996</v>
      </c>
      <c r="H680" s="87">
        <f>H681</f>
        <v>4574226.01</v>
      </c>
      <c r="I680" s="68">
        <f>I681</f>
        <v>0</v>
      </c>
      <c r="J680" s="81">
        <f t="shared" si="27"/>
        <v>96.567147365180517</v>
      </c>
    </row>
    <row r="681" spans="1:10" ht="78" hidden="1" x14ac:dyDescent="0.3">
      <c r="A681" s="88" t="s">
        <v>672</v>
      </c>
      <c r="B681" s="77" t="s">
        <v>661</v>
      </c>
      <c r="C681" s="78" t="s">
        <v>52</v>
      </c>
      <c r="D681" s="78" t="s">
        <v>42</v>
      </c>
      <c r="E681" s="129" t="s">
        <v>671</v>
      </c>
      <c r="F681" s="78" t="s">
        <v>168</v>
      </c>
      <c r="G681" s="79">
        <v>4736834.5599999996</v>
      </c>
      <c r="H681" s="87">
        <v>4574226.01</v>
      </c>
      <c r="I681" s="68">
        <v>0</v>
      </c>
      <c r="J681" s="81">
        <f t="shared" si="27"/>
        <v>96.567147365180517</v>
      </c>
    </row>
    <row r="682" spans="1:10" hidden="1" x14ac:dyDescent="0.3">
      <c r="A682" s="76"/>
      <c r="B682" s="77"/>
      <c r="C682" s="78"/>
      <c r="D682" s="78"/>
      <c r="E682" s="78"/>
      <c r="F682" s="78"/>
      <c r="G682" s="68"/>
      <c r="H682" s="68"/>
      <c r="I682" s="68"/>
      <c r="J682" s="69"/>
    </row>
    <row r="683" spans="1:10" hidden="1" x14ac:dyDescent="0.3">
      <c r="A683" s="76"/>
      <c r="B683" s="77"/>
      <c r="C683" s="78"/>
      <c r="D683" s="78"/>
      <c r="E683" s="78"/>
      <c r="F683" s="78"/>
      <c r="G683" s="68"/>
      <c r="H683" s="68"/>
      <c r="I683" s="68"/>
      <c r="J683" s="69"/>
    </row>
    <row r="684" spans="1:10" hidden="1" x14ac:dyDescent="0.3">
      <c r="A684" s="76"/>
      <c r="B684" s="77"/>
      <c r="C684" s="78"/>
      <c r="D684" s="78"/>
      <c r="E684" s="78"/>
      <c r="F684" s="78"/>
      <c r="G684" s="68"/>
      <c r="H684" s="68"/>
      <c r="I684" s="68"/>
      <c r="J684" s="69"/>
    </row>
    <row r="685" spans="1:10" hidden="1" x14ac:dyDescent="0.3">
      <c r="A685" s="76"/>
      <c r="B685" s="77"/>
      <c r="C685" s="78"/>
      <c r="D685" s="78"/>
      <c r="E685" s="78"/>
      <c r="F685" s="78"/>
      <c r="G685" s="68"/>
      <c r="H685" s="84"/>
      <c r="I685" s="84"/>
      <c r="J685" s="69"/>
    </row>
    <row r="686" spans="1:10" hidden="1" x14ac:dyDescent="0.3">
      <c r="A686" s="70" t="s">
        <v>87</v>
      </c>
      <c r="B686" s="71" t="s">
        <v>661</v>
      </c>
      <c r="C686" s="72" t="s">
        <v>70</v>
      </c>
      <c r="D686" s="72" t="s">
        <v>40</v>
      </c>
      <c r="E686" s="72"/>
      <c r="F686" s="72"/>
      <c r="G686" s="73">
        <f>G687</f>
        <v>11671936.620000001</v>
      </c>
      <c r="H686" s="74">
        <f>H687</f>
        <v>11381299.860000001</v>
      </c>
      <c r="I686" s="68">
        <f>I687</f>
        <v>0</v>
      </c>
      <c r="J686" s="69">
        <f t="shared" si="27"/>
        <v>97.509952551472992</v>
      </c>
    </row>
    <row r="687" spans="1:10" hidden="1" x14ac:dyDescent="0.3">
      <c r="A687" s="70" t="s">
        <v>88</v>
      </c>
      <c r="B687" s="71" t="s">
        <v>661</v>
      </c>
      <c r="C687" s="72" t="s">
        <v>70</v>
      </c>
      <c r="D687" s="72" t="s">
        <v>39</v>
      </c>
      <c r="E687" s="72"/>
      <c r="F687" s="72"/>
      <c r="G687" s="73">
        <f>G698+G700+G702+G688+G690+G694+G692+G696</f>
        <v>11671936.620000001</v>
      </c>
      <c r="H687" s="74">
        <f>H698+H700+H702+H688+H690+H694+H692+H696</f>
        <v>11381299.860000001</v>
      </c>
      <c r="I687" s="68">
        <f>I698+I700+I702+I688+I690+I694</f>
        <v>0</v>
      </c>
      <c r="J687" s="69">
        <f t="shared" si="27"/>
        <v>97.509952551472992</v>
      </c>
    </row>
    <row r="688" spans="1:10" ht="78" hidden="1" x14ac:dyDescent="0.3">
      <c r="A688" s="89" t="s">
        <v>673</v>
      </c>
      <c r="B688" s="77" t="s">
        <v>661</v>
      </c>
      <c r="C688" s="78" t="s">
        <v>70</v>
      </c>
      <c r="D688" s="78" t="s">
        <v>39</v>
      </c>
      <c r="E688" s="129" t="s">
        <v>674</v>
      </c>
      <c r="F688" s="78"/>
      <c r="G688" s="79">
        <f>G689</f>
        <v>4919591.7</v>
      </c>
      <c r="H688" s="87">
        <f>H689</f>
        <v>4853082.9800000004</v>
      </c>
      <c r="I688" s="68">
        <f>I689</f>
        <v>0</v>
      </c>
      <c r="J688" s="81">
        <f t="shared" si="27"/>
        <v>98.648084555472366</v>
      </c>
    </row>
    <row r="689" spans="1:10" ht="62.4" hidden="1" x14ac:dyDescent="0.3">
      <c r="A689" s="88" t="s">
        <v>675</v>
      </c>
      <c r="B689" s="77" t="s">
        <v>661</v>
      </c>
      <c r="C689" s="78" t="s">
        <v>70</v>
      </c>
      <c r="D689" s="78" t="s">
        <v>39</v>
      </c>
      <c r="E689" s="129" t="s">
        <v>674</v>
      </c>
      <c r="F689" s="78" t="s">
        <v>168</v>
      </c>
      <c r="G689" s="79">
        <v>4919591.7</v>
      </c>
      <c r="H689" s="87">
        <v>4853082.9800000004</v>
      </c>
      <c r="I689" s="68">
        <v>0</v>
      </c>
      <c r="J689" s="81">
        <f t="shared" si="27"/>
        <v>98.648084555472366</v>
      </c>
    </row>
    <row r="690" spans="1:10" ht="62.4" hidden="1" x14ac:dyDescent="0.3">
      <c r="A690" s="89" t="s">
        <v>676</v>
      </c>
      <c r="B690" s="77" t="s">
        <v>661</v>
      </c>
      <c r="C690" s="78" t="s">
        <v>70</v>
      </c>
      <c r="D690" s="78" t="s">
        <v>39</v>
      </c>
      <c r="E690" s="129" t="s">
        <v>677</v>
      </c>
      <c r="F690" s="78"/>
      <c r="G690" s="79">
        <f>G691</f>
        <v>2473340.67</v>
      </c>
      <c r="H690" s="87">
        <f>H691</f>
        <v>2373259.23</v>
      </c>
      <c r="I690" s="68">
        <f>I691</f>
        <v>0</v>
      </c>
      <c r="J690" s="81">
        <f t="shared" si="27"/>
        <v>95.953592595879641</v>
      </c>
    </row>
    <row r="691" spans="1:10" ht="46.8" hidden="1" x14ac:dyDescent="0.3">
      <c r="A691" s="88" t="s">
        <v>678</v>
      </c>
      <c r="B691" s="77" t="s">
        <v>661</v>
      </c>
      <c r="C691" s="78" t="s">
        <v>70</v>
      </c>
      <c r="D691" s="78" t="s">
        <v>39</v>
      </c>
      <c r="E691" s="129" t="s">
        <v>677</v>
      </c>
      <c r="F691" s="78" t="s">
        <v>168</v>
      </c>
      <c r="G691" s="79">
        <v>2473340.67</v>
      </c>
      <c r="H691" s="87">
        <v>2373259.23</v>
      </c>
      <c r="I691" s="68">
        <v>0</v>
      </c>
      <c r="J691" s="81">
        <f t="shared" si="27"/>
        <v>95.953592595879641</v>
      </c>
    </row>
    <row r="692" spans="1:10" ht="78" hidden="1" x14ac:dyDescent="0.3">
      <c r="A692" s="89" t="s">
        <v>679</v>
      </c>
      <c r="B692" s="77" t="s">
        <v>661</v>
      </c>
      <c r="C692" s="78" t="s">
        <v>70</v>
      </c>
      <c r="D692" s="78" t="s">
        <v>39</v>
      </c>
      <c r="E692" s="129" t="s">
        <v>680</v>
      </c>
      <c r="F692" s="78"/>
      <c r="G692" s="79">
        <f>G693</f>
        <v>4279004.25</v>
      </c>
      <c r="H692" s="87">
        <f>H693</f>
        <v>4154957.65</v>
      </c>
      <c r="I692" s="68">
        <f>I693</f>
        <v>0</v>
      </c>
      <c r="J692" s="81">
        <f t="shared" si="27"/>
        <v>97.101040504925891</v>
      </c>
    </row>
    <row r="693" spans="1:10" ht="62.4" hidden="1" x14ac:dyDescent="0.3">
      <c r="A693" s="88" t="s">
        <v>681</v>
      </c>
      <c r="B693" s="77" t="s">
        <v>661</v>
      </c>
      <c r="C693" s="78" t="s">
        <v>70</v>
      </c>
      <c r="D693" s="78" t="s">
        <v>39</v>
      </c>
      <c r="E693" s="129" t="s">
        <v>680</v>
      </c>
      <c r="F693" s="78" t="s">
        <v>168</v>
      </c>
      <c r="G693" s="79">
        <v>4279004.25</v>
      </c>
      <c r="H693" s="87">
        <v>4154957.65</v>
      </c>
      <c r="I693" s="68">
        <v>0</v>
      </c>
      <c r="J693" s="81">
        <f t="shared" si="27"/>
        <v>97.101040504925891</v>
      </c>
    </row>
    <row r="694" spans="1:10" hidden="1" x14ac:dyDescent="0.3">
      <c r="A694" s="76"/>
      <c r="B694" s="77"/>
      <c r="C694" s="78"/>
      <c r="D694" s="78"/>
      <c r="E694" s="78"/>
      <c r="F694" s="78"/>
      <c r="G694" s="68"/>
      <c r="H694" s="68"/>
      <c r="I694" s="68"/>
      <c r="J694" s="69"/>
    </row>
    <row r="695" spans="1:10" hidden="1" x14ac:dyDescent="0.3">
      <c r="A695" s="76"/>
      <c r="B695" s="77"/>
      <c r="C695" s="78"/>
      <c r="D695" s="78"/>
      <c r="E695" s="78"/>
      <c r="F695" s="78"/>
      <c r="G695" s="68"/>
      <c r="H695" s="68"/>
      <c r="I695" s="68"/>
      <c r="J695" s="69"/>
    </row>
    <row r="696" spans="1:10" hidden="1" x14ac:dyDescent="0.3">
      <c r="A696" s="76"/>
      <c r="B696" s="77"/>
      <c r="C696" s="78"/>
      <c r="D696" s="78"/>
      <c r="E696" s="78"/>
      <c r="F696" s="78"/>
      <c r="G696" s="68"/>
      <c r="H696" s="68"/>
      <c r="I696" s="68"/>
      <c r="J696" s="69"/>
    </row>
    <row r="697" spans="1:10" hidden="1" x14ac:dyDescent="0.3">
      <c r="A697" s="76"/>
      <c r="B697" s="77"/>
      <c r="C697" s="78"/>
      <c r="D697" s="78"/>
      <c r="E697" s="78"/>
      <c r="F697" s="78"/>
      <c r="G697" s="68"/>
      <c r="H697" s="68"/>
      <c r="I697" s="68"/>
      <c r="J697" s="69"/>
    </row>
    <row r="698" spans="1:10" hidden="1" x14ac:dyDescent="0.3">
      <c r="A698" s="76"/>
      <c r="B698" s="77"/>
      <c r="C698" s="78"/>
      <c r="D698" s="78"/>
      <c r="E698" s="78"/>
      <c r="F698" s="90"/>
      <c r="G698" s="68"/>
      <c r="H698" s="68"/>
      <c r="I698" s="68"/>
      <c r="J698" s="69"/>
    </row>
    <row r="699" spans="1:10" hidden="1" x14ac:dyDescent="0.3">
      <c r="A699" s="76"/>
      <c r="B699" s="77"/>
      <c r="C699" s="78"/>
      <c r="D699" s="78"/>
      <c r="E699" s="78"/>
      <c r="F699" s="140"/>
      <c r="G699" s="68"/>
      <c r="H699" s="84"/>
      <c r="I699" s="84"/>
      <c r="J699" s="69"/>
    </row>
    <row r="700" spans="1:10" hidden="1" x14ac:dyDescent="0.3">
      <c r="A700" s="76"/>
      <c r="B700" s="77"/>
      <c r="C700" s="78"/>
      <c r="D700" s="78"/>
      <c r="E700" s="78"/>
      <c r="F700" s="78"/>
      <c r="G700" s="68"/>
      <c r="H700" s="68"/>
      <c r="I700" s="68"/>
      <c r="J700" s="69"/>
    </row>
    <row r="701" spans="1:10" hidden="1" x14ac:dyDescent="0.3">
      <c r="A701" s="76"/>
      <c r="B701" s="77"/>
      <c r="C701" s="78"/>
      <c r="D701" s="78"/>
      <c r="E701" s="78"/>
      <c r="F701" s="78"/>
      <c r="G701" s="68"/>
      <c r="H701" s="68"/>
      <c r="I701" s="68"/>
      <c r="J701" s="69"/>
    </row>
    <row r="702" spans="1:10" hidden="1" x14ac:dyDescent="0.3">
      <c r="A702" s="76"/>
      <c r="B702" s="77"/>
      <c r="C702" s="78"/>
      <c r="D702" s="78"/>
      <c r="E702" s="78"/>
      <c r="F702" s="78"/>
      <c r="G702" s="68"/>
      <c r="H702" s="68"/>
      <c r="I702" s="68"/>
      <c r="J702" s="69"/>
    </row>
    <row r="703" spans="1:10" hidden="1" x14ac:dyDescent="0.3">
      <c r="A703" s="76"/>
      <c r="B703" s="77"/>
      <c r="C703" s="78"/>
      <c r="D703" s="78"/>
      <c r="E703" s="78"/>
      <c r="F703" s="78"/>
      <c r="G703" s="68"/>
      <c r="H703" s="84"/>
      <c r="I703" s="84"/>
      <c r="J703" s="69"/>
    </row>
    <row r="704" spans="1:10" hidden="1" x14ac:dyDescent="0.3">
      <c r="A704" s="76"/>
      <c r="B704" s="77"/>
      <c r="C704" s="78"/>
      <c r="D704" s="78"/>
      <c r="E704" s="78"/>
      <c r="F704" s="78"/>
      <c r="G704" s="68"/>
      <c r="H704" s="68"/>
      <c r="I704" s="68"/>
      <c r="J704" s="69"/>
    </row>
    <row r="705" spans="1:10" hidden="1" x14ac:dyDescent="0.3">
      <c r="A705" s="76"/>
      <c r="B705" s="77"/>
      <c r="C705" s="78"/>
      <c r="D705" s="78"/>
      <c r="E705" s="78"/>
      <c r="F705" s="78"/>
      <c r="G705" s="68"/>
      <c r="H705" s="68"/>
      <c r="I705" s="68"/>
      <c r="J705" s="69"/>
    </row>
    <row r="706" spans="1:10" hidden="1" x14ac:dyDescent="0.3">
      <c r="A706" s="76"/>
      <c r="B706" s="77"/>
      <c r="C706" s="78"/>
      <c r="D706" s="78"/>
      <c r="E706" s="78"/>
      <c r="F706" s="78"/>
      <c r="G706" s="68"/>
      <c r="H706" s="68"/>
      <c r="I706" s="68"/>
      <c r="J706" s="69"/>
    </row>
    <row r="707" spans="1:10" hidden="1" x14ac:dyDescent="0.3">
      <c r="A707" s="76"/>
      <c r="B707" s="77"/>
      <c r="C707" s="78"/>
      <c r="D707" s="78"/>
      <c r="E707" s="78"/>
      <c r="F707" s="78"/>
      <c r="G707" s="68"/>
      <c r="H707" s="84"/>
      <c r="I707" s="84"/>
      <c r="J707" s="69"/>
    </row>
    <row r="708" spans="1:10" ht="18" x14ac:dyDescent="0.35">
      <c r="A708" s="238" t="s">
        <v>682</v>
      </c>
      <c r="B708" s="239"/>
      <c r="C708" s="239"/>
      <c r="D708" s="239"/>
      <c r="E708" s="239"/>
      <c r="F708" s="239"/>
      <c r="G708" s="66">
        <f>G661+G460+G303+G5</f>
        <v>1084551.4404199999</v>
      </c>
      <c r="H708" s="240">
        <f>H661+H460+H303+H5</f>
        <v>661761.60778999992</v>
      </c>
      <c r="I708" s="158">
        <f>I661+I460+I303+I5</f>
        <v>168688661.90000001</v>
      </c>
      <c r="J708" s="69">
        <f>H708/G708*100</f>
        <v>61.017078870295748</v>
      </c>
    </row>
    <row r="709" spans="1:10" x14ac:dyDescent="0.3">
      <c r="A709" s="241"/>
      <c r="B709" s="242"/>
      <c r="C709" s="242"/>
      <c r="D709" s="242"/>
      <c r="E709" s="242"/>
      <c r="F709" s="242"/>
      <c r="G709" s="243"/>
      <c r="H709" s="244"/>
    </row>
    <row r="710" spans="1:10" hidden="1" x14ac:dyDescent="0.3">
      <c r="A710" s="280" t="s">
        <v>683</v>
      </c>
      <c r="B710" s="280"/>
      <c r="C710" s="280"/>
      <c r="D710" s="280"/>
      <c r="E710" s="280"/>
      <c r="F710" s="280"/>
      <c r="G710" s="280"/>
      <c r="H710" s="244"/>
    </row>
    <row r="711" spans="1:10" hidden="1" x14ac:dyDescent="0.3">
      <c r="A711" s="241"/>
      <c r="B711" s="281" t="s">
        <v>684</v>
      </c>
      <c r="C711" s="281"/>
      <c r="D711" s="281"/>
      <c r="E711" s="281"/>
      <c r="F711" s="242" t="s">
        <v>37</v>
      </c>
      <c r="G711" s="245">
        <f>G6+G62+G73+G144+G195+G229+G247+G255+G287+G191</f>
        <v>578758512.71999991</v>
      </c>
      <c r="H711" s="245">
        <f>H6+H62+H73+H144+H195+H229+H247+H255+H287</f>
        <v>180217991.54999995</v>
      </c>
      <c r="I711" s="246">
        <f>I6+I62+I73+I144+I195+I229+I247+I255+I287</f>
        <v>77309787.890000001</v>
      </c>
    </row>
    <row r="712" spans="1:10" hidden="1" x14ac:dyDescent="0.3">
      <c r="A712" s="241"/>
      <c r="B712" s="281"/>
      <c r="C712" s="281"/>
      <c r="D712" s="281"/>
      <c r="E712" s="281"/>
      <c r="F712" s="242" t="s">
        <v>38</v>
      </c>
      <c r="G712" s="245">
        <f>G7+G10+G17+G30+G33+G36+G39+G63+G78+G97+G102+G119+G137+G160+G170+G196+G199+G204+G225+G230+G251+G256+G261+G288+G145+G281+G74+G248+G27+G293+G300+G70+G192</f>
        <v>578758512.72000003</v>
      </c>
      <c r="H712" s="245">
        <f>H7+H10+H17+H30+H33+H36+H39+H63+H78+H97+H102+H119+H137+H160+H170+H196+H199+H204+H225+H230+H251+H256+H261+H288+H145+H281+H74+H248+H27+H293+H300</f>
        <v>180215991.55000007</v>
      </c>
      <c r="I712" s="247">
        <f>I7+I10+I17+I30+I33+I36+I39+I63+I78+I97+I102+I119+I137+I160+I170+I196+I199+I204+I225+I230+I251+I256+I261+I288+I145+I281+I74+I248+I27+I293+I300</f>
        <v>77309787.890000001</v>
      </c>
    </row>
    <row r="713" spans="1:10" hidden="1" x14ac:dyDescent="0.3">
      <c r="A713" s="241"/>
      <c r="B713" s="281"/>
      <c r="C713" s="281"/>
      <c r="D713" s="281"/>
      <c r="E713" s="281"/>
      <c r="F713" s="242" t="s">
        <v>685</v>
      </c>
      <c r="G713" s="245">
        <f>G8+G11+G18+G31+G34+G37+G43+G100+G105+G138+G175+G213+G217+G226+G252+G277+G289+G171+G128+G221+G205+G177+G154++G48+G284+G140+G245+G146+G166+G279+G126+G163+G13+G64+G257+G275+G75+G282+G249+G28+G161+G83+G85+G87+G107+G109+G120+G158+G181+G183+G185+G207+G209+G211+G215+G219+G223+G231+G233+G235+G239+G241+G243+G262+G270+G294+G296+G301+G52+G124+G152+G197+G202+G148+G150+G40+G79+G264+G24+G71+G54+G193+G272+G200+G142+G156+G98+G81+G237+G103+G122+G59</f>
        <v>537609196</v>
      </c>
      <c r="H713" s="245">
        <f>H8+H11+H18+H31+H34+H37+H43+H100+H105+H138+H175+H213+H217+H226+H252+H277+H289+H171+H128+H221+H205+H177+H154++H48+H284+H140+H245+H146+H166+H279+H126+H163+H13+H64+H257+H275+H75+H282+H249+H28+H161+H83+H85+H87+H107+H109+H120+H158+H181+H183+H185+H207+H209+H211+H215+H219+H223+H231+H233+H235+H239+H241+H243+H262+H270+H294+H296+H301+H52+H124+H152+H197+H202+H148+H150+H40+H79+H264+H24+H71+H54+H193+H272+H200+H142+H156+H98+H81+H237+H103+H122</f>
        <v>143752707.15999997</v>
      </c>
      <c r="I713" s="247">
        <f>I8+I11+I18+I31+I34+I37+I43+I100+I105+I138+I175+I213+I217+I226+I252+I277+I289+I171+I128+I221+I205+I177+I154++I48+I284+I140+I245+I146+I166+I279+I126+I163+I13+I64+I257+I275+I75+I282+I249+I28+I161+I83+I85+I87+I107+I109+I120+I158+I181+I183+I185+I207+I209+I211+I215+I219+I223+I231+I233+I235+I239+I241+I243+I262+I270+I294+I296+I301+I52+I124+I152+I197+I202+I148+I150+I40+I79+I264+I24+I71+I54+I193+I272+I200+I142+I156+I98+I81+I237+I103+I122</f>
        <v>77309787.890000001</v>
      </c>
    </row>
    <row r="714" spans="1:10" hidden="1" x14ac:dyDescent="0.3">
      <c r="A714" s="241"/>
      <c r="B714" s="281"/>
      <c r="C714" s="281"/>
      <c r="D714" s="281"/>
      <c r="E714" s="281"/>
      <c r="F714" s="242" t="s">
        <v>117</v>
      </c>
      <c r="G714" s="245">
        <f>G9+G12+G15+G19+G22+G32+G35+G44+G65+G84+G86+G101+G106+G139+G176+G227+G253+G254+G258+G278+G292+G172+G129+G214+G218+G222+G206+G178+G302+G228+G45+G49+G141+G14+G23+G246+G147+G155+G167+G127+G76+G77+G164+G165+G16+G38+G276+G283+G250+G29+G162+G88+G108+G110+G121+G159+G182+G184+G186+G208+G210+G212+G216+G220+G224+G232+G234+G236+G240+G242+G244+G263+G271+G280+G285+G295+G299+G53+G125+G153+G198+G203+G149+G151+G41+G42+G80+G265+G25+G26+G72+G55+G194+G274+G201+G143+G157+G99+G82+G238+G104+G123+G60</f>
        <v>543197496.6099999</v>
      </c>
      <c r="H714" s="245">
        <f>H9+H12+H15+H19+H22+H32+H35+H44+H65+H84+H86+H101+H106+H139+H176+H227+H253+H254+H258+H278+H292+H172+H129+H214+H218+H222+H206+H178+H302+H228+H45+H49+H141+H14+H23+H246+H147+H155+H167+H127+H76+H77+H164+H165+H16+H38+H276+H283+H250+H29+H162+H88+H108+H110+H121+H159+H182+H184+H186+H208+H210+H212+H216+H220+H224+H232+H234+H236+H240+H242+H244+H263+H271+H280+H285+H295+H299+H53+H125+H153+H198+H203+H149+H151+H41+H42+H80+H265+H25+H26+H72+H55+H194+H274+H201+H143+H157+H99+H82+H238+H104+H123</f>
        <v>145780311.45999998</v>
      </c>
      <c r="I714" s="247">
        <f>I9+I12+I15+I19+I22+I32+I35+I44+I65+I84+I86+I101+I106+I139+I176+I227+I253+I254+I258+I278+I292+I172+I129+I214+I218+I222+I206+I178+I302+I228+I45+I49+I141+I14+I23+I246+I147+I155+I167+I127+I76+I77+I164+I165+I16+I38+I276+I283+I250+I29+I162+I88+I108+I110+I121+I159+I182+I184+I186+I208+I210+I212+I216+I220+I224+I232+I234+I236+I240+I242+I244+I263+I271+I280+I285+I295+I299+I53+I125+I153+I198+I203+I149+I151+I41+I42+I80+I265+I25+I26+I72+I55+I194+I274+I201+I143+I157+I99+I82+I238+I104+I123</f>
        <v>77309787.889999986</v>
      </c>
    </row>
    <row r="715" spans="1:10" hidden="1" x14ac:dyDescent="0.3">
      <c r="A715" s="241"/>
      <c r="B715" s="281"/>
      <c r="C715" s="281"/>
      <c r="D715" s="281"/>
      <c r="E715" s="281"/>
      <c r="F715" s="242" t="s">
        <v>686</v>
      </c>
      <c r="G715" s="245">
        <f>G84+G86+G88+G101+G106+G108+G110+G121+G129+G139+G141+G147+G155+G162+G167+G172+G176+G178+G182+G184+G186+G206+G208+G210+G212+G214+G216+G218+G220+G222+G224+G232+G234+G236+G240+G242+G244+G263+G271+G278+G280+G292+G295+G299+G302+G125+G153+G198+G203+G194+G201+G143+G157+G238</f>
        <v>105779656.62000002</v>
      </c>
      <c r="H715" s="245">
        <f>H84+H86+H88+H101+H106+H108+H110+H121+H129+H139+H141+H147+H155+H162+H167+H172+H176+H178+H182+H184+H186+H206+H208+H210+H212+H214+H216+H218+H220+H222+H224+H232+H234+H236+H240+H242+H244+H263+H271+H278+H280+H292+H295+H299+H302+H125+H153+H198+H203</f>
        <v>92358048.649999991</v>
      </c>
      <c r="I715" s="248">
        <f>I84+I86+I88+I101+I106+I108+I110+I121+I129+I139+I141+I147+I155+I162+I167+I172+I176+I178+I182+I184+I186+I206+I208+I210+I212+I214+I216+I218+I220+I222+I224+I232+I234+I236+I240+I242+I244+I263+I271+I278+I280+I292+I295+I299+I302+I125+I153+I198+I203</f>
        <v>23333000</v>
      </c>
    </row>
    <row r="716" spans="1:10" hidden="1" x14ac:dyDescent="0.3">
      <c r="A716" s="241"/>
      <c r="B716" s="281" t="s">
        <v>687</v>
      </c>
      <c r="C716" s="281"/>
      <c r="D716" s="281"/>
      <c r="E716" s="281"/>
      <c r="F716" s="242" t="s">
        <v>37</v>
      </c>
      <c r="G716" s="245">
        <f>G307+G392+G398+G304</f>
        <v>29031254.289999999</v>
      </c>
      <c r="H716" s="245">
        <f>H307+H392+H398+H304</f>
        <v>28689486.379999999</v>
      </c>
      <c r="I716" s="246">
        <f>I307+I392+I398+I304</f>
        <v>23506776</v>
      </c>
    </row>
    <row r="717" spans="1:10" hidden="1" x14ac:dyDescent="0.3">
      <c r="A717" s="241"/>
      <c r="B717" s="281"/>
      <c r="C717" s="281"/>
      <c r="D717" s="281"/>
      <c r="E717" s="281"/>
      <c r="F717" s="242" t="s">
        <v>38</v>
      </c>
      <c r="G717" s="245">
        <f>G308+G393+G399+G402+G319+G304</f>
        <v>29031254.289999999</v>
      </c>
      <c r="H717" s="245">
        <f>H308+H393+H399+H402+H319+H304</f>
        <v>28689486.379999999</v>
      </c>
      <c r="I717" s="247">
        <f>I308+I393+I399+I402+I319+I304</f>
        <v>23506776</v>
      </c>
    </row>
    <row r="718" spans="1:10" hidden="1" x14ac:dyDescent="0.3">
      <c r="A718" s="241"/>
      <c r="B718" s="281"/>
      <c r="C718" s="281"/>
      <c r="D718" s="281"/>
      <c r="E718" s="281"/>
      <c r="F718" s="242" t="s">
        <v>685</v>
      </c>
      <c r="G718" s="245">
        <f>G309+G395+G400+G313+G320+G305+G412+G422+G427+G403+G446+G442+G456+G430</f>
        <v>29031254.289999999</v>
      </c>
      <c r="H718" s="245">
        <f>H309+H395+H400+H313+H320+H305+H412+H422+H427+H403+H446+H442+H456+H430</f>
        <v>28689486.379999999</v>
      </c>
      <c r="I718" s="247">
        <f>I309+I395+I400+I313+I320+I305+I412+I422+I427+I403+I446+I442+I456+I430</f>
        <v>23506776</v>
      </c>
    </row>
    <row r="719" spans="1:10" hidden="1" x14ac:dyDescent="0.3">
      <c r="A719" s="241"/>
      <c r="B719" s="281"/>
      <c r="C719" s="281"/>
      <c r="D719" s="281"/>
      <c r="E719" s="281"/>
      <c r="F719" s="242" t="s">
        <v>117</v>
      </c>
      <c r="G719" s="245">
        <f>G310+G311+G396+G401+G314+G316+G312+G321+G394+G306+G413+G422+G429+G404+G447+G443+G459+G431</f>
        <v>28989650.559999999</v>
      </c>
      <c r="H719" s="245">
        <f>H310+H311+H396+H401+H314+H316+H312+H321+H394+H306+H413+H422+H429+H404+H447+H443+H459+H431</f>
        <v>28647882.649999999</v>
      </c>
      <c r="I719" s="247">
        <f>I310+I311+I396+I401+I314+I316+I312+I321+I394+I306+I413+I422+I429+I404+I447+I443+I459+I431</f>
        <v>23506776</v>
      </c>
    </row>
    <row r="720" spans="1:10" hidden="1" x14ac:dyDescent="0.3">
      <c r="A720" s="241"/>
      <c r="B720" s="281"/>
      <c r="C720" s="281"/>
      <c r="D720" s="281"/>
      <c r="E720" s="281"/>
      <c r="F720" s="242" t="s">
        <v>686</v>
      </c>
      <c r="G720" s="245">
        <f>0+G413+G422+G429+G404+G446+G442+G430</f>
        <v>0</v>
      </c>
      <c r="H720" s="245">
        <f>0+H413+H422+H429+H404+H446+H442+H430</f>
        <v>0</v>
      </c>
      <c r="I720" s="248">
        <f>0+I413+I422+I429+I404+I446+I442+I430</f>
        <v>0</v>
      </c>
    </row>
    <row r="721" spans="1:9" hidden="1" x14ac:dyDescent="0.3">
      <c r="A721" s="241"/>
      <c r="B721" s="281" t="s">
        <v>688</v>
      </c>
      <c r="C721" s="281"/>
      <c r="D721" s="281"/>
      <c r="E721" s="281"/>
      <c r="F721" s="242" t="s">
        <v>37</v>
      </c>
      <c r="G721" s="245">
        <f>G461+G637</f>
        <v>428153669.86000001</v>
      </c>
      <c r="H721" s="245">
        <f>H461+H637</f>
        <v>405638565.63</v>
      </c>
      <c r="I721" s="246">
        <f>I461+I637</f>
        <v>60407058.32</v>
      </c>
    </row>
    <row r="722" spans="1:9" hidden="1" x14ac:dyDescent="0.3">
      <c r="A722" s="241"/>
      <c r="B722" s="281"/>
      <c r="C722" s="281"/>
      <c r="D722" s="281"/>
      <c r="E722" s="281"/>
      <c r="F722" s="242" t="s">
        <v>38</v>
      </c>
      <c r="G722" s="245">
        <f>G462+G516+G610+G621+G638+G642</f>
        <v>428153669.86000001</v>
      </c>
      <c r="H722" s="245">
        <f>H462+H516+H610+H621+H638+H642</f>
        <v>405638565.63</v>
      </c>
      <c r="I722" s="247">
        <f>I462+I516+I610+I621+I638+I642</f>
        <v>60407058.32</v>
      </c>
    </row>
    <row r="723" spans="1:9" hidden="1" x14ac:dyDescent="0.3">
      <c r="A723" s="241"/>
      <c r="B723" s="281"/>
      <c r="C723" s="281"/>
      <c r="D723" s="281"/>
      <c r="E723" s="281"/>
      <c r="F723" s="242" t="s">
        <v>685</v>
      </c>
      <c r="G723" s="245">
        <f>G504+G506+G508+G590+G597+G606+G622+G626+G630+G634+G639+G643+G645+G648+G651+G654+G485+G551+G595+G611+G588+G463+G465+G467+G469+G471+G473+G475+G477+G487+G489+G491+G497+G499+G510+G512+G517+G519+G521+G523+G525+G527+G529+G531+G533+G535+G537+G539+G541+G543+G554+G556+G558+G560+G564+G566+G570+G582+G584+G576+G501+G549+G483+G615+G495+G562+G601+G493+G617+G599+G578+G568+G586</f>
        <v>419131257.53999996</v>
      </c>
      <c r="H723" s="245">
        <f>H504+H506+H508+H590+H597+H606+H622+H626+H630+H634+H639+H643+H645+H648+H651+H654+H485+H551+H595+H611+H588+H463+H465+H467+H469+H471+H473+H475+H477+H487+H489+H491+H497+H499+H510+H512+H517+H519+H521+H523+H525+H527+H529+H531+H533+H535+H537+H539+H541+H543+H554+H556+H558+H560+H564+H566+H570+H582+H584+H576+H501+H549+H483</f>
        <v>354141648.74999994</v>
      </c>
      <c r="I723" s="247">
        <f>I504+I506+I508+I590+I597+I606+I622+I626+I630+I634+I639+I643+I645+I648+I651+I654+I485+I551+I595+I611+I588+I463+I465+I467+I469+I471+I473+I475+I477+I487+I489+I491+I497+I499+I510+I512+I517+I519+I521+I523+I525+I527+I529+I531+I533+I535+I537+I539+I541+I543+I554+I556+I558+I560+I564+I566+I570+I582+I584+I576+I501+I549+I483</f>
        <v>60407058.32</v>
      </c>
    </row>
    <row r="724" spans="1:9" hidden="1" x14ac:dyDescent="0.3">
      <c r="A724" s="241"/>
      <c r="B724" s="281"/>
      <c r="C724" s="281"/>
      <c r="D724" s="281"/>
      <c r="E724" s="281"/>
      <c r="F724" s="242" t="s">
        <v>117</v>
      </c>
      <c r="G724" s="245">
        <f>G656+G653+G650+G644+G641+G635+G632+G631+G627+G624+G623+G592+G591+G593+G594+G609+G607+G608+G636+G625+G633+G647+G507+G509+G505+G598+G486+G552+G553+G596+G614+G589+G464+G466+G468+G470+G472+G474+G476+G478+G488+G490+G492+G498+G500+G511+G513+G518+G520+G522+G524+G526+G528+G530+G532+G534+G536+G538+G540+G542+G544+G555+G557+G559+G561+G565+G567+G571+G583+G585+G577+G503+G550+G484+G616+G496+G563+G602+G494+G620+G613+G618+G502+G603+G600+G579+G569+G587</f>
        <v>408655792</v>
      </c>
      <c r="H724" s="245">
        <f>H656+H653+H650+H644+H641+H635+H632+H631+H627+H624+H623+H592+H591+H593+H594+H609+H607+H608+H636+H625+H633+H647+H507+H509+H505+H598+H486+H552+H553+H596+H614+H589+H464+H466+H468+H470+H472+H474+H476+H478+H488+H490+H492+H498+H500+H511+H513+H518+H520+H522+H524+H526+H528+H530+H532+H534+H536+H538+H540+H542+H544+H555+H557+H559+H561+H565+H567+H571+H583+H585+H577+H503+H550+H484</f>
        <v>341766036.89999998</v>
      </c>
      <c r="I724" s="247">
        <f>I656+I653+I650+I644+I641+I635+I632+I631+I627+I624+I623+I592+I591+I593+I594+I609+I607+I608+I636+I625+I633+I647+I507+I509+I505+I598+I486+I552+I553+I596+I614+I589+I464+I466+I468+I470+I472+I474+I476+I478+I488+I490+I492+I498+I500+I511+I513+I518+I520+I522+I524+I526+I528+I530+I532+I534+I536+I538+I540+I542+I544+I555+I557+I559+I561+I565+I567+I571+I583+I585+I577+I503+I550+I484</f>
        <v>60407058.32</v>
      </c>
    </row>
    <row r="725" spans="1:9" hidden="1" x14ac:dyDescent="0.3">
      <c r="A725" s="241"/>
      <c r="B725" s="281"/>
      <c r="C725" s="281"/>
      <c r="D725" s="281"/>
      <c r="E725" s="281"/>
      <c r="F725" s="242" t="s">
        <v>686</v>
      </c>
      <c r="G725" s="245">
        <f>G464+G466+G468+G470+G472+G474+G476+G478+G486+G488+G490+G492+G498+G500+G511+G513+G518+G520+G522+G524+G526+G528+G530+G532+G534+G536+G538+G540+G542+G544+G552+G553+G555+G557+G559+G561+G565+G567+G571+G583+G585+G589+G614+G563+G496+G484+G494+G613+G550+G569+G587</f>
        <v>366349551.38999999</v>
      </c>
      <c r="H725" s="245">
        <f>H464+H466+H468+H470+H472+H474+H476+H478+H486+H488+H490+H492+H498+H500+H511+H513+H518+H520+H522+H524+H526+H528+H530+H532+H534+H536+H538+H540+H542+H544+H552+H553+H555+H557+H559+H561+H565+H567+H571+H583+H585+H589+H614</f>
        <v>253678718.97</v>
      </c>
      <c r="I725" s="248">
        <f>I464+I466+I468+I470+I472+I474+I476+I478+I486+I488+I490+I492+I498+I500+I511+I513+I518+I520+I522+I524+I526+I528+I530+I532+I534+I536+I538+I540+I542+I544+I552+I553+I555+I557+I559+I561+I565+I567+I571+I583+I585+I589+I614</f>
        <v>215000</v>
      </c>
    </row>
    <row r="726" spans="1:9" hidden="1" x14ac:dyDescent="0.3">
      <c r="A726" s="241"/>
      <c r="B726" s="281" t="s">
        <v>689</v>
      </c>
      <c r="C726" s="281"/>
      <c r="D726" s="281"/>
      <c r="E726" s="281"/>
      <c r="F726" s="242" t="s">
        <v>37</v>
      </c>
      <c r="G726" s="245">
        <f t="shared" ref="G726:I727" si="29">G662+G674+G678+G686+G704</f>
        <v>26811096.66</v>
      </c>
      <c r="H726" s="245">
        <f t="shared" si="29"/>
        <v>25418657.859999999</v>
      </c>
      <c r="I726" s="246">
        <f t="shared" si="29"/>
        <v>7465039.6899999995</v>
      </c>
    </row>
    <row r="727" spans="1:9" hidden="1" x14ac:dyDescent="0.3">
      <c r="A727" s="241"/>
      <c r="B727" s="281"/>
      <c r="C727" s="281"/>
      <c r="D727" s="281"/>
      <c r="E727" s="281"/>
      <c r="F727" s="242" t="s">
        <v>38</v>
      </c>
      <c r="G727" s="245">
        <f t="shared" si="29"/>
        <v>26811096.66</v>
      </c>
      <c r="H727" s="245">
        <f t="shared" si="29"/>
        <v>25418657.859999999</v>
      </c>
      <c r="I727" s="247">
        <f t="shared" si="29"/>
        <v>7465039.6899999995</v>
      </c>
    </row>
    <row r="728" spans="1:9" hidden="1" x14ac:dyDescent="0.3">
      <c r="A728" s="241"/>
      <c r="B728" s="281"/>
      <c r="C728" s="281"/>
      <c r="D728" s="281"/>
      <c r="E728" s="281"/>
      <c r="F728" s="242" t="s">
        <v>685</v>
      </c>
      <c r="G728" s="245">
        <f>G664+G668+G676+G684+G698+G700+G702+G706+G680+G690+G671+G682+G688+G694+G692</f>
        <v>26811096.66</v>
      </c>
      <c r="H728" s="245">
        <f>H664+H668+H676+H684+H698+H700+H702+H706+H680+H690+H671</f>
        <v>16410617.23</v>
      </c>
      <c r="I728" s="247">
        <f>I664+I668+I676+I684+I698+I700+I702+I706+I680+I690+I671</f>
        <v>7465039.6899999995</v>
      </c>
    </row>
    <row r="729" spans="1:9" hidden="1" x14ac:dyDescent="0.3">
      <c r="A729" s="241"/>
      <c r="B729" s="281"/>
      <c r="C729" s="281"/>
      <c r="D729" s="281"/>
      <c r="E729" s="281"/>
      <c r="F729" s="242" t="s">
        <v>117</v>
      </c>
      <c r="G729" s="245">
        <f>G707+G703+G701+G699+G685+G677+G669+G667+G666+G665+G681+G691+G672+G683+G695+G689+G693</f>
        <v>26762970.66</v>
      </c>
      <c r="H729" s="245">
        <f>H707+H703+H701+H699+H685+H677+H669+H667+H666+H665+H681+H691+H672</f>
        <v>16408967.23</v>
      </c>
      <c r="I729" s="247">
        <f>I707+I703+I701+I699+I685+I677+I669+I667+I666+I665+I681+I691+I672</f>
        <v>7465039.6899999995</v>
      </c>
    </row>
    <row r="730" spans="1:9" hidden="1" x14ac:dyDescent="0.3">
      <c r="A730" s="241"/>
      <c r="B730" s="281"/>
      <c r="C730" s="281"/>
      <c r="D730" s="281"/>
      <c r="E730" s="281"/>
      <c r="F730" s="242" t="s">
        <v>686</v>
      </c>
      <c r="G730" s="245">
        <f>G689+G681+G691+G695+G693</f>
        <v>16408771.18</v>
      </c>
      <c r="H730" s="245">
        <f>H689+H681</f>
        <v>9427308.9900000002</v>
      </c>
      <c r="I730" s="248">
        <f>I689+I681</f>
        <v>0</v>
      </c>
    </row>
    <row r="731" spans="1:9" hidden="1" x14ac:dyDescent="0.3">
      <c r="A731" s="241"/>
      <c r="B731" s="281" t="s">
        <v>690</v>
      </c>
      <c r="C731" s="281"/>
      <c r="D731" s="281"/>
      <c r="E731" s="281"/>
      <c r="F731" s="242" t="s">
        <v>37</v>
      </c>
      <c r="G731" s="245">
        <f t="shared" ref="G731:I735" si="30">G726+G721+G716+G711</f>
        <v>1062754533.53</v>
      </c>
      <c r="H731" s="245">
        <f t="shared" si="30"/>
        <v>639964701.41999996</v>
      </c>
      <c r="I731" s="246">
        <f t="shared" si="30"/>
        <v>168688661.90000001</v>
      </c>
    </row>
    <row r="732" spans="1:9" hidden="1" x14ac:dyDescent="0.3">
      <c r="A732" s="241"/>
      <c r="B732" s="281"/>
      <c r="C732" s="281"/>
      <c r="D732" s="281"/>
      <c r="E732" s="281"/>
      <c r="F732" s="242" t="s">
        <v>38</v>
      </c>
      <c r="G732" s="245">
        <f t="shared" si="30"/>
        <v>1062754533.5300001</v>
      </c>
      <c r="H732" s="245">
        <f t="shared" si="30"/>
        <v>639962701.42000008</v>
      </c>
      <c r="I732" s="247">
        <f t="shared" si="30"/>
        <v>168688661.90000001</v>
      </c>
    </row>
    <row r="733" spans="1:9" hidden="1" x14ac:dyDescent="0.3">
      <c r="A733" s="241"/>
      <c r="B733" s="281"/>
      <c r="C733" s="281"/>
      <c r="D733" s="281"/>
      <c r="E733" s="281"/>
      <c r="F733" s="242" t="s">
        <v>685</v>
      </c>
      <c r="G733" s="245">
        <f>G728+G723+G718+G713</f>
        <v>1012582804.49</v>
      </c>
      <c r="H733" s="245">
        <f t="shared" si="30"/>
        <v>542994459.51999998</v>
      </c>
      <c r="I733" s="247">
        <f t="shared" si="30"/>
        <v>168688661.90000001</v>
      </c>
    </row>
    <row r="734" spans="1:9" hidden="1" x14ac:dyDescent="0.3">
      <c r="A734" s="241"/>
      <c r="B734" s="281"/>
      <c r="C734" s="281"/>
      <c r="D734" s="281"/>
      <c r="E734" s="281"/>
      <c r="F734" s="242" t="s">
        <v>117</v>
      </c>
      <c r="G734" s="245">
        <f t="shared" si="30"/>
        <v>1007605909.8299999</v>
      </c>
      <c r="H734" s="245">
        <f t="shared" si="30"/>
        <v>532603198.23999995</v>
      </c>
      <c r="I734" s="247">
        <f t="shared" si="30"/>
        <v>168688661.89999998</v>
      </c>
    </row>
    <row r="735" spans="1:9" hidden="1" x14ac:dyDescent="0.3">
      <c r="A735" s="241"/>
      <c r="B735" s="281"/>
      <c r="C735" s="281"/>
      <c r="D735" s="281"/>
      <c r="E735" s="281"/>
      <c r="F735" s="242" t="s">
        <v>686</v>
      </c>
      <c r="G735" s="245">
        <f>G730+G725+G720+G715</f>
        <v>488537979.19</v>
      </c>
      <c r="H735" s="245">
        <f t="shared" si="30"/>
        <v>355464076.61000001</v>
      </c>
      <c r="I735" s="248">
        <f t="shared" si="30"/>
        <v>23548000</v>
      </c>
    </row>
    <row r="736" spans="1:9" hidden="1" x14ac:dyDescent="0.3">
      <c r="A736" s="274" t="s">
        <v>691</v>
      </c>
      <c r="B736" s="274"/>
      <c r="C736" s="274"/>
      <c r="D736" s="274"/>
      <c r="E736" s="274"/>
      <c r="F736" s="242"/>
      <c r="G736" s="245">
        <f>G43+G75+G163+G226+G252+G506+G508+G606+G634+G643+G645+G648+G651+G654+G285+G29+G248+G283</f>
        <v>53351223.100000001</v>
      </c>
      <c r="H736" s="245">
        <f>H43+H75+H163+H226+H252+H506+H508+H606+H634+H643+H645+H648+H651+H654+H285+H29+H248+H283</f>
        <v>44659432.710000008</v>
      </c>
      <c r="I736" s="54">
        <f>I43+I75+I163+I226+I252+I506+I508+I606+I634+I643+I645+I648+I651+I654+I285+I29+I248+I283</f>
        <v>43869000</v>
      </c>
    </row>
    <row r="737" spans="1:10" hidden="1" x14ac:dyDescent="0.3">
      <c r="A737" s="274" t="s">
        <v>692</v>
      </c>
      <c r="B737" s="274"/>
      <c r="C737" s="274"/>
      <c r="D737" s="274"/>
      <c r="E737" s="274"/>
      <c r="F737" s="242"/>
      <c r="G737" s="245">
        <f>G314+G316</f>
        <v>568396.27</v>
      </c>
      <c r="H737" s="245">
        <f>H314+H316</f>
        <v>568396.27</v>
      </c>
      <c r="I737" s="54">
        <f>I314+I316</f>
        <v>390951</v>
      </c>
    </row>
    <row r="738" spans="1:10" hidden="1" x14ac:dyDescent="0.3">
      <c r="A738" s="274" t="s">
        <v>693</v>
      </c>
      <c r="B738" s="274"/>
      <c r="C738" s="274"/>
      <c r="D738" s="274"/>
      <c r="E738" s="274"/>
      <c r="F738" s="242"/>
      <c r="G738" s="245">
        <f>G9+G12+G14+G15+G16+G19+G22+G23+G32+G310+G311+G312+G623+G624+G625+G631+G632+G633+G665+G666+G667</f>
        <v>32474943.539999999</v>
      </c>
      <c r="H738" s="245">
        <f>H9+H12+H14+H15+H16+H19+H22+H23+H32+H310+H311+H312+H623+H624+H625+H631+H632+H633+H665+H666+H667</f>
        <v>31058998.439999998</v>
      </c>
      <c r="I738" s="54">
        <f>I9+I12+I14+I15+I16+I19+I22+I23+I32+I310+I311+I312+I623+I624+I625+I631+I632+I633+I665+I666+I667</f>
        <v>63101263</v>
      </c>
    </row>
    <row r="739" spans="1:10" hidden="1" x14ac:dyDescent="0.3">
      <c r="A739" s="274" t="s">
        <v>694</v>
      </c>
      <c r="B739" s="274"/>
      <c r="C739" s="274"/>
      <c r="D739" s="274"/>
      <c r="E739" s="274"/>
      <c r="F739" s="242"/>
      <c r="G739" s="245">
        <f>G49+G505+G591+G592+G593+G594+G596+G677+G685+G699+G701+G703+G627</f>
        <v>30220941.300000001</v>
      </c>
      <c r="H739" s="245">
        <f>H49+H505+H591+H592+H593+H594+H596+H677+H685+H699+H701+H703+H627</f>
        <v>29663492.620000001</v>
      </c>
      <c r="I739" s="54">
        <f>I49+I505+I591+I592+I593+I594+I596+I677+I685+I699+I701+I703+I627</f>
        <v>14528653.52</v>
      </c>
    </row>
    <row r="740" spans="1:10" hidden="1" x14ac:dyDescent="0.3">
      <c r="A740" s="241"/>
      <c r="B740" s="282" t="s">
        <v>695</v>
      </c>
      <c r="C740" s="282"/>
      <c r="D740" s="282"/>
      <c r="E740" s="282"/>
      <c r="F740" s="242"/>
      <c r="G740" s="245">
        <f>G641+G707</f>
        <v>392800</v>
      </c>
      <c r="H740" s="245">
        <f>H641+H707</f>
        <v>392800</v>
      </c>
      <c r="I740" s="54">
        <f>I641+I707</f>
        <v>355200</v>
      </c>
    </row>
    <row r="741" spans="1:10" hidden="1" x14ac:dyDescent="0.3">
      <c r="A741" s="274" t="s">
        <v>696</v>
      </c>
      <c r="B741" s="274"/>
      <c r="C741" s="274"/>
      <c r="D741" s="274"/>
      <c r="E741" s="274"/>
      <c r="F741" s="242"/>
      <c r="G741" s="245">
        <f>G35+G38+G65+G127+G232+G276+G306+G321+G395+G401+G669+G258+G598</f>
        <v>23158935.830000002</v>
      </c>
      <c r="H741" s="245">
        <f>H35+H38+H65+H127+H232+H276+H306+H321+H395+H401+H669+H258+H598</f>
        <v>22234499.420000002</v>
      </c>
      <c r="I741" s="54">
        <f>I35+I38+I65+I127+I232+I276+I306+I321+I395+I401+I669+I258+I598</f>
        <v>15725594.380000001</v>
      </c>
    </row>
    <row r="742" spans="1:10" hidden="1" x14ac:dyDescent="0.3">
      <c r="A742" s="241"/>
      <c r="B742" s="282" t="s">
        <v>686</v>
      </c>
      <c r="C742" s="282"/>
      <c r="D742" s="282"/>
      <c r="E742" s="282"/>
      <c r="F742" s="242"/>
      <c r="G742" s="245">
        <f>G735</f>
        <v>488537979.19</v>
      </c>
      <c r="H742" s="245">
        <f>H735</f>
        <v>355464076.61000001</v>
      </c>
      <c r="I742" s="54">
        <f>I735</f>
        <v>23548000</v>
      </c>
    </row>
    <row r="743" spans="1:10" hidden="1" x14ac:dyDescent="0.3">
      <c r="A743" s="241"/>
      <c r="B743" s="249"/>
      <c r="C743" s="249"/>
      <c r="D743" s="249"/>
      <c r="E743" s="249"/>
      <c r="F743" s="242"/>
      <c r="G743" s="245">
        <f>SUM(G736:G742)</f>
        <v>628705219.23000002</v>
      </c>
      <c r="H743" s="245">
        <f>SUM(H736:H742)</f>
        <v>484041696.07000005</v>
      </c>
      <c r="I743" s="54">
        <f>SUM(I736:I742)</f>
        <v>161518661.90000001</v>
      </c>
    </row>
    <row r="744" spans="1:10" hidden="1" x14ac:dyDescent="0.3">
      <c r="A744" s="241"/>
      <c r="B744" s="242"/>
      <c r="C744" s="242"/>
      <c r="D744" s="242"/>
      <c r="E744" s="249" t="s">
        <v>697</v>
      </c>
      <c r="F744" s="242"/>
      <c r="G744" s="245">
        <f>G9+G12+G14+G15+G16+G19+G22+G23+G31+G32+G310+G311+G312+G623+G624+G625+G665+G666+G667</f>
        <v>30242975.93</v>
      </c>
      <c r="H744" s="245">
        <f>H9+H12+H14+H15+H16+H19+H22+H23+H31+H32+H310+H311+H312+H623+H624+H625+H665+H666+H667</f>
        <v>28850815.289999999</v>
      </c>
      <c r="I744" s="54">
        <f>I9+I12+I14+I15+I16+I19+I22+I23+I31+I32+I310+I311+I312+I623+I624+I625+I665+I666+I667</f>
        <v>51768042</v>
      </c>
    </row>
    <row r="745" spans="1:10" hidden="1" x14ac:dyDescent="0.3">
      <c r="A745" s="241"/>
      <c r="B745" s="242"/>
      <c r="C745" s="242"/>
      <c r="D745" s="242"/>
      <c r="E745" s="249" t="s">
        <v>698</v>
      </c>
      <c r="F745" s="242"/>
      <c r="G745" s="245" t="e">
        <f>(#REF!*30.48%)</f>
        <v>#REF!</v>
      </c>
      <c r="H745" s="245" t="e">
        <f>(#REF!*30.48%)</f>
        <v>#REF!</v>
      </c>
      <c r="I745" s="54" t="e">
        <f>(#REF!*30.48%)</f>
        <v>#REF!</v>
      </c>
    </row>
    <row r="746" spans="1:10" hidden="1" x14ac:dyDescent="0.3">
      <c r="A746" s="241"/>
      <c r="B746" s="242"/>
      <c r="C746" s="242"/>
      <c r="D746" s="242"/>
      <c r="E746" s="249" t="s">
        <v>699</v>
      </c>
      <c r="F746" s="242"/>
      <c r="G746" s="245">
        <f>(1148000+1042000+33899000)*130.2%</f>
        <v>46987877.999999993</v>
      </c>
      <c r="H746" s="245">
        <f>(1148000+1042000+33899000)*130.2%</f>
        <v>46987877.999999993</v>
      </c>
      <c r="I746" s="54">
        <f>(1148000+1042000+33899000)*130.2%</f>
        <v>46987877.999999993</v>
      </c>
    </row>
    <row r="747" spans="1:10" hidden="1" x14ac:dyDescent="0.3">
      <c r="A747" s="241"/>
      <c r="B747" s="242"/>
      <c r="C747" s="242"/>
      <c r="D747" s="242"/>
      <c r="E747" s="249" t="s">
        <v>700</v>
      </c>
      <c r="F747" s="242"/>
      <c r="G747" s="245">
        <f>G9+G12+G14+G19+G32+G310+G623+G665</f>
        <v>24616060.489999998</v>
      </c>
      <c r="H747" s="245">
        <f>H9+H12+H14+H19+H32+H310+H623+H665</f>
        <v>24048934.07</v>
      </c>
      <c r="I747" s="54">
        <f>I9+I12+I14+I19+I32+I310+I623+I665</f>
        <v>45805961</v>
      </c>
    </row>
    <row r="748" spans="1:10" x14ac:dyDescent="0.3">
      <c r="A748" s="241"/>
      <c r="B748" s="242"/>
      <c r="C748" s="242"/>
      <c r="D748" s="242"/>
      <c r="E748" s="242"/>
      <c r="F748" s="242"/>
      <c r="G748" s="245"/>
      <c r="H748" s="244"/>
    </row>
    <row r="749" spans="1:10" x14ac:dyDescent="0.3">
      <c r="E749" s="250"/>
      <c r="H749" s="251"/>
      <c r="I749" s="252"/>
      <c r="J749" s="252"/>
    </row>
    <row r="750" spans="1:10" x14ac:dyDescent="0.3">
      <c r="H750" s="251"/>
      <c r="I750" s="252"/>
      <c r="J750" s="252"/>
    </row>
    <row r="751" spans="1:10" x14ac:dyDescent="0.3">
      <c r="H751" s="251"/>
      <c r="I751" s="252"/>
      <c r="J751" s="252"/>
    </row>
  </sheetData>
  <mergeCells count="23">
    <mergeCell ref="A738:E738"/>
    <mergeCell ref="A739:E739"/>
    <mergeCell ref="B740:E740"/>
    <mergeCell ref="A741:E741"/>
    <mergeCell ref="B742:E742"/>
    <mergeCell ref="A737:E737"/>
    <mergeCell ref="F3:F4"/>
    <mergeCell ref="G3:G4"/>
    <mergeCell ref="H3:H4"/>
    <mergeCell ref="J3:J4"/>
    <mergeCell ref="A710:G710"/>
    <mergeCell ref="B711:E715"/>
    <mergeCell ref="B716:E720"/>
    <mergeCell ref="B721:E725"/>
    <mergeCell ref="B726:E730"/>
    <mergeCell ref="B731:E735"/>
    <mergeCell ref="A736:E736"/>
    <mergeCell ref="A1:I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т_1</vt:lpstr>
      <vt:lpstr>т_2</vt:lpstr>
      <vt:lpstr>Лист3</vt:lpstr>
      <vt:lpstr>грбс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2017-05-21T23:41:09Z</dcterms:modified>
</cp:coreProperties>
</file>