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9"/>
  </bookViews>
  <sheets>
    <sheet name="П1ИВФ" sheetId="11" r:id="rId1"/>
    <sheet name="П4ДОХОДЫ " sheetId="20" state="hidden" r:id="rId2"/>
    <sheet name="П2ДОХОДЫ" sheetId="25" r:id="rId3"/>
    <sheet name="П3РБАЦС" sheetId="12" r:id="rId4"/>
    <sheet name="П4ВСР" sheetId="21" r:id="rId5"/>
    <sheet name="П3_Доходы" sheetId="3" state="hidden" r:id="rId6"/>
    <sheet name="П5МП" sheetId="10" r:id="rId7"/>
    <sheet name="Лист2" sheetId="53" state="hidden" r:id="rId8"/>
    <sheet name="П6РБАРПР" sheetId="14" r:id="rId9"/>
    <sheet name="П7ПМВЗ" sheetId="16" r:id="rId10"/>
    <sheet name="прогноз" sheetId="50" state="hidden" r:id="rId11"/>
    <sheet name="ожидаемое исполнение" sheetId="51" state="hidden" r:id="rId12"/>
    <sheet name="Верхний предел " sheetId="49" state="hidden" r:id="rId13"/>
    <sheet name="Лист1" sheetId="45" state="hidden" r:id="rId14"/>
    <sheet name="информация" sheetId="41" r:id="rId15"/>
    <sheet name="информация 1" sheetId="54" r:id="rId16"/>
    <sheet name="информация 2" sheetId="55" r:id="rId17"/>
    <sheet name="доп.информация" sheetId="40" state="hidden" r:id="rId18"/>
    <sheet name="доп.доп.информация" sheetId="39" state="hidden" r:id="rId19"/>
  </sheets>
  <externalReferences>
    <externalReference r:id="rId20"/>
  </externalReferences>
  <definedNames>
    <definedName name="_xlnm.Print_Titles" localSheetId="5">П3_Доходы!$8:$8</definedName>
  </definedNames>
  <calcPr calcId="152511"/>
</workbook>
</file>

<file path=xl/calcChain.xml><?xml version="1.0" encoding="utf-8"?>
<calcChain xmlns="http://schemas.openxmlformats.org/spreadsheetml/2006/main">
  <c r="Z450" i="21" l="1"/>
  <c r="Z236" i="21"/>
  <c r="Z223" i="21" l="1"/>
  <c r="Z208" i="21"/>
  <c r="Z658" i="21" l="1"/>
  <c r="Z657" i="21"/>
  <c r="Z520" i="21"/>
  <c r="Z454" i="21"/>
  <c r="Z173" i="21"/>
  <c r="Z289" i="21" l="1"/>
  <c r="Z422" i="21" l="1"/>
  <c r="Z441" i="21" l="1"/>
  <c r="I53" i="10" l="1"/>
  <c r="U298" i="12"/>
  <c r="U299" i="12"/>
  <c r="Z465" i="21"/>
  <c r="Z476" i="21"/>
  <c r="Z505" i="21"/>
  <c r="Z506" i="21"/>
  <c r="U296" i="12" l="1"/>
  <c r="Z494" i="21" l="1"/>
  <c r="J145" i="54"/>
  <c r="Z240" i="21"/>
  <c r="Z238" i="21" l="1"/>
  <c r="AA494" i="21" l="1"/>
  <c r="AB494" i="21"/>
  <c r="AA500" i="21"/>
  <c r="AA499" i="21" s="1"/>
  <c r="AB500" i="21"/>
  <c r="AB499" i="21" s="1"/>
  <c r="Z500" i="21"/>
  <c r="Z499" i="21" s="1"/>
  <c r="Z369" i="21" l="1"/>
  <c r="Z368" i="21" s="1"/>
  <c r="U93" i="12" s="1"/>
  <c r="U92" i="12" s="1"/>
  <c r="Z365" i="21"/>
  <c r="Z364" i="21" s="1"/>
  <c r="U69" i="12" s="1"/>
  <c r="U68" i="12" s="1"/>
  <c r="Z453" i="21" l="1"/>
  <c r="Z389" i="21"/>
  <c r="Z73" i="21" l="1"/>
  <c r="Z126" i="21"/>
  <c r="Z684" i="10" l="1"/>
  <c r="J173" i="55" l="1"/>
  <c r="Z228" i="21" l="1"/>
  <c r="Z69" i="21"/>
  <c r="U97" i="12" l="1"/>
  <c r="U98" i="12"/>
  <c r="Z60" i="21"/>
  <c r="U96" i="12"/>
  <c r="U44" i="12" l="1"/>
  <c r="U43" i="12" s="1"/>
  <c r="Z242" i="21"/>
  <c r="J124" i="55" l="1"/>
  <c r="Z353" i="21" l="1"/>
  <c r="J108" i="55"/>
  <c r="E164" i="25"/>
  <c r="U91" i="12"/>
  <c r="U90" i="12" s="1"/>
  <c r="J155" i="55"/>
  <c r="Z421" i="21"/>
  <c r="E124" i="25" l="1"/>
  <c r="E123" i="25"/>
  <c r="E121" i="25"/>
  <c r="E120" i="25"/>
  <c r="E118" i="25"/>
  <c r="E115" i="25"/>
  <c r="E104" i="25"/>
  <c r="E103" i="25"/>
  <c r="E91" i="25"/>
  <c r="E90" i="25"/>
  <c r="E89" i="25"/>
  <c r="E81" i="25"/>
  <c r="E72" i="25"/>
  <c r="E66" i="25"/>
  <c r="E61" i="25"/>
  <c r="E60" i="25"/>
  <c r="E56" i="25"/>
  <c r="E101" i="25" l="1"/>
  <c r="F80" i="25"/>
  <c r="G80" i="25"/>
  <c r="E80" i="25"/>
  <c r="Z447" i="21" l="1"/>
  <c r="J261" i="55" l="1"/>
  <c r="Z317" i="21"/>
  <c r="Z21" i="21" l="1"/>
  <c r="Z322" i="21"/>
  <c r="Z30" i="21"/>
  <c r="Z27" i="21"/>
  <c r="Z540" i="21" l="1"/>
  <c r="E157" i="25"/>
  <c r="Z325" i="21"/>
  <c r="E154" i="25"/>
  <c r="Z241" i="21"/>
  <c r="U301" i="12" s="1"/>
  <c r="U300" i="12" s="1"/>
  <c r="Z572" i="21"/>
  <c r="E44" i="25" l="1"/>
  <c r="K243" i="41" l="1"/>
  <c r="J184" i="41"/>
  <c r="J90" i="41"/>
  <c r="J103" i="41"/>
  <c r="Z436" i="21"/>
  <c r="Z457" i="21"/>
  <c r="Z533" i="21" l="1"/>
  <c r="Z531" i="21" s="1"/>
  <c r="Z524" i="21"/>
  <c r="Z523" i="21"/>
  <c r="K100" i="41" l="1"/>
  <c r="L100" i="41"/>
  <c r="J100" i="41"/>
  <c r="K103" i="41"/>
  <c r="L103" i="41"/>
  <c r="K160" i="41"/>
  <c r="L160" i="41"/>
  <c r="J160" i="41"/>
  <c r="V89" i="12"/>
  <c r="V88" i="12" s="1"/>
  <c r="W89" i="12"/>
  <c r="W88" i="12" s="1"/>
  <c r="U89" i="12"/>
  <c r="U88" i="12" s="1"/>
  <c r="AA72" i="21" l="1"/>
  <c r="AB72" i="21"/>
  <c r="Z72" i="21"/>
  <c r="Z394" i="21"/>
  <c r="Z97" i="21"/>
  <c r="Z661" i="21" l="1"/>
  <c r="Z375" i="21"/>
  <c r="Z386" i="21"/>
  <c r="K90" i="41"/>
  <c r="L90" i="41"/>
  <c r="AA382" i="21"/>
  <c r="AA381" i="21" s="1"/>
  <c r="AB382" i="21"/>
  <c r="AB381" i="21" s="1"/>
  <c r="Z382" i="21"/>
  <c r="Z381" i="21" s="1"/>
  <c r="E43" i="25" l="1"/>
  <c r="Z230" i="21" l="1"/>
  <c r="Z516" i="21" l="1"/>
  <c r="Z510" i="21" s="1"/>
  <c r="Z530" i="21" l="1"/>
  <c r="I34" i="10" s="1"/>
  <c r="Z529" i="21" l="1"/>
  <c r="E69" i="25"/>
  <c r="Z528" i="21" l="1"/>
  <c r="U530" i="12"/>
  <c r="Z418" i="21"/>
  <c r="Z417" i="21" s="1"/>
  <c r="I49" i="10" s="1"/>
  <c r="Z416" i="21" l="1"/>
  <c r="Z175" i="21"/>
  <c r="U211" i="12" l="1"/>
  <c r="Z496" i="21" l="1"/>
  <c r="Z495" i="21" s="1"/>
  <c r="U292" i="12" s="1"/>
  <c r="U291" i="12" s="1"/>
  <c r="J123" i="54"/>
  <c r="Z462" i="21" l="1"/>
  <c r="Z461" i="21" s="1"/>
  <c r="U271" i="12" s="1"/>
  <c r="U270" i="12" s="1"/>
  <c r="Z75" i="21"/>
  <c r="Z244" i="21"/>
  <c r="Z247" i="21"/>
  <c r="U309" i="12" s="1"/>
  <c r="U308" i="12" s="1"/>
  <c r="Z201" i="21" l="1"/>
  <c r="U242" i="12" s="1"/>
  <c r="U241" i="12" s="1"/>
  <c r="Z199" i="21"/>
  <c r="U240" i="12" s="1"/>
  <c r="U239" i="12" s="1"/>
  <c r="Z197" i="21"/>
  <c r="U238" i="12" s="1"/>
  <c r="U237" i="12" s="1"/>
  <c r="Z195" i="21"/>
  <c r="U236" i="12" s="1"/>
  <c r="U235" i="12" s="1"/>
  <c r="Z193" i="21"/>
  <c r="U234" i="12" s="1"/>
  <c r="U233" i="12" s="1"/>
  <c r="Z191" i="21"/>
  <c r="U232" i="12" s="1"/>
  <c r="U231" i="12" s="1"/>
  <c r="Z186" i="21" l="1"/>
  <c r="Z526" i="21"/>
  <c r="Z239" i="21"/>
  <c r="Z385" i="21" l="1"/>
  <c r="U102" i="12" l="1"/>
  <c r="U101" i="12" s="1"/>
  <c r="Z225" i="21"/>
  <c r="E156" i="25"/>
  <c r="J74" i="41" l="1"/>
  <c r="E86" i="25"/>
  <c r="E87" i="25"/>
  <c r="E34" i="25"/>
  <c r="E31" i="25"/>
  <c r="F41" i="25" l="1"/>
  <c r="G41" i="25"/>
  <c r="E41" i="25"/>
  <c r="E40" i="25" s="1"/>
  <c r="Z603" i="21" l="1"/>
  <c r="Z598" i="21"/>
  <c r="Z338" i="21"/>
  <c r="Z413" i="21" l="1"/>
  <c r="Z412" i="21" s="1"/>
  <c r="Z67" i="21"/>
  <c r="U95" i="12" s="1"/>
  <c r="U94" i="12" s="1"/>
  <c r="Z525" i="21"/>
  <c r="W262" i="12"/>
  <c r="Z213" i="21"/>
  <c r="U260" i="12" s="1"/>
  <c r="Z212" i="21"/>
  <c r="D28" i="14" l="1"/>
  <c r="U177" i="12"/>
  <c r="U176" i="12" s="1"/>
  <c r="Z411" i="21"/>
  <c r="Z410" i="21" s="1"/>
  <c r="Z509" i="21"/>
  <c r="U305" i="12" l="1"/>
  <c r="U304" i="12" s="1"/>
  <c r="Z573" i="21"/>
  <c r="U344" i="12" s="1"/>
  <c r="U343" i="12" s="1"/>
  <c r="G28" i="25" l="1"/>
  <c r="F28" i="25"/>
  <c r="E28" i="25"/>
  <c r="G26" i="25"/>
  <c r="F26" i="25"/>
  <c r="E26" i="25"/>
  <c r="Z358" i="21" l="1"/>
  <c r="L327" i="55" l="1"/>
  <c r="K327" i="55"/>
  <c r="J327" i="55"/>
  <c r="L326" i="55"/>
  <c r="K326" i="55"/>
  <c r="J326" i="55"/>
  <c r="L325" i="55"/>
  <c r="K325" i="55"/>
  <c r="L324" i="55"/>
  <c r="L328" i="55" s="1"/>
  <c r="K324" i="55"/>
  <c r="K328" i="55" s="1"/>
  <c r="L321" i="55"/>
  <c r="K321" i="55"/>
  <c r="J321" i="55"/>
  <c r="J320" i="55"/>
  <c r="L319" i="55"/>
  <c r="L322" i="55" s="1"/>
  <c r="K319" i="55"/>
  <c r="K322" i="55" s="1"/>
  <c r="J314" i="55"/>
  <c r="L312" i="55"/>
  <c r="K312" i="55"/>
  <c r="L307" i="55"/>
  <c r="L317" i="55" s="1"/>
  <c r="K307" i="55"/>
  <c r="K317" i="55" s="1"/>
  <c r="J307" i="55"/>
  <c r="L285" i="55"/>
  <c r="K285" i="55"/>
  <c r="J285" i="55"/>
  <c r="L281" i="55"/>
  <c r="K281" i="55"/>
  <c r="J281" i="55"/>
  <c r="J325" i="55" s="1"/>
  <c r="L276" i="55"/>
  <c r="K276" i="55"/>
  <c r="J276" i="55"/>
  <c r="L261" i="55"/>
  <c r="K261" i="55"/>
  <c r="L254" i="55"/>
  <c r="K254" i="55"/>
  <c r="J254" i="55"/>
  <c r="L241" i="55"/>
  <c r="K241" i="55"/>
  <c r="J241" i="55"/>
  <c r="L194" i="55"/>
  <c r="K194" i="55"/>
  <c r="J194" i="55"/>
  <c r="L191" i="55"/>
  <c r="K191" i="55"/>
  <c r="L173" i="55"/>
  <c r="K173" i="55"/>
  <c r="L155" i="55"/>
  <c r="K155" i="55"/>
  <c r="L152" i="55"/>
  <c r="K152" i="55"/>
  <c r="J152" i="55"/>
  <c r="J324" i="55"/>
  <c r="J328" i="55" s="1"/>
  <c r="L124" i="55"/>
  <c r="K124" i="55"/>
  <c r="L118" i="55"/>
  <c r="K118" i="55"/>
  <c r="J118" i="55"/>
  <c r="L108" i="55"/>
  <c r="K108" i="55"/>
  <c r="J322" i="55" l="1"/>
  <c r="K296" i="55"/>
  <c r="L296" i="55"/>
  <c r="J313" i="55"/>
  <c r="J312" i="55" s="1"/>
  <c r="J317" i="55" s="1"/>
  <c r="J296" i="55"/>
  <c r="J103" i="54" l="1"/>
  <c r="Z378" i="21"/>
  <c r="Z377" i="21" s="1"/>
  <c r="U58" i="12" s="1"/>
  <c r="U57" i="12" s="1"/>
  <c r="E140" i="25" l="1"/>
  <c r="Z456" i="21" l="1"/>
  <c r="Z373" i="21"/>
  <c r="Z372" i="21" s="1"/>
  <c r="Z360" i="21" s="1"/>
  <c r="U60" i="12" l="1"/>
  <c r="Z162" i="21" l="1"/>
  <c r="Z156" i="21"/>
  <c r="Z99" i="21"/>
  <c r="Z188" i="21"/>
  <c r="Z261" i="21"/>
  <c r="Z309" i="21"/>
  <c r="Z132" i="21"/>
  <c r="Z116" i="21"/>
  <c r="Z114" i="21"/>
  <c r="Z110" i="21"/>
  <c r="Z63" i="21" l="1"/>
  <c r="L285" i="54"/>
  <c r="K285" i="54"/>
  <c r="J285" i="54"/>
  <c r="L284" i="54"/>
  <c r="K284" i="54"/>
  <c r="J284" i="54"/>
  <c r="L283" i="54"/>
  <c r="K283" i="54"/>
  <c r="L282" i="54"/>
  <c r="L286" i="54" s="1"/>
  <c r="K282" i="54"/>
  <c r="K286" i="54" s="1"/>
  <c r="J282" i="54"/>
  <c r="J286" i="54" s="1"/>
  <c r="L279" i="54"/>
  <c r="K279" i="54"/>
  <c r="J279" i="54"/>
  <c r="J278" i="54"/>
  <c r="L277" i="54"/>
  <c r="L280" i="54" s="1"/>
  <c r="K277" i="54"/>
  <c r="K280" i="54" s="1"/>
  <c r="J272" i="54"/>
  <c r="K270" i="54"/>
  <c r="L265" i="54"/>
  <c r="L275" i="54" s="1"/>
  <c r="K265" i="54"/>
  <c r="K275" i="54" s="1"/>
  <c r="J265" i="54"/>
  <c r="L243" i="54"/>
  <c r="K243" i="54"/>
  <c r="J243" i="54"/>
  <c r="L239" i="54"/>
  <c r="K239" i="54"/>
  <c r="J239" i="54"/>
  <c r="J283" i="54" s="1"/>
  <c r="L234" i="54"/>
  <c r="K234" i="54"/>
  <c r="J234" i="54"/>
  <c r="L220" i="54"/>
  <c r="K220" i="54"/>
  <c r="J220" i="54"/>
  <c r="L213" i="54"/>
  <c r="K213" i="54"/>
  <c r="J213" i="54"/>
  <c r="J200" i="54"/>
  <c r="L200" i="54"/>
  <c r="K200" i="54"/>
  <c r="J153" i="54"/>
  <c r="L153" i="54"/>
  <c r="K153" i="54"/>
  <c r="L150" i="54"/>
  <c r="K150" i="54"/>
  <c r="L145" i="54"/>
  <c r="K145" i="54"/>
  <c r="L127" i="54"/>
  <c r="K127" i="54"/>
  <c r="J127" i="54"/>
  <c r="L123" i="54"/>
  <c r="K123" i="54"/>
  <c r="L103" i="54"/>
  <c r="K103" i="54"/>
  <c r="L97" i="54"/>
  <c r="K97" i="54"/>
  <c r="J97" i="54"/>
  <c r="K87" i="54"/>
  <c r="J87" i="54"/>
  <c r="L87" i="54"/>
  <c r="J271" i="54"/>
  <c r="Z295" i="21"/>
  <c r="J280" i="54" l="1"/>
  <c r="L254" i="54"/>
  <c r="K254" i="54"/>
  <c r="J270" i="54"/>
  <c r="J275" i="54" s="1"/>
  <c r="J254" i="54"/>
  <c r="L270" i="54"/>
  <c r="G22" i="25"/>
  <c r="F22" i="25"/>
  <c r="E22" i="25"/>
  <c r="G24" i="25"/>
  <c r="F24" i="25"/>
  <c r="E24" i="25"/>
  <c r="F21" i="25" l="1"/>
  <c r="E21" i="25"/>
  <c r="G21" i="25"/>
  <c r="J113" i="41"/>
  <c r="Z568" i="21"/>
  <c r="Z275" i="21"/>
  <c r="U428" i="12" s="1"/>
  <c r="U427" i="12" s="1"/>
  <c r="Z274" i="21" l="1"/>
  <c r="E55" i="25"/>
  <c r="E176" i="25" s="1"/>
  <c r="Z54" i="21"/>
  <c r="Z65" i="21"/>
  <c r="Z62" i="21"/>
  <c r="Z553" i="21"/>
  <c r="E53" i="25" l="1"/>
  <c r="AB566" i="21"/>
  <c r="AB568" i="21"/>
  <c r="AA566" i="21"/>
  <c r="AA568" i="21"/>
  <c r="AA716" i="21"/>
  <c r="Z612" i="21"/>
  <c r="L170" i="41"/>
  <c r="L184" i="41" s="1"/>
  <c r="K170" i="41"/>
  <c r="K184" i="41" s="1"/>
  <c r="AB645" i="21" l="1"/>
  <c r="AA645" i="21"/>
  <c r="G158" i="25"/>
  <c r="F158" i="25"/>
  <c r="AB584" i="21"/>
  <c r="AA584" i="21"/>
  <c r="G162" i="25"/>
  <c r="F162" i="25"/>
  <c r="G152" i="25"/>
  <c r="F152" i="25"/>
  <c r="AB603" i="21"/>
  <c r="AA603" i="21"/>
  <c r="AB580" i="21"/>
  <c r="AA580" i="21"/>
  <c r="G156" i="25"/>
  <c r="F156" i="25"/>
  <c r="AB83" i="21"/>
  <c r="AA83" i="21"/>
  <c r="Z83" i="21"/>
  <c r="AB80" i="21"/>
  <c r="AA80" i="21"/>
  <c r="Z80" i="21"/>
  <c r="G160" i="25"/>
  <c r="F160" i="25"/>
  <c r="AB651" i="21"/>
  <c r="AA651" i="21"/>
  <c r="AB77" i="21"/>
  <c r="AA77" i="21"/>
  <c r="G155" i="25" l="1"/>
  <c r="F155" i="25"/>
  <c r="E155" i="25"/>
  <c r="AB38" i="21"/>
  <c r="AA38" i="21"/>
  <c r="Z38" i="21"/>
  <c r="AB356" i="21"/>
  <c r="AA356" i="21"/>
  <c r="Z356" i="21"/>
  <c r="G157" i="25"/>
  <c r="F157" i="25"/>
  <c r="J170" i="41"/>
  <c r="G150" i="25" l="1"/>
  <c r="F150" i="25"/>
  <c r="E143" i="25"/>
  <c r="AB225" i="21"/>
  <c r="AA225" i="21"/>
  <c r="AB130" i="21"/>
  <c r="AA130" i="21"/>
  <c r="Z130" i="21"/>
  <c r="Z263" i="21"/>
  <c r="Z331" i="21"/>
  <c r="Z340" i="21"/>
  <c r="E173" i="25" l="1"/>
  <c r="Z77" i="21"/>
  <c r="Z86" i="21"/>
  <c r="E161" i="25"/>
  <c r="Z641" i="21"/>
  <c r="Z645" i="21"/>
  <c r="E158" i="25"/>
  <c r="E152" i="25"/>
  <c r="Z580" i="21"/>
  <c r="Z584" i="21"/>
  <c r="E162" i="25"/>
  <c r="E159" i="25"/>
  <c r="Z635" i="21"/>
  <c r="E160" i="25"/>
  <c r="Z638" i="21"/>
  <c r="Z651" i="21"/>
  <c r="Z562" i="21"/>
  <c r="Z350" i="21"/>
  <c r="Z620" i="21"/>
  <c r="E175" i="25" l="1"/>
  <c r="Z171" i="21"/>
  <c r="Z74" i="21" l="1"/>
  <c r="U100" i="12" l="1"/>
  <c r="U99" i="12" s="1"/>
  <c r="Z315" i="21"/>
  <c r="Z286" i="21"/>
  <c r="C17" i="11"/>
  <c r="Z720" i="21"/>
  <c r="Z18" i="21" l="1"/>
  <c r="Z15" i="21"/>
  <c r="G30" i="53" l="1"/>
  <c r="G29" i="53"/>
  <c r="D68" i="53"/>
  <c r="D64" i="53"/>
  <c r="F50" i="53"/>
  <c r="D50" i="53"/>
  <c r="E50" i="53"/>
  <c r="F37" i="53"/>
  <c r="E37" i="53"/>
  <c r="D37" i="53"/>
  <c r="D17" i="53"/>
  <c r="V87" i="12" l="1"/>
  <c r="V86" i="12"/>
  <c r="AA64" i="21"/>
  <c r="W87" i="12"/>
  <c r="W86" i="12"/>
  <c r="AB64" i="21"/>
  <c r="AB553" i="21"/>
  <c r="W84" i="12"/>
  <c r="V84" i="12"/>
  <c r="W83" i="12"/>
  <c r="V83" i="12"/>
  <c r="AB61" i="21"/>
  <c r="AA61" i="21"/>
  <c r="AB223" i="21"/>
  <c r="AA223" i="21"/>
  <c r="AB59" i="21"/>
  <c r="W81" i="12" s="1"/>
  <c r="W80" i="12" s="1"/>
  <c r="AA59" i="21"/>
  <c r="V81" i="12" s="1"/>
  <c r="V80" i="12" s="1"/>
  <c r="AB572" i="21"/>
  <c r="AA572" i="21"/>
  <c r="U87" i="12"/>
  <c r="U84" i="12"/>
  <c r="Z64" i="21"/>
  <c r="Z61" i="21"/>
  <c r="W85" i="12" l="1"/>
  <c r="W82" i="12"/>
  <c r="V82" i="12"/>
  <c r="V85" i="12"/>
  <c r="Z566" i="21"/>
  <c r="E150" i="25"/>
  <c r="E174" i="25" l="1"/>
  <c r="E153" i="25"/>
  <c r="E163" i="25"/>
  <c r="G153" i="25"/>
  <c r="U86" i="12" l="1"/>
  <c r="U85" i="12" s="1"/>
  <c r="U83" i="12"/>
  <c r="U82" i="12" s="1"/>
  <c r="U81" i="12"/>
  <c r="U80" i="12" s="1"/>
  <c r="Z59" i="21"/>
  <c r="AB549" i="21" l="1"/>
  <c r="E20" i="11"/>
  <c r="D20" i="11"/>
  <c r="C20" i="11"/>
  <c r="AB612" i="21"/>
  <c r="AA612" i="21"/>
  <c r="AB720" i="21"/>
  <c r="AA720" i="21"/>
  <c r="Z693" i="21"/>
  <c r="W452" i="12" l="1"/>
  <c r="W451" i="12" s="1"/>
  <c r="V452" i="12"/>
  <c r="V451" i="12" s="1"/>
  <c r="U452" i="12"/>
  <c r="U451" i="12" s="1"/>
  <c r="F153" i="25"/>
  <c r="AB286" i="21"/>
  <c r="AA286" i="21"/>
  <c r="Z163" i="21" l="1"/>
  <c r="U200" i="12" s="1"/>
  <c r="U199" i="12" s="1"/>
  <c r="AB716" i="21" l="1"/>
  <c r="N11" i="49" l="1"/>
  <c r="M11" i="49"/>
  <c r="K11" i="49"/>
  <c r="J11" i="49"/>
  <c r="H11" i="49"/>
  <c r="G11" i="49"/>
  <c r="E11" i="49"/>
  <c r="D11" i="49"/>
  <c r="C11" i="49"/>
  <c r="F10" i="49"/>
  <c r="I10" i="49" s="1"/>
  <c r="L10" i="49" s="1"/>
  <c r="O10" i="49" s="1"/>
  <c r="I9" i="49"/>
  <c r="L9" i="49" s="1"/>
  <c r="O9" i="49" s="1"/>
  <c r="F8" i="49"/>
  <c r="I8" i="49" s="1"/>
  <c r="L8" i="49" s="1"/>
  <c r="O8" i="49" s="1"/>
  <c r="A8" i="49"/>
  <c r="A9" i="49" s="1"/>
  <c r="A10" i="49" s="1"/>
  <c r="F7" i="49"/>
  <c r="I7" i="49" s="1"/>
  <c r="L7" i="49" s="1"/>
  <c r="O7" i="49" s="1"/>
  <c r="F11" i="49" l="1"/>
  <c r="I11" i="49" s="1"/>
  <c r="L11" i="49" s="1"/>
  <c r="O11" i="49" s="1"/>
  <c r="W408" i="12"/>
  <c r="W407" i="12" s="1"/>
  <c r="V408" i="12"/>
  <c r="V407" i="12" s="1"/>
  <c r="U408" i="12"/>
  <c r="U407" i="12" s="1"/>
  <c r="Z692" i="21"/>
  <c r="U440" i="12" s="1"/>
  <c r="U439" i="12" s="1"/>
  <c r="Z688" i="21"/>
  <c r="U436" i="12" s="1"/>
  <c r="U435" i="12" s="1"/>
  <c r="Z684" i="21"/>
  <c r="U432" i="12" s="1"/>
  <c r="U431" i="12" s="1"/>
  <c r="Z676" i="21"/>
  <c r="U373" i="12" s="1"/>
  <c r="U372" i="12" s="1"/>
  <c r="E17" i="50" l="1"/>
  <c r="G34" i="25" l="1"/>
  <c r="AB355" i="21" l="1"/>
  <c r="AA355" i="21"/>
  <c r="Z355" i="21"/>
  <c r="O8" i="51" l="1"/>
  <c r="N8" i="51"/>
  <c r="L21" i="51" l="1"/>
  <c r="AB555" i="21" l="1"/>
  <c r="AA555" i="21"/>
  <c r="Z555" i="21"/>
  <c r="G159" i="25"/>
  <c r="AB635" i="21"/>
  <c r="AB638" i="21"/>
  <c r="AA638" i="21"/>
  <c r="AB641" i="21"/>
  <c r="AA641" i="21"/>
  <c r="G161" i="25"/>
  <c r="F161" i="25"/>
  <c r="F163" i="25" l="1"/>
  <c r="F136" i="25"/>
  <c r="G163" i="25"/>
  <c r="G136" i="25"/>
  <c r="H65" i="51"/>
  <c r="N68" i="51"/>
  <c r="E65" i="51" l="1"/>
  <c r="F34" i="51"/>
  <c r="J100" i="51"/>
  <c r="M113" i="51" l="1"/>
  <c r="D113" i="51"/>
  <c r="M112" i="51"/>
  <c r="D112" i="51"/>
  <c r="O111" i="51"/>
  <c r="N111" i="51"/>
  <c r="J111" i="51"/>
  <c r="G111" i="51"/>
  <c r="D111" i="51"/>
  <c r="O110" i="51"/>
  <c r="N110" i="51"/>
  <c r="J110" i="51"/>
  <c r="G110" i="51"/>
  <c r="D110" i="51"/>
  <c r="O109" i="51"/>
  <c r="N109" i="51"/>
  <c r="J109" i="51"/>
  <c r="G109" i="51"/>
  <c r="D109" i="51"/>
  <c r="O108" i="51"/>
  <c r="N108" i="51"/>
  <c r="J108" i="51"/>
  <c r="G108" i="51"/>
  <c r="D108" i="51"/>
  <c r="O107" i="51"/>
  <c r="N107" i="51"/>
  <c r="M107" i="51" s="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N91" i="51"/>
  <c r="N90" i="51" s="1"/>
  <c r="J91" i="51"/>
  <c r="G91" i="51"/>
  <c r="D91" i="51"/>
  <c r="L90" i="51"/>
  <c r="J90" i="51" s="1"/>
  <c r="K90" i="51"/>
  <c r="I90" i="51"/>
  <c r="H90" i="51"/>
  <c r="F90" i="51"/>
  <c r="E90" i="51"/>
  <c r="O89" i="51"/>
  <c r="N89" i="51"/>
  <c r="J89" i="51"/>
  <c r="G89" i="51"/>
  <c r="D89" i="51"/>
  <c r="N88" i="51"/>
  <c r="M88" i="51" s="1"/>
  <c r="J88" i="51"/>
  <c r="G88" i="51"/>
  <c r="D88" i="51"/>
  <c r="N87" i="51"/>
  <c r="M87" i="51" s="1"/>
  <c r="J87" i="51"/>
  <c r="G87" i="51"/>
  <c r="D87" i="51"/>
  <c r="O86" i="51"/>
  <c r="N86" i="51"/>
  <c r="J86" i="51"/>
  <c r="G86" i="51"/>
  <c r="D86" i="51"/>
  <c r="L85" i="51"/>
  <c r="K85" i="51"/>
  <c r="I85" i="51"/>
  <c r="H85" i="51"/>
  <c r="F85" i="51"/>
  <c r="E85" i="51"/>
  <c r="O84" i="51"/>
  <c r="N84" i="51"/>
  <c r="J84" i="51"/>
  <c r="G84" i="51"/>
  <c r="D84" i="51"/>
  <c r="O83" i="51"/>
  <c r="N83" i="51"/>
  <c r="J83" i="51"/>
  <c r="G83" i="51"/>
  <c r="D83" i="51"/>
  <c r="O82" i="51"/>
  <c r="N82" i="51"/>
  <c r="M82" i="51" s="1"/>
  <c r="J82" i="51"/>
  <c r="G82" i="51"/>
  <c r="D82" i="51"/>
  <c r="O81" i="51"/>
  <c r="N81" i="51"/>
  <c r="J81" i="51"/>
  <c r="G81" i="51"/>
  <c r="D81" i="51"/>
  <c r="L80" i="51"/>
  <c r="K80" i="51"/>
  <c r="I80" i="51"/>
  <c r="H80" i="51"/>
  <c r="F80" i="51"/>
  <c r="E80" i="51"/>
  <c r="O79" i="51"/>
  <c r="M79" i="51" s="1"/>
  <c r="J79" i="51"/>
  <c r="G79" i="51"/>
  <c r="D79" i="51"/>
  <c r="O78" i="51"/>
  <c r="N78" i="51"/>
  <c r="J78" i="51"/>
  <c r="G78" i="51"/>
  <c r="D78" i="51"/>
  <c r="O77" i="51"/>
  <c r="M77" i="51" s="1"/>
  <c r="N77" i="51"/>
  <c r="J77" i="51"/>
  <c r="G77" i="51"/>
  <c r="D77" i="51"/>
  <c r="O76" i="51"/>
  <c r="N76" i="51"/>
  <c r="M76" i="51" s="1"/>
  <c r="J76" i="51"/>
  <c r="G76" i="51"/>
  <c r="D76" i="51"/>
  <c r="O75" i="51"/>
  <c r="N75" i="51"/>
  <c r="J75" i="51"/>
  <c r="G75" i="51"/>
  <c r="D75" i="51"/>
  <c r="L74" i="51"/>
  <c r="K74" i="51"/>
  <c r="I74" i="51"/>
  <c r="G74" i="51" s="1"/>
  <c r="E74" i="51"/>
  <c r="D74" i="51" s="1"/>
  <c r="O72" i="51"/>
  <c r="M72" i="51" s="1"/>
  <c r="N72" i="51"/>
  <c r="J72" i="51"/>
  <c r="G72" i="51"/>
  <c r="D72" i="51"/>
  <c r="N71" i="51"/>
  <c r="L71" i="51"/>
  <c r="K71" i="51"/>
  <c r="J71" i="51" s="1"/>
  <c r="I71" i="51"/>
  <c r="H71" i="51"/>
  <c r="F71" i="51"/>
  <c r="E71" i="51"/>
  <c r="O70" i="51"/>
  <c r="N70" i="51"/>
  <c r="J70" i="51"/>
  <c r="G70" i="51"/>
  <c r="D70" i="51"/>
  <c r="O69" i="51"/>
  <c r="M69" i="51" s="1"/>
  <c r="J69" i="51"/>
  <c r="G69" i="51"/>
  <c r="D69" i="51"/>
  <c r="O67" i="51"/>
  <c r="N67" i="51"/>
  <c r="J67" i="51"/>
  <c r="G67" i="51"/>
  <c r="D67" i="51"/>
  <c r="O66" i="51"/>
  <c r="N66" i="51"/>
  <c r="J66" i="51"/>
  <c r="G66" i="51"/>
  <c r="D66" i="51"/>
  <c r="L65" i="51"/>
  <c r="K65" i="51"/>
  <c r="I65" i="51"/>
  <c r="F65" i="51"/>
  <c r="D65" i="51" s="1"/>
  <c r="O64" i="51"/>
  <c r="O62" i="51" s="1"/>
  <c r="N64" i="51"/>
  <c r="J64" i="51"/>
  <c r="G64" i="51"/>
  <c r="D64" i="51"/>
  <c r="N63" i="51"/>
  <c r="M63" i="51" s="1"/>
  <c r="J63" i="51"/>
  <c r="G63" i="51"/>
  <c r="D63" i="51"/>
  <c r="L62" i="51"/>
  <c r="K62" i="51"/>
  <c r="I62" i="51"/>
  <c r="H62" i="51"/>
  <c r="F62" i="51"/>
  <c r="E62" i="51"/>
  <c r="O61" i="51"/>
  <c r="N61" i="51"/>
  <c r="J61" i="51"/>
  <c r="G61" i="51"/>
  <c r="D61" i="51"/>
  <c r="O60" i="51"/>
  <c r="N60" i="51"/>
  <c r="J60" i="51"/>
  <c r="G60" i="51"/>
  <c r="D60" i="51"/>
  <c r="O59" i="51"/>
  <c r="M59" i="51" s="1"/>
  <c r="J59" i="51"/>
  <c r="G59" i="51"/>
  <c r="D59" i="51"/>
  <c r="O58" i="51"/>
  <c r="N58" i="51"/>
  <c r="J58" i="51"/>
  <c r="G58" i="51"/>
  <c r="D58" i="51"/>
  <c r="L57" i="51"/>
  <c r="K57" i="51"/>
  <c r="I57" i="51"/>
  <c r="H57" i="51"/>
  <c r="F57" i="51"/>
  <c r="E57" i="51"/>
  <c r="O56" i="51"/>
  <c r="N56" i="51"/>
  <c r="M56" i="51" s="1"/>
  <c r="J56" i="51"/>
  <c r="G56" i="51"/>
  <c r="D56" i="51"/>
  <c r="O55" i="51"/>
  <c r="M55" i="51" s="1"/>
  <c r="J55" i="51"/>
  <c r="G55" i="51"/>
  <c r="D55" i="51"/>
  <c r="O54" i="51"/>
  <c r="N54" i="51"/>
  <c r="J54" i="51"/>
  <c r="G54" i="51"/>
  <c r="D54" i="51"/>
  <c r="M53" i="51"/>
  <c r="J53" i="51"/>
  <c r="G53" i="51"/>
  <c r="D53" i="51"/>
  <c r="O52" i="51"/>
  <c r="M52" i="51" s="1"/>
  <c r="J52" i="51"/>
  <c r="G52" i="51"/>
  <c r="D52" i="51"/>
  <c r="O51" i="51"/>
  <c r="M51" i="51" s="1"/>
  <c r="J51" i="51"/>
  <c r="G51" i="51"/>
  <c r="D51" i="51"/>
  <c r="N50" i="51"/>
  <c r="L50" i="51"/>
  <c r="K50" i="51"/>
  <c r="I50" i="51"/>
  <c r="H50" i="51"/>
  <c r="G50" i="51" s="1"/>
  <c r="F50" i="51"/>
  <c r="E50" i="51"/>
  <c r="O49" i="51"/>
  <c r="N49" i="51"/>
  <c r="J49" i="51"/>
  <c r="G49" i="51"/>
  <c r="D49" i="51"/>
  <c r="O48" i="51"/>
  <c r="M48" i="51" s="1"/>
  <c r="J48" i="51"/>
  <c r="G48" i="51"/>
  <c r="D48" i="51"/>
  <c r="O47" i="51"/>
  <c r="N47" i="51"/>
  <c r="J47" i="51"/>
  <c r="G47" i="51"/>
  <c r="D47" i="51"/>
  <c r="O46" i="51"/>
  <c r="N46" i="51"/>
  <c r="M46" i="51" s="1"/>
  <c r="J46" i="51"/>
  <c r="G46" i="51"/>
  <c r="D46" i="51"/>
  <c r="L45" i="51"/>
  <c r="K45" i="51"/>
  <c r="I45" i="51"/>
  <c r="G45" i="51" s="1"/>
  <c r="H45" i="51"/>
  <c r="F45" i="51"/>
  <c r="E45" i="51"/>
  <c r="N44" i="51"/>
  <c r="N43" i="51" s="1"/>
  <c r="J44" i="51"/>
  <c r="G44" i="51"/>
  <c r="D44" i="51"/>
  <c r="O43" i="51"/>
  <c r="L43" i="51"/>
  <c r="K43" i="51"/>
  <c r="J43" i="51" s="1"/>
  <c r="I43" i="51"/>
  <c r="H43" i="51"/>
  <c r="F43" i="51"/>
  <c r="E43" i="51"/>
  <c r="O42" i="51"/>
  <c r="N42" i="51"/>
  <c r="J42" i="51"/>
  <c r="G42" i="51"/>
  <c r="D42" i="51"/>
  <c r="O41" i="51"/>
  <c r="N41" i="51"/>
  <c r="J41" i="51"/>
  <c r="G41" i="51"/>
  <c r="D41" i="51"/>
  <c r="M40" i="51"/>
  <c r="J40" i="51"/>
  <c r="G40" i="51"/>
  <c r="D40" i="51"/>
  <c r="O39" i="51"/>
  <c r="N39" i="51"/>
  <c r="M39" i="51" s="1"/>
  <c r="J39" i="51"/>
  <c r="G39" i="51"/>
  <c r="D39" i="51"/>
  <c r="O38" i="51"/>
  <c r="N38" i="51"/>
  <c r="J38" i="51"/>
  <c r="G38" i="51"/>
  <c r="D38" i="51"/>
  <c r="O37" i="51"/>
  <c r="N37" i="51"/>
  <c r="J37" i="51"/>
  <c r="G37" i="51"/>
  <c r="D37" i="51"/>
  <c r="O36" i="51"/>
  <c r="M36" i="51" s="1"/>
  <c r="N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s="1"/>
  <c r="J26" i="51"/>
  <c r="G26" i="51"/>
  <c r="D26" i="51"/>
  <c r="M25" i="51"/>
  <c r="J25" i="51"/>
  <c r="G25" i="51"/>
  <c r="D25" i="51"/>
  <c r="M24" i="51"/>
  <c r="J24" i="51"/>
  <c r="G24" i="51"/>
  <c r="D24" i="51"/>
  <c r="M23" i="51"/>
  <c r="J23" i="51"/>
  <c r="G23" i="51"/>
  <c r="D23" i="51"/>
  <c r="M22" i="51"/>
  <c r="J22" i="51"/>
  <c r="G22" i="51"/>
  <c r="D22" i="51"/>
  <c r="L31" i="51"/>
  <c r="K21" i="51"/>
  <c r="K31" i="51" s="1"/>
  <c r="I21" i="51"/>
  <c r="H21" i="51"/>
  <c r="H31" i="51" s="1"/>
  <c r="F21" i="51"/>
  <c r="F31" i="51" s="1"/>
  <c r="E21" i="51"/>
  <c r="D21" i="51" s="1"/>
  <c r="O20" i="51"/>
  <c r="N20" i="51"/>
  <c r="J20" i="51"/>
  <c r="G20" i="51"/>
  <c r="D20" i="51"/>
  <c r="O19" i="51"/>
  <c r="N19" i="51"/>
  <c r="J19" i="51"/>
  <c r="G19" i="51"/>
  <c r="D19" i="51"/>
  <c r="O18" i="51"/>
  <c r="N18" i="51"/>
  <c r="J18" i="51"/>
  <c r="G18" i="51"/>
  <c r="D18" i="51"/>
  <c r="O17" i="51"/>
  <c r="N17" i="51"/>
  <c r="J17" i="51"/>
  <c r="G17" i="51"/>
  <c r="D17" i="51"/>
  <c r="N16" i="51"/>
  <c r="M16" i="51" s="1"/>
  <c r="J16" i="51"/>
  <c r="G16" i="51"/>
  <c r="D16" i="51"/>
  <c r="O15" i="51"/>
  <c r="N15" i="51"/>
  <c r="J15" i="51"/>
  <c r="G15" i="51"/>
  <c r="D15" i="51"/>
  <c r="O14" i="51"/>
  <c r="N14" i="51"/>
  <c r="J14" i="51"/>
  <c r="G14" i="51"/>
  <c r="D14" i="51"/>
  <c r="O13" i="51"/>
  <c r="N13" i="51"/>
  <c r="J13" i="51"/>
  <c r="G13" i="51"/>
  <c r="D13" i="51"/>
  <c r="O12" i="51"/>
  <c r="N12" i="51"/>
  <c r="M12" i="51" s="1"/>
  <c r="J12" i="51"/>
  <c r="G12" i="51"/>
  <c r="D12" i="51"/>
  <c r="O11" i="51"/>
  <c r="N11" i="51"/>
  <c r="J11" i="51"/>
  <c r="G11" i="51"/>
  <c r="D11" i="51"/>
  <c r="O10" i="51"/>
  <c r="N10" i="51"/>
  <c r="J10" i="51"/>
  <c r="G10" i="51"/>
  <c r="D10" i="51"/>
  <c r="O9" i="51"/>
  <c r="N9" i="51"/>
  <c r="J9" i="51"/>
  <c r="G9" i="51"/>
  <c r="D9" i="51"/>
  <c r="M8" i="51"/>
  <c r="J8" i="51"/>
  <c r="G8" i="51"/>
  <c r="D8" i="51"/>
  <c r="D36" i="50"/>
  <c r="C36" i="50"/>
  <c r="B36" i="50"/>
  <c r="J35" i="50"/>
  <c r="D35" i="50" s="1"/>
  <c r="I35" i="50"/>
  <c r="C35" i="50" s="1"/>
  <c r="H35" i="50"/>
  <c r="B35" i="50" s="1"/>
  <c r="D34" i="50"/>
  <c r="C34" i="50"/>
  <c r="B34" i="50"/>
  <c r="J33" i="50"/>
  <c r="D33" i="50" s="1"/>
  <c r="I33" i="50"/>
  <c r="C33" i="50" s="1"/>
  <c r="H33" i="50"/>
  <c r="B33" i="50" s="1"/>
  <c r="J32" i="50"/>
  <c r="D32" i="50" s="1"/>
  <c r="I32" i="50"/>
  <c r="C32" i="50" s="1"/>
  <c r="H32" i="50"/>
  <c r="B32" i="50" s="1"/>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s="1"/>
  <c r="J24" i="50"/>
  <c r="D24" i="50" s="1"/>
  <c r="I24" i="50"/>
  <c r="C24" i="50" s="1"/>
  <c r="H24" i="50"/>
  <c r="B24" i="50" s="1"/>
  <c r="J23" i="50"/>
  <c r="D23" i="50" s="1"/>
  <c r="I23" i="50"/>
  <c r="C23" i="50" s="1"/>
  <c r="H23" i="50"/>
  <c r="B23" i="50" s="1"/>
  <c r="J22" i="50"/>
  <c r="D22" i="50" s="1"/>
  <c r="I22" i="50"/>
  <c r="C22" i="50" s="1"/>
  <c r="H22" i="50"/>
  <c r="B22" i="50" s="1"/>
  <c r="J21" i="50"/>
  <c r="D21" i="50" s="1"/>
  <c r="I21" i="50"/>
  <c r="C21" i="50" s="1"/>
  <c r="H21" i="50"/>
  <c r="B21" i="50" s="1"/>
  <c r="J20" i="50"/>
  <c r="D20" i="50" s="1"/>
  <c r="I20" i="50"/>
  <c r="C20" i="50" s="1"/>
  <c r="H20" i="50"/>
  <c r="B20" i="50" s="1"/>
  <c r="J19" i="50"/>
  <c r="D19" i="50" s="1"/>
  <c r="I19" i="50"/>
  <c r="C19" i="50" s="1"/>
  <c r="H19" i="50"/>
  <c r="B19" i="50" s="1"/>
  <c r="J18" i="50"/>
  <c r="I18" i="50"/>
  <c r="C18" i="50" s="1"/>
  <c r="H18" i="50"/>
  <c r="B18" i="50" s="1"/>
  <c r="G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s="1"/>
  <c r="J13" i="50"/>
  <c r="D13" i="50" s="1"/>
  <c r="I13" i="50"/>
  <c r="C13" i="50" s="1"/>
  <c r="H13" i="50"/>
  <c r="B13" i="50" s="1"/>
  <c r="J12" i="50"/>
  <c r="D12" i="50" s="1"/>
  <c r="I12" i="50"/>
  <c r="C12" i="50" s="1"/>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s="1"/>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O39" i="50" s="1"/>
  <c r="N6" i="50"/>
  <c r="M6" i="50"/>
  <c r="L6" i="50"/>
  <c r="L39" i="50" s="1"/>
  <c r="K6" i="50"/>
  <c r="K39" i="50" s="1"/>
  <c r="G6" i="50"/>
  <c r="G39" i="50" s="1"/>
  <c r="F6" i="50"/>
  <c r="E6" i="50"/>
  <c r="M43" i="51" l="1"/>
  <c r="G90" i="51"/>
  <c r="G57" i="51"/>
  <c r="D62" i="51"/>
  <c r="J65" i="51"/>
  <c r="M18" i="51"/>
  <c r="M38" i="51"/>
  <c r="J62" i="51"/>
  <c r="M67" i="51"/>
  <c r="M91" i="51"/>
  <c r="M64" i="51"/>
  <c r="D90" i="51"/>
  <c r="M15" i="51"/>
  <c r="M20" i="51"/>
  <c r="M41" i="51"/>
  <c r="D43" i="51"/>
  <c r="M61" i="51"/>
  <c r="G71" i="51"/>
  <c r="M78" i="51"/>
  <c r="G80" i="51"/>
  <c r="M84" i="51"/>
  <c r="M89" i="51"/>
  <c r="M10" i="51"/>
  <c r="M13" i="51"/>
  <c r="N21" i="51"/>
  <c r="N31" i="51" s="1"/>
  <c r="M37" i="51"/>
  <c r="M49" i="51"/>
  <c r="O50" i="51"/>
  <c r="D57" i="51"/>
  <c r="N62" i="51"/>
  <c r="M62" i="51" s="1"/>
  <c r="J74" i="51"/>
  <c r="G43" i="51"/>
  <c r="M44" i="51"/>
  <c r="M58" i="51"/>
  <c r="D71" i="51"/>
  <c r="M110" i="51"/>
  <c r="M9" i="51"/>
  <c r="M60" i="51"/>
  <c r="M70" i="51"/>
  <c r="D80" i="51"/>
  <c r="M83" i="51"/>
  <c r="M111" i="51"/>
  <c r="M26" i="50"/>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I31" i="51"/>
  <c r="N34" i="51"/>
  <c r="M66" i="51"/>
  <c r="O65" i="51"/>
  <c r="M81" i="51"/>
  <c r="N80" i="51"/>
  <c r="O21" i="51"/>
  <c r="E31" i="51"/>
  <c r="N57" i="51"/>
  <c r="M57" i="51" s="1"/>
  <c r="N74" i="51"/>
  <c r="O80" i="51"/>
  <c r="M11" i="51"/>
  <c r="E95" i="51"/>
  <c r="E114" i="51" s="1"/>
  <c r="I95" i="51"/>
  <c r="I114" i="51" s="1"/>
  <c r="O34" i="51"/>
  <c r="N45" i="5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M45" i="51" l="1"/>
  <c r="B6" i="50"/>
  <c r="H26" i="50"/>
  <c r="H30" i="50" s="1"/>
  <c r="C40" i="50"/>
  <c r="I39" i="50"/>
  <c r="C39" i="50" s="1"/>
  <c r="J26" i="50"/>
  <c r="J30" i="50" s="1"/>
  <c r="J4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A553" i="21" l="1"/>
  <c r="F34" i="25"/>
  <c r="G16" i="25"/>
  <c r="G15" i="25" s="1"/>
  <c r="F16" i="25"/>
  <c r="F15" i="25" s="1"/>
  <c r="G101" i="25" l="1"/>
  <c r="F101" i="25"/>
  <c r="G73" i="25"/>
  <c r="F73" i="25"/>
  <c r="G67" i="25"/>
  <c r="F67" i="25"/>
  <c r="G53" i="25"/>
  <c r="F53" i="25"/>
  <c r="G47" i="25"/>
  <c r="F47" i="25"/>
  <c r="G20" i="25"/>
  <c r="F20" i="25"/>
  <c r="W46" i="12" l="1"/>
  <c r="W45" i="12" s="1"/>
  <c r="V46" i="12"/>
  <c r="V45" i="12" s="1"/>
  <c r="U46" i="12"/>
  <c r="U45" i="12" s="1"/>
  <c r="Z215" i="21"/>
  <c r="U262" i="12" s="1"/>
  <c r="AA173" i="21" l="1"/>
  <c r="AA549" i="21"/>
  <c r="AB609" i="21"/>
  <c r="AA609" i="21"/>
  <c r="AB215" i="21"/>
  <c r="W261" i="12" s="1"/>
  <c r="AA215" i="21"/>
  <c r="V262" i="12" s="1"/>
  <c r="V261" i="12" s="1"/>
  <c r="AB19" i="21"/>
  <c r="AA19" i="21"/>
  <c r="AB17" i="21"/>
  <c r="AA17" i="21"/>
  <c r="AB14" i="21"/>
  <c r="AB13" i="21" s="1"/>
  <c r="F12" i="53" s="1"/>
  <c r="AA14" i="21"/>
  <c r="AA13" i="21" s="1"/>
  <c r="E12" i="53" s="1"/>
  <c r="W416" i="12"/>
  <c r="V416" i="12"/>
  <c r="U416" i="12"/>
  <c r="W417" i="12"/>
  <c r="V417" i="12"/>
  <c r="U417" i="12"/>
  <c r="W418" i="12"/>
  <c r="V418" i="12"/>
  <c r="U418" i="12"/>
  <c r="AB615" i="21"/>
  <c r="AA615" i="21"/>
  <c r="Z615" i="21"/>
  <c r="AB52" i="21"/>
  <c r="AB51" i="21" s="1"/>
  <c r="AA52" i="21"/>
  <c r="AA51" i="21" s="1"/>
  <c r="Z52" i="21"/>
  <c r="Z51" i="21" s="1"/>
  <c r="Z549" i="21"/>
  <c r="AB668" i="21"/>
  <c r="AA668" i="21"/>
  <c r="Z668" i="21"/>
  <c r="AB678" i="21"/>
  <c r="K46" i="10" s="1"/>
  <c r="AA678" i="21"/>
  <c r="J46" i="10" s="1"/>
  <c r="Z678" i="21"/>
  <c r="I46" i="10" s="1"/>
  <c r="AB623" i="21"/>
  <c r="W424" i="12" s="1"/>
  <c r="W423" i="12" s="1"/>
  <c r="AA623" i="21"/>
  <c r="V424" i="12" s="1"/>
  <c r="V423" i="12" s="1"/>
  <c r="Z623" i="21"/>
  <c r="U424" i="12" s="1"/>
  <c r="U423" i="12" s="1"/>
  <c r="AB696" i="21"/>
  <c r="W446" i="12" s="1"/>
  <c r="W445" i="12" s="1"/>
  <c r="AA696" i="21"/>
  <c r="V446" i="12" s="1"/>
  <c r="V445" i="12" s="1"/>
  <c r="U71" i="12" l="1"/>
  <c r="U70" i="12" s="1"/>
  <c r="W375" i="12"/>
  <c r="W374" i="12" s="1"/>
  <c r="V375" i="12"/>
  <c r="V374" i="12" s="1"/>
  <c r="V71" i="12"/>
  <c r="V70" i="12" s="1"/>
  <c r="U375" i="12"/>
  <c r="U374" i="12" s="1"/>
  <c r="AB16" i="21"/>
  <c r="F13" i="53" s="1"/>
  <c r="W415" i="12"/>
  <c r="U415" i="12"/>
  <c r="V415" i="12"/>
  <c r="AA16" i="21"/>
  <c r="E13" i="53" s="1"/>
  <c r="W71" i="12"/>
  <c r="W70" i="12" s="1"/>
  <c r="Z696" i="21"/>
  <c r="U446" i="12" l="1"/>
  <c r="U445" i="12" s="1"/>
  <c r="AB667" i="21"/>
  <c r="K41" i="10" s="1"/>
  <c r="AA667" i="21"/>
  <c r="J41" i="10" s="1"/>
  <c r="Z667" i="21"/>
  <c r="AB565" i="21"/>
  <c r="AA565" i="21"/>
  <c r="Z565" i="21"/>
  <c r="AB548" i="21"/>
  <c r="AA548" i="21"/>
  <c r="Z548" i="21"/>
  <c r="U317" i="12" l="1"/>
  <c r="U316" i="12" s="1"/>
  <c r="U125" i="12"/>
  <c r="U124" i="12" s="1"/>
  <c r="I41" i="10"/>
  <c r="W334" i="12"/>
  <c r="W333" i="12" s="1"/>
  <c r="V334" i="12"/>
  <c r="V333" i="12" s="1"/>
  <c r="V317" i="12"/>
  <c r="V316" i="12" s="1"/>
  <c r="W317" i="12"/>
  <c r="W316" i="12" s="1"/>
  <c r="U334" i="12"/>
  <c r="U333" i="12" s="1"/>
  <c r="W125" i="12"/>
  <c r="W124" i="12" s="1"/>
  <c r="V125" i="12"/>
  <c r="V124" i="12" s="1"/>
  <c r="G140" i="25" l="1"/>
  <c r="F140" i="25"/>
  <c r="AB539" i="21" l="1"/>
  <c r="W536" i="12" s="1"/>
  <c r="W535" i="12" s="1"/>
  <c r="AA539" i="21"/>
  <c r="V536" i="12" s="1"/>
  <c r="V535" i="12" s="1"/>
  <c r="Z539" i="21"/>
  <c r="U536" i="12" s="1"/>
  <c r="U535" i="12" s="1"/>
  <c r="G74" i="25" l="1"/>
  <c r="F74" i="25"/>
  <c r="E18" i="25" l="1"/>
  <c r="E17" i="25"/>
  <c r="E16" i="25"/>
  <c r="E177" i="25" l="1"/>
  <c r="E15" i="25"/>
  <c r="W336" i="12"/>
  <c r="W521" i="12"/>
  <c r="V521" i="12"/>
  <c r="W519" i="12"/>
  <c r="V519" i="12"/>
  <c r="W506" i="12"/>
  <c r="V506" i="12"/>
  <c r="AB644" i="21"/>
  <c r="AA644" i="21"/>
  <c r="W496" i="12"/>
  <c r="V496" i="12"/>
  <c r="W488" i="12"/>
  <c r="V488" i="12"/>
  <c r="W487" i="12"/>
  <c r="V487" i="12"/>
  <c r="W477" i="12"/>
  <c r="V477" i="12"/>
  <c r="W473" i="12"/>
  <c r="V473" i="12"/>
  <c r="W471" i="12"/>
  <c r="V471" i="12"/>
  <c r="W462" i="12"/>
  <c r="V462" i="12"/>
  <c r="W454" i="12"/>
  <c r="V454" i="12"/>
  <c r="W450" i="12"/>
  <c r="V450" i="12"/>
  <c r="W442" i="12"/>
  <c r="V442" i="12"/>
  <c r="W438" i="12"/>
  <c r="V438" i="12"/>
  <c r="W434" i="12"/>
  <c r="V434" i="12"/>
  <c r="W426" i="12"/>
  <c r="V426" i="12"/>
  <c r="W422" i="12"/>
  <c r="V422" i="12"/>
  <c r="W421" i="12"/>
  <c r="V421" i="12"/>
  <c r="W420" i="12"/>
  <c r="V420" i="12"/>
  <c r="W414" i="12"/>
  <c r="V414" i="12"/>
  <c r="W413" i="12"/>
  <c r="V413" i="12"/>
  <c r="W412" i="12"/>
  <c r="V412" i="12"/>
  <c r="W395" i="12"/>
  <c r="V395" i="12"/>
  <c r="W392" i="12"/>
  <c r="V392" i="12"/>
  <c r="W386" i="12"/>
  <c r="V386" i="12"/>
  <c r="W384" i="12"/>
  <c r="V384" i="12"/>
  <c r="W382" i="12"/>
  <c r="V382" i="12"/>
  <c r="W380" i="12"/>
  <c r="V380" i="12"/>
  <c r="W377" i="12"/>
  <c r="V377" i="12"/>
  <c r="W370" i="12"/>
  <c r="V370" i="12"/>
  <c r="W368" i="12"/>
  <c r="V368" i="12"/>
  <c r="W366" i="12"/>
  <c r="V366" i="12"/>
  <c r="W364" i="12"/>
  <c r="V364" i="12"/>
  <c r="W362" i="12"/>
  <c r="V362" i="12"/>
  <c r="W360" i="12"/>
  <c r="V360" i="12"/>
  <c r="W348" i="12"/>
  <c r="V348" i="12"/>
  <c r="W346" i="12"/>
  <c r="V346" i="12"/>
  <c r="W342" i="12"/>
  <c r="V342" i="12"/>
  <c r="V336" i="12"/>
  <c r="W332" i="12"/>
  <c r="V332" i="12"/>
  <c r="W325" i="12"/>
  <c r="V325" i="12"/>
  <c r="W323" i="12"/>
  <c r="V323" i="12"/>
  <c r="W319" i="12"/>
  <c r="V319" i="12"/>
  <c r="W294" i="12"/>
  <c r="V294" i="12"/>
  <c r="W290" i="12"/>
  <c r="V290" i="12"/>
  <c r="W282" i="12"/>
  <c r="V282" i="12"/>
  <c r="W278" i="12"/>
  <c r="V278" i="12"/>
  <c r="W267" i="12"/>
  <c r="V267" i="12"/>
  <c r="W258" i="12"/>
  <c r="V258" i="12"/>
  <c r="W228" i="12"/>
  <c r="V228" i="12"/>
  <c r="W226" i="12"/>
  <c r="V226" i="12"/>
  <c r="W224" i="12"/>
  <c r="V224" i="12"/>
  <c r="W209" i="12"/>
  <c r="V209" i="12"/>
  <c r="W207" i="12"/>
  <c r="V207" i="12"/>
  <c r="W150" i="12"/>
  <c r="V150" i="12"/>
  <c r="W148" i="12"/>
  <c r="V148" i="12"/>
  <c r="W146" i="12"/>
  <c r="V146" i="12"/>
  <c r="W144" i="12"/>
  <c r="V144" i="12"/>
  <c r="W133" i="12"/>
  <c r="V133" i="12"/>
  <c r="W131" i="12"/>
  <c r="V131" i="12"/>
  <c r="W129" i="12"/>
  <c r="V129" i="12"/>
  <c r="W127" i="12"/>
  <c r="W126" i="12" s="1"/>
  <c r="V127" i="12"/>
  <c r="V126" i="12" s="1"/>
  <c r="W110" i="12"/>
  <c r="V110" i="12"/>
  <c r="W108" i="12"/>
  <c r="V108" i="12"/>
  <c r="W107" i="12"/>
  <c r="V107" i="12"/>
  <c r="W105" i="12"/>
  <c r="V105" i="12"/>
  <c r="W104" i="12"/>
  <c r="V104" i="12"/>
  <c r="W73" i="12"/>
  <c r="W72" i="12" s="1"/>
  <c r="V73" i="12"/>
  <c r="V72" i="12" s="1"/>
  <c r="W66" i="12"/>
  <c r="V66" i="12"/>
  <c r="W62" i="12"/>
  <c r="V62" i="12"/>
  <c r="W60" i="12"/>
  <c r="V60" i="12"/>
  <c r="W50" i="12"/>
  <c r="V50" i="12"/>
  <c r="W48" i="12"/>
  <c r="W47" i="12" s="1"/>
  <c r="V48" i="12"/>
  <c r="V47"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571" i="21"/>
  <c r="E178" i="25" l="1"/>
  <c r="W409" i="12"/>
  <c r="V409" i="12"/>
  <c r="AB642" i="21"/>
  <c r="V103" i="12"/>
  <c r="V32" i="12"/>
  <c r="V106" i="12"/>
  <c r="W32" i="12"/>
  <c r="W103" i="12"/>
  <c r="W106" i="12"/>
  <c r="V18" i="12"/>
  <c r="V15" i="12" s="1"/>
  <c r="W18" i="12"/>
  <c r="W15" i="12" s="1"/>
  <c r="Z109" i="21"/>
  <c r="Z88" i="21"/>
  <c r="AB680" i="21" l="1"/>
  <c r="AB675" i="21" s="1"/>
  <c r="F42" i="53" s="1"/>
  <c r="AA636" i="21"/>
  <c r="AA563" i="21"/>
  <c r="J42" i="10" s="1"/>
  <c r="AA546" i="21"/>
  <c r="V315" i="12" s="1"/>
  <c r="AA303" i="21"/>
  <c r="AB303" i="21"/>
  <c r="AB33" i="21" l="1"/>
  <c r="AA33" i="21"/>
  <c r="G31" i="25"/>
  <c r="F31" i="25"/>
  <c r="E74" i="25" l="1"/>
  <c r="E99" i="25" l="1"/>
  <c r="J108" i="40" l="1"/>
  <c r="J62" i="40"/>
  <c r="Z256" i="21" l="1"/>
  <c r="Z257" i="21"/>
  <c r="U356" i="12" l="1"/>
  <c r="U355" i="12" s="1"/>
  <c r="Z434" i="21"/>
  <c r="Z433" i="21"/>
  <c r="Z432" i="21"/>
  <c r="Z430" i="21"/>
  <c r="Z429" i="21"/>
  <c r="Z428" i="21"/>
  <c r="Z435" i="21"/>
  <c r="U252" i="12"/>
  <c r="U251" i="12" s="1"/>
  <c r="U254" i="12" l="1"/>
  <c r="U253" i="12" s="1"/>
  <c r="Z424" i="21"/>
  <c r="U273" i="12" l="1"/>
  <c r="U272" i="12" s="1"/>
  <c r="Z95" i="21"/>
  <c r="K11" i="10" l="1"/>
  <c r="Z41" i="21" l="1"/>
  <c r="Z601" i="21"/>
  <c r="Z637" i="21"/>
  <c r="E73" i="25"/>
  <c r="E67" i="25" l="1"/>
  <c r="U248" i="12" l="1"/>
  <c r="Z425" i="21"/>
  <c r="Z125" i="21" l="1"/>
  <c r="U160" i="12" s="1"/>
  <c r="U159" i="12" s="1"/>
  <c r="Z282" i="21"/>
  <c r="U448" i="12" s="1"/>
  <c r="U447" i="12" s="1"/>
  <c r="U123" i="12" l="1"/>
  <c r="U122" i="12" s="1"/>
  <c r="Z393" i="21" l="1"/>
  <c r="Z392" i="21" l="1"/>
  <c r="Z391" i="21" s="1"/>
  <c r="E93" i="25" l="1"/>
  <c r="G87" i="25"/>
  <c r="F87" i="25"/>
  <c r="E47" i="25"/>
  <c r="Z180" i="21" l="1"/>
  <c r="U219" i="12" s="1"/>
  <c r="U218" i="12" s="1"/>
  <c r="Z179" i="21"/>
  <c r="Z334" i="21"/>
  <c r="U523" i="12" s="1"/>
  <c r="U522" i="12" s="1"/>
  <c r="U354" i="12" l="1"/>
  <c r="U353" i="12" s="1"/>
  <c r="Z254" i="21"/>
  <c r="U352" i="12" s="1"/>
  <c r="Z255" i="21"/>
  <c r="F69" i="25" l="1"/>
  <c r="G69" i="25"/>
  <c r="J129" i="40" l="1"/>
  <c r="K129" i="40"/>
  <c r="L129" i="40"/>
  <c r="V351" i="12" l="1"/>
  <c r="W351" i="12"/>
  <c r="X351" i="12"/>
  <c r="U351" i="12"/>
  <c r="AA253" i="21"/>
  <c r="AB253" i="21"/>
  <c r="Z253" i="21"/>
  <c r="U496" i="12" l="1"/>
  <c r="Z636" i="21"/>
  <c r="Z479" i="21" l="1"/>
  <c r="AB92" i="21" l="1"/>
  <c r="W121" i="12" s="1"/>
  <c r="W120" i="12" s="1"/>
  <c r="AA92" i="21"/>
  <c r="V121" i="12" s="1"/>
  <c r="V120" i="12" s="1"/>
  <c r="AB104" i="21"/>
  <c r="AA104" i="21"/>
  <c r="Z92" i="21"/>
  <c r="U121" i="12" s="1"/>
  <c r="U120" i="12" s="1"/>
  <c r="Z104" i="21"/>
  <c r="Z581" i="21" l="1"/>
  <c r="U358" i="12" s="1"/>
  <c r="U357" i="12" s="1"/>
  <c r="Z50" i="21" l="1"/>
  <c r="Z178" i="21"/>
  <c r="U217" i="12" l="1"/>
  <c r="U216" i="12" s="1"/>
  <c r="U31" i="12"/>
  <c r="Z613" i="21"/>
  <c r="Z609" i="21" s="1"/>
  <c r="Z131" i="21"/>
  <c r="U166" i="12" s="1"/>
  <c r="U165" i="12" s="1"/>
  <c r="Z644" i="21" l="1"/>
  <c r="Z304"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642" i="21"/>
  <c r="L123" i="40"/>
  <c r="K123" i="40"/>
  <c r="L196" i="40"/>
  <c r="AB84" i="21"/>
  <c r="W111" i="12" s="1"/>
  <c r="W109" i="12" s="1"/>
  <c r="AA84" i="21"/>
  <c r="V111" i="12" s="1"/>
  <c r="V109" i="12" s="1"/>
  <c r="Z84" i="21"/>
  <c r="W37" i="12"/>
  <c r="W275" i="12"/>
  <c r="V275" i="12"/>
  <c r="W494" i="12"/>
  <c r="V494" i="12"/>
  <c r="L146" i="40"/>
  <c r="K146" i="40"/>
  <c r="AB652" i="21"/>
  <c r="AA652" i="21"/>
  <c r="Z652"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79" i="25"/>
  <c r="E181" i="25" s="1"/>
  <c r="K206" i="40"/>
  <c r="K213" i="40" s="1"/>
  <c r="L62" i="40"/>
  <c r="J206" i="40"/>
  <c r="J196" i="40"/>
  <c r="J201" i="40" s="1"/>
  <c r="L180" i="40"/>
  <c r="K180" i="40"/>
  <c r="L213" i="40"/>
  <c r="Z78" i="21"/>
  <c r="J213" i="40" l="1"/>
  <c r="J97" i="41" l="1"/>
  <c r="W164" i="12"/>
  <c r="V164" i="12"/>
  <c r="Z81" i="21" l="1"/>
  <c r="U390" i="12"/>
  <c r="U389" i="12" s="1"/>
  <c r="Z270" i="21"/>
  <c r="U175" i="12"/>
  <c r="U174" i="12" s="1"/>
  <c r="U171" i="12" s="1"/>
  <c r="Z140" i="21"/>
  <c r="U158" i="12"/>
  <c r="U157" i="12" s="1"/>
  <c r="Z123" i="21"/>
  <c r="Z127" i="21" l="1"/>
  <c r="U162" i="12" s="1"/>
  <c r="U161" i="12" s="1"/>
  <c r="U460" i="12"/>
  <c r="U459" i="12" s="1"/>
  <c r="Z292" i="21"/>
  <c r="U215" i="12"/>
  <c r="U214" i="12" s="1"/>
  <c r="Z176" i="21"/>
  <c r="L233" i="41" l="1"/>
  <c r="K233" i="41"/>
  <c r="J233" i="41"/>
  <c r="L232" i="41"/>
  <c r="K232" i="41"/>
  <c r="L231" i="41"/>
  <c r="K231" i="41"/>
  <c r="L230" i="41"/>
  <c r="L234" i="41" s="1"/>
  <c r="K230" i="41"/>
  <c r="K234" i="41" s="1"/>
  <c r="J230" i="41"/>
  <c r="J234" i="41" s="1"/>
  <c r="L227" i="41"/>
  <c r="K227" i="41"/>
  <c r="J227" i="41"/>
  <c r="J226" i="41"/>
  <c r="L225" i="41"/>
  <c r="L228" i="41" s="1"/>
  <c r="K225" i="41"/>
  <c r="K228" i="41" s="1"/>
  <c r="J220" i="41"/>
  <c r="J219" i="41"/>
  <c r="L218" i="41"/>
  <c r="K218" i="41"/>
  <c r="L213" i="41"/>
  <c r="L223" i="41" s="1"/>
  <c r="K213" i="41"/>
  <c r="K223" i="41" s="1"/>
  <c r="J213" i="41"/>
  <c r="L191" i="41"/>
  <c r="K191" i="41"/>
  <c r="J191" i="41"/>
  <c r="J202" i="41" s="1"/>
  <c r="L187" i="41"/>
  <c r="K187" i="41"/>
  <c r="J187" i="41"/>
  <c r="J231" i="41" s="1"/>
  <c r="L163" i="41"/>
  <c r="K163" i="41"/>
  <c r="J163" i="41"/>
  <c r="L113" i="41"/>
  <c r="K113" i="41"/>
  <c r="L110" i="41"/>
  <c r="K110" i="41"/>
  <c r="J110" i="41"/>
  <c r="L97" i="41"/>
  <c r="K97" i="41"/>
  <c r="L84" i="41"/>
  <c r="K84" i="41"/>
  <c r="J84" i="41"/>
  <c r="L74" i="41"/>
  <c r="K74" i="41"/>
  <c r="J218" i="41" l="1"/>
  <c r="J223" i="41" s="1"/>
  <c r="J228" i="41"/>
  <c r="L202" i="41"/>
  <c r="K202" i="41"/>
  <c r="L235" i="41"/>
  <c r="J232" i="41"/>
  <c r="Z17" i="21" l="1"/>
  <c r="U350" i="12" l="1"/>
  <c r="U349" i="12" s="1"/>
  <c r="AB579" i="21"/>
  <c r="W350" i="12" s="1"/>
  <c r="W349" i="12" s="1"/>
  <c r="AA579" i="21"/>
  <c r="V350" i="12" s="1"/>
  <c r="V349" i="12" s="1"/>
  <c r="Z579" i="21" l="1"/>
  <c r="F51" i="25" l="1"/>
  <c r="F50" i="25" s="1"/>
  <c r="G51" i="25"/>
  <c r="G50" i="25" s="1"/>
  <c r="E51" i="25"/>
  <c r="E50" i="25" s="1"/>
  <c r="F86" i="25"/>
  <c r="G86" i="25"/>
  <c r="F84" i="25"/>
  <c r="G84" i="25"/>
  <c r="G83" i="25" s="1"/>
  <c r="E84" i="25"/>
  <c r="E83" i="25" s="1"/>
  <c r="F38" i="25"/>
  <c r="F30" i="25" s="1"/>
  <c r="G38" i="25"/>
  <c r="G30" i="25" s="1"/>
  <c r="E38" i="25"/>
  <c r="E30" i="25" s="1"/>
  <c r="F83" i="25" l="1"/>
  <c r="AB629" i="21"/>
  <c r="AB628" i="21" s="1"/>
  <c r="AA629" i="21"/>
  <c r="V314" i="12" l="1"/>
  <c r="AA628" i="21"/>
  <c r="Z31" i="21" l="1"/>
  <c r="AA31" i="21"/>
  <c r="AB31" i="21"/>
  <c r="AC31" i="21"/>
  <c r="Z37" i="21"/>
  <c r="AA37" i="21"/>
  <c r="AB37" i="21"/>
  <c r="U37" i="12"/>
  <c r="U36" i="12" s="1"/>
  <c r="V36" i="12"/>
  <c r="W36" i="12"/>
  <c r="Z36" i="21" l="1"/>
  <c r="AB36" i="21"/>
  <c r="F15" i="53" s="1"/>
  <c r="AA36" i="21"/>
  <c r="E15" i="53" s="1"/>
  <c r="D15" i="14" l="1"/>
  <c r="D15" i="53"/>
  <c r="F15" i="14"/>
  <c r="E15" i="14"/>
  <c r="K22" i="10"/>
  <c r="J22" i="10"/>
  <c r="J11" i="10"/>
  <c r="AB28" i="21" l="1"/>
  <c r="AA28" i="21"/>
  <c r="W27" i="12" l="1"/>
  <c r="V27" i="12"/>
  <c r="Z111" i="21"/>
  <c r="AB546" i="21"/>
  <c r="W315" i="12" s="1"/>
  <c r="W314" i="12" s="1"/>
  <c r="U150" i="12" l="1"/>
  <c r="U107" i="12" l="1"/>
  <c r="AB79" i="21"/>
  <c r="AA79" i="21"/>
  <c r="U108" i="12"/>
  <c r="AB76" i="21"/>
  <c r="AA76" i="21"/>
  <c r="U105" i="12"/>
  <c r="U104" i="12"/>
  <c r="U103" i="12" l="1"/>
  <c r="U106" i="12"/>
  <c r="Z76" i="21"/>
  <c r="Z79" i="21"/>
  <c r="Z94" i="21" l="1"/>
  <c r="AB53" i="21" l="1"/>
  <c r="AA53" i="21"/>
  <c r="AB561" i="21" l="1"/>
  <c r="W330" i="12" s="1"/>
  <c r="W329" i="12" s="1"/>
  <c r="AA561" i="21"/>
  <c r="V330" i="12" s="1"/>
  <c r="V329" i="12" s="1"/>
  <c r="E97" i="25" l="1"/>
  <c r="F43" i="25"/>
  <c r="G43" i="25"/>
  <c r="Z680" i="21" l="1"/>
  <c r="Z675" i="21" s="1"/>
  <c r="D42" i="53" s="1"/>
  <c r="Z183" i="21" l="1"/>
  <c r="Z155" i="21"/>
  <c r="E188" i="25" l="1"/>
  <c r="E187" i="25"/>
  <c r="J26" i="10" l="1"/>
  <c r="K26" i="10"/>
  <c r="U222" i="12" l="1"/>
  <c r="U221" i="12" s="1"/>
  <c r="Z407" i="21"/>
  <c r="U152" i="12" l="1"/>
  <c r="E185" i="25" l="1"/>
  <c r="E189" i="25" l="1"/>
  <c r="U388" i="12"/>
  <c r="U387" i="12" s="1"/>
  <c r="Z268" i="21"/>
  <c r="U196" i="12"/>
  <c r="U195" i="12" s="1"/>
  <c r="Z159" i="21"/>
  <c r="U394" i="12" l="1"/>
  <c r="Z596" i="21" l="1"/>
  <c r="Z477" i="21" l="1"/>
  <c r="Z478" i="21"/>
  <c r="U286" i="12" l="1"/>
  <c r="U285" i="12" s="1"/>
  <c r="Z519" i="21" l="1"/>
  <c r="I17" i="10" s="1"/>
  <c r="Z518" i="21" l="1"/>
  <c r="U456" i="12" l="1"/>
  <c r="U455" i="12" s="1"/>
  <c r="U186" i="12"/>
  <c r="U185" i="12" s="1"/>
  <c r="Z149" i="21"/>
  <c r="E167" i="25" l="1"/>
  <c r="V230" i="12" l="1"/>
  <c r="V229" i="12" s="1"/>
  <c r="W230" i="12"/>
  <c r="W229" i="12" s="1"/>
  <c r="U230" i="12"/>
  <c r="U229" i="12" s="1"/>
  <c r="AA189" i="21"/>
  <c r="AB189" i="21"/>
  <c r="Z189" i="21"/>
  <c r="V151" i="12"/>
  <c r="W151" i="12"/>
  <c r="U151" i="12"/>
  <c r="AA117" i="21"/>
  <c r="AB117" i="21"/>
  <c r="Z117" i="21"/>
  <c r="V149" i="12"/>
  <c r="W149" i="12"/>
  <c r="X149" i="12"/>
  <c r="U149" i="12"/>
  <c r="AA115" i="21"/>
  <c r="AB115" i="21"/>
  <c r="AC115" i="21"/>
  <c r="Z115" i="21"/>
  <c r="Z152" i="21"/>
  <c r="V30" i="12"/>
  <c r="W30" i="12"/>
  <c r="U30" i="12"/>
  <c r="AC23" i="21"/>
  <c r="E132" i="25" l="1"/>
  <c r="G165" i="25" l="1"/>
  <c r="F165" i="25"/>
  <c r="F169" i="25" s="1"/>
  <c r="E165" i="25"/>
  <c r="E169" i="25" l="1"/>
  <c r="E137" i="25"/>
  <c r="E136" i="25" s="1"/>
  <c r="G137" i="25"/>
  <c r="G169" i="25"/>
  <c r="F137" i="25"/>
  <c r="G174" i="25"/>
  <c r="F174" i="25"/>
  <c r="G176" i="25"/>
  <c r="F176" i="25"/>
  <c r="G175" i="25"/>
  <c r="F175" i="25"/>
  <c r="F173" i="25" l="1"/>
  <c r="F179" i="25"/>
  <c r="F181" i="25" s="1"/>
  <c r="G173" i="25"/>
  <c r="G179" i="25"/>
  <c r="G181" i="25" s="1"/>
  <c r="G40" i="25"/>
  <c r="G134" i="25" s="1"/>
  <c r="F40" i="25"/>
  <c r="F134" i="25" s="1"/>
  <c r="F177" i="25" l="1"/>
  <c r="G177" i="25"/>
  <c r="G178" i="25" s="1"/>
  <c r="F197" i="25"/>
  <c r="G197" i="25"/>
  <c r="E20" i="25"/>
  <c r="E134" i="25" s="1"/>
  <c r="E14" i="25"/>
  <c r="E13" i="25" s="1"/>
  <c r="F14" i="25"/>
  <c r="G14" i="25"/>
  <c r="E170" i="25" l="1"/>
  <c r="K212" i="41" s="1"/>
  <c r="G13" i="25"/>
  <c r="F13" i="25"/>
  <c r="F170" i="25" s="1"/>
  <c r="F178" i="25"/>
  <c r="K247" i="39" l="1"/>
  <c r="K331" i="55"/>
  <c r="K289" i="54"/>
  <c r="K305" i="55"/>
  <c r="K329" i="55"/>
  <c r="K263" i="54"/>
  <c r="K287" i="54"/>
  <c r="E197" i="25"/>
  <c r="K221" i="39"/>
  <c r="K218" i="39"/>
  <c r="K214" i="40"/>
  <c r="K189" i="40"/>
  <c r="E205" i="25"/>
  <c r="K237" i="41"/>
  <c r="K211" i="41"/>
  <c r="K216" i="40"/>
  <c r="E193" i="25"/>
  <c r="F193" i="25"/>
  <c r="F205" i="25"/>
  <c r="G193" i="25"/>
  <c r="G205" i="25"/>
  <c r="E190" i="25"/>
  <c r="E180" i="25"/>
  <c r="G170" i="25"/>
  <c r="G180" i="25"/>
  <c r="F180" i="25"/>
  <c r="Z400" i="21" l="1"/>
  <c r="G44" i="20"/>
  <c r="G42" i="20"/>
  <c r="F42" i="20"/>
  <c r="F44" i="20"/>
  <c r="Z399" i="21" l="1"/>
  <c r="Z398" i="21" s="1"/>
  <c r="U210" i="12"/>
  <c r="E42" i="20"/>
  <c r="E44" i="20"/>
  <c r="U77" i="12" l="1"/>
  <c r="U76" i="12" s="1"/>
  <c r="Z55" i="21"/>
  <c r="Z576" i="21" l="1"/>
  <c r="Z564" i="21"/>
  <c r="E20" i="20"/>
  <c r="E19" i="20"/>
  <c r="E67" i="20" l="1"/>
  <c r="W479" i="12" l="1"/>
  <c r="W478" i="12" s="1"/>
  <c r="V479" i="12"/>
  <c r="V478" i="12" s="1"/>
  <c r="U479" i="12"/>
  <c r="U478" i="12" s="1"/>
  <c r="U481" i="12"/>
  <c r="U480" i="12" s="1"/>
  <c r="AB310" i="21"/>
  <c r="AA310" i="21"/>
  <c r="Z310" i="21"/>
  <c r="AB315" i="21"/>
  <c r="AA315" i="21"/>
  <c r="Z312" i="21"/>
  <c r="U204" i="12" l="1"/>
  <c r="U203" i="12" s="1"/>
  <c r="Z221" i="21" l="1"/>
  <c r="Z167" i="21" l="1"/>
  <c r="U414" i="12" l="1"/>
  <c r="W257" i="12"/>
  <c r="V257" i="12"/>
  <c r="AB208" i="21"/>
  <c r="AA208" i="21"/>
  <c r="Z211" i="21"/>
  <c r="AB211" i="21"/>
  <c r="AA211" i="21"/>
  <c r="W399" i="12"/>
  <c r="V399" i="12"/>
  <c r="U399" i="12"/>
  <c r="W400" i="12"/>
  <c r="V400" i="12"/>
  <c r="U400" i="12"/>
  <c r="AB605" i="21"/>
  <c r="AA605" i="21"/>
  <c r="AB601" i="21"/>
  <c r="AA601" i="21"/>
  <c r="U258" i="12" l="1"/>
  <c r="U257" i="12" s="1"/>
  <c r="V398" i="12"/>
  <c r="W398" i="12"/>
  <c r="W279" i="12"/>
  <c r="V279" i="12"/>
  <c r="Z467" i="21" l="1"/>
  <c r="Z466" i="21" l="1"/>
  <c r="W130" i="12"/>
  <c r="V130" i="12"/>
  <c r="U131" i="12"/>
  <c r="U130" i="12" s="1"/>
  <c r="AB96" i="21"/>
  <c r="AA96" i="21"/>
  <c r="Z96" i="21"/>
  <c r="AB101" i="21"/>
  <c r="AA101" i="21"/>
  <c r="Z101" i="21"/>
  <c r="I20" i="10" l="1"/>
  <c r="U280" i="12"/>
  <c r="U279" i="12" s="1"/>
  <c r="W397" i="12" l="1"/>
  <c r="W396" i="12" s="1"/>
  <c r="V397" i="12"/>
  <c r="V396" i="12" s="1"/>
  <c r="U397" i="12"/>
  <c r="U396" i="12" s="1"/>
  <c r="AB599" i="21"/>
  <c r="AA599" i="21"/>
  <c r="Z599" i="21"/>
  <c r="Z595" i="21" s="1"/>
  <c r="U506" i="12"/>
  <c r="Z158" i="21"/>
  <c r="U499" i="12"/>
  <c r="Z639" i="21"/>
  <c r="U493" i="12"/>
  <c r="Z633" i="21"/>
  <c r="U473" i="12"/>
  <c r="Z629" i="21"/>
  <c r="Z628" i="21" s="1"/>
  <c r="E18" i="20"/>
  <c r="U213" i="12"/>
  <c r="U212" i="12" s="1"/>
  <c r="Z174" i="21"/>
  <c r="Z561" i="21" l="1"/>
  <c r="U330" i="12" s="1"/>
  <c r="U329" i="12" s="1"/>
  <c r="Z546" i="21"/>
  <c r="U315" i="12" s="1"/>
  <c r="U314" i="12" s="1"/>
  <c r="E14" i="20" l="1"/>
  <c r="Z85" i="21" l="1"/>
  <c r="U113" i="12"/>
  <c r="U112" i="12" s="1"/>
  <c r="AB570" i="21" l="1"/>
  <c r="AA570" i="21"/>
  <c r="Z570" i="21"/>
  <c r="Z446" i="21" l="1"/>
  <c r="I26" i="10" s="1"/>
  <c r="Z445" i="21" l="1"/>
  <c r="Z423" i="21" s="1"/>
  <c r="U269" i="12"/>
  <c r="U268" i="12" s="1"/>
  <c r="W74" i="12"/>
  <c r="V74" i="12"/>
  <c r="U75" i="12"/>
  <c r="U74" i="12" s="1"/>
  <c r="AB663" i="21"/>
  <c r="AA663" i="21"/>
  <c r="Z663" i="21"/>
  <c r="E15" i="20" l="1"/>
  <c r="U117" i="12" l="1"/>
  <c r="U116" i="12" s="1"/>
  <c r="Z217" i="21"/>
  <c r="E16" i="20"/>
  <c r="E64" i="20" s="1"/>
  <c r="Z361" i="21" l="1"/>
  <c r="W515" i="12"/>
  <c r="V515" i="12"/>
  <c r="W514" i="12"/>
  <c r="V514" i="12"/>
  <c r="U514" i="12"/>
  <c r="U515" i="12"/>
  <c r="AB650" i="21"/>
  <c r="AB649" i="21" s="1"/>
  <c r="AA650" i="21"/>
  <c r="AA649" i="21" s="1"/>
  <c r="E22" i="20"/>
  <c r="F54" i="14" l="1"/>
  <c r="F57" i="53"/>
  <c r="E54" i="14"/>
  <c r="E57" i="53"/>
  <c r="Z650" i="21"/>
  <c r="Z649" i="21" s="1"/>
  <c r="W513" i="12"/>
  <c r="W512" i="12" s="1"/>
  <c r="V513" i="12"/>
  <c r="V512" i="12" s="1"/>
  <c r="U513" i="12"/>
  <c r="U512" i="12" s="1"/>
  <c r="D57" i="53" l="1"/>
  <c r="D54" i="14"/>
  <c r="W78" i="12"/>
  <c r="V78" i="12"/>
  <c r="U79" i="12"/>
  <c r="U78" i="12" s="1"/>
  <c r="AB57" i="21"/>
  <c r="AA57" i="21"/>
  <c r="Z57" i="21"/>
  <c r="E24" i="20" l="1"/>
  <c r="E23" i="20"/>
  <c r="E21" i="20"/>
  <c r="E26" i="20"/>
  <c r="E25" i="20"/>
  <c r="Z642" i="21"/>
  <c r="W376" i="12"/>
  <c r="W371" i="12" s="1"/>
  <c r="V376" i="12"/>
  <c r="V371" i="12" s="1"/>
  <c r="U377" i="12"/>
  <c r="U376" i="12" s="1"/>
  <c r="U371" i="12" s="1"/>
  <c r="E70" i="20" l="1"/>
  <c r="E61" i="20"/>
  <c r="E72" i="20"/>
  <c r="AB674" i="21"/>
  <c r="AA674" i="21"/>
  <c r="Z674" i="21"/>
  <c r="AA680" i="21"/>
  <c r="AA675" i="21" l="1"/>
  <c r="D42" i="14"/>
  <c r="F42" i="14"/>
  <c r="E42" i="14" l="1"/>
  <c r="E42" i="53"/>
  <c r="W246" i="12"/>
  <c r="W245" i="12" s="1"/>
  <c r="V246" i="12"/>
  <c r="V245" i="12" s="1"/>
  <c r="U246" i="12"/>
  <c r="U245" i="12" s="1"/>
  <c r="AB205" i="21"/>
  <c r="AA205" i="21"/>
  <c r="Z205" i="21"/>
  <c r="Z122" i="21" l="1"/>
  <c r="Z120" i="21"/>
  <c r="C18" i="11" l="1"/>
  <c r="K218" i="40" l="1"/>
  <c r="K333" i="55"/>
  <c r="K334" i="55" s="1"/>
  <c r="K291" i="54"/>
  <c r="K292" i="54" s="1"/>
  <c r="K249" i="39"/>
  <c r="K250" i="39" s="1"/>
  <c r="K219" i="40"/>
  <c r="K239" i="41"/>
  <c r="K240" i="41" s="1"/>
  <c r="C21" i="11"/>
  <c r="E195" i="25"/>
  <c r="AB318" i="21"/>
  <c r="AA318" i="21"/>
  <c r="U487" i="12"/>
  <c r="AA98" i="21"/>
  <c r="Z700" i="21" l="1"/>
  <c r="Z701" i="21"/>
  <c r="E203" i="25"/>
  <c r="Z154" i="21"/>
  <c r="Z143" i="21"/>
  <c r="Z318" i="21" l="1"/>
  <c r="AA107" i="21" l="1"/>
  <c r="Z207" i="21" l="1"/>
  <c r="AB337" i="21" l="1"/>
  <c r="AB308" i="21"/>
  <c r="K14" i="10" s="1"/>
  <c r="G71" i="20" l="1"/>
  <c r="F71" i="20"/>
  <c r="E71" i="20"/>
  <c r="G68" i="20"/>
  <c r="F68" i="20"/>
  <c r="E68" i="20"/>
  <c r="G67" i="20"/>
  <c r="F67" i="20"/>
  <c r="G65" i="20"/>
  <c r="F65" i="20"/>
  <c r="E65" i="20"/>
  <c r="E75" i="20" l="1"/>
  <c r="W402" i="12"/>
  <c r="W401" i="12" s="1"/>
  <c r="V402" i="12"/>
  <c r="V401" i="12" s="1"/>
  <c r="U402" i="12"/>
  <c r="U398" i="12" s="1"/>
  <c r="AB229" i="21" l="1"/>
  <c r="D18" i="11"/>
  <c r="E18" i="11" l="1"/>
  <c r="E21" i="11" s="1"/>
  <c r="AB700" i="21" s="1"/>
  <c r="D21" i="11"/>
  <c r="AA700" i="21" s="1"/>
  <c r="AB604" i="21"/>
  <c r="Z14" i="21" l="1"/>
  <c r="Z13" i="21" s="1"/>
  <c r="Z19" i="21"/>
  <c r="Z24" i="21"/>
  <c r="AA24" i="21"/>
  <c r="AB24" i="21"/>
  <c r="Z26" i="21"/>
  <c r="AA30" i="21"/>
  <c r="AA26" i="21" s="1"/>
  <c r="AB30" i="21"/>
  <c r="AB26" i="21" s="1"/>
  <c r="Z33" i="21"/>
  <c r="Z40" i="21"/>
  <c r="Z39" i="21" s="1"/>
  <c r="AA40" i="21"/>
  <c r="AA39" i="21" s="1"/>
  <c r="AB40" i="21"/>
  <c r="AB39" i="21" s="1"/>
  <c r="Z43" i="21"/>
  <c r="AA43" i="21"/>
  <c r="AB43" i="21"/>
  <c r="Z46" i="21"/>
  <c r="AA46" i="21"/>
  <c r="AA45" i="21" s="1"/>
  <c r="E18" i="53" s="1"/>
  <c r="AB46" i="21"/>
  <c r="AB45" i="21" s="1"/>
  <c r="F18" i="53" s="1"/>
  <c r="Z49" i="21"/>
  <c r="AA49" i="21"/>
  <c r="AB49" i="21"/>
  <c r="Z53" i="21"/>
  <c r="Z82" i="21"/>
  <c r="AA82" i="21"/>
  <c r="AB82" i="21"/>
  <c r="AA88" i="21"/>
  <c r="AB88" i="21"/>
  <c r="AA94" i="21"/>
  <c r="AB94" i="21"/>
  <c r="Z98" i="21"/>
  <c r="AB98" i="21"/>
  <c r="AB100" i="21"/>
  <c r="Z100" i="21"/>
  <c r="AA100" i="21"/>
  <c r="AB103" i="21"/>
  <c r="Z103" i="21"/>
  <c r="AA103" i="21"/>
  <c r="Z107" i="21"/>
  <c r="AB107" i="21"/>
  <c r="AA109" i="21"/>
  <c r="AB109" i="21"/>
  <c r="AA111" i="21"/>
  <c r="AB111" i="21"/>
  <c r="Z113" i="21"/>
  <c r="I12" i="10" s="1"/>
  <c r="AA113" i="21"/>
  <c r="AB113" i="21"/>
  <c r="Z119" i="21"/>
  <c r="AA119" i="21"/>
  <c r="AB119" i="21"/>
  <c r="Z121" i="21"/>
  <c r="AA121" i="21"/>
  <c r="AB121" i="21"/>
  <c r="Z129" i="21"/>
  <c r="AA129" i="21"/>
  <c r="AB129" i="21"/>
  <c r="Z133" i="21"/>
  <c r="AA133" i="21"/>
  <c r="AB133" i="21"/>
  <c r="Z135" i="21"/>
  <c r="AA135" i="21"/>
  <c r="AB135" i="21"/>
  <c r="Z138" i="21"/>
  <c r="AA138" i="21"/>
  <c r="AB138" i="21"/>
  <c r="Z142" i="21"/>
  <c r="AA142" i="21"/>
  <c r="AB142" i="21"/>
  <c r="Z145" i="21"/>
  <c r="AA145" i="21"/>
  <c r="AB145" i="21"/>
  <c r="Z147" i="21"/>
  <c r="AA147" i="21"/>
  <c r="AB147" i="21"/>
  <c r="Z151" i="21"/>
  <c r="AA151" i="21"/>
  <c r="AB151" i="21"/>
  <c r="Z153" i="21"/>
  <c r="AA153" i="21"/>
  <c r="AB153" i="21"/>
  <c r="AA155" i="21"/>
  <c r="AB155" i="21"/>
  <c r="Z157" i="21"/>
  <c r="AA157" i="21"/>
  <c r="AB157" i="21"/>
  <c r="Z161" i="21"/>
  <c r="AA161" i="21"/>
  <c r="AB161" i="21"/>
  <c r="Z165" i="21"/>
  <c r="AA165" i="21"/>
  <c r="AB165" i="21"/>
  <c r="Z170" i="21"/>
  <c r="AA170" i="21"/>
  <c r="AB170" i="21"/>
  <c r="Z172" i="21"/>
  <c r="AA172" i="21"/>
  <c r="AB172" i="21"/>
  <c r="AA183" i="21"/>
  <c r="AB183" i="21"/>
  <c r="Z185" i="21"/>
  <c r="Z182" i="21" s="1"/>
  <c r="AA185" i="21"/>
  <c r="AB185" i="21"/>
  <c r="Z187" i="21"/>
  <c r="AA187" i="21"/>
  <c r="AB187" i="21"/>
  <c r="AA207" i="21"/>
  <c r="AB207" i="21"/>
  <c r="Z209" i="21"/>
  <c r="AA209" i="21"/>
  <c r="AB209" i="21"/>
  <c r="AA217" i="21"/>
  <c r="AB217" i="21"/>
  <c r="Z220" i="21"/>
  <c r="AA220" i="21"/>
  <c r="AB220" i="21"/>
  <c r="AB222" i="21"/>
  <c r="K24" i="10" s="1"/>
  <c r="Z222" i="21"/>
  <c r="I24" i="10" s="1"/>
  <c r="AA222" i="21"/>
  <c r="J24" i="10" s="1"/>
  <c r="Z224" i="21"/>
  <c r="AA224" i="21"/>
  <c r="AB224" i="21"/>
  <c r="Z227" i="21"/>
  <c r="AA227" i="21"/>
  <c r="AB227" i="21"/>
  <c r="Z229" i="21"/>
  <c r="I21" i="10" s="1"/>
  <c r="I23" i="10" s="1"/>
  <c r="AA229" i="21"/>
  <c r="Z231" i="21"/>
  <c r="AA231" i="21"/>
  <c r="AB231" i="21"/>
  <c r="Z233" i="21"/>
  <c r="AA233" i="21"/>
  <c r="AB233" i="21"/>
  <c r="Z235" i="21"/>
  <c r="AA235" i="21"/>
  <c r="AB235" i="21"/>
  <c r="Z237" i="21"/>
  <c r="AA237" i="21"/>
  <c r="AB237" i="21"/>
  <c r="Z243" i="21"/>
  <c r="AA243" i="21"/>
  <c r="AB243" i="21"/>
  <c r="Z245" i="21"/>
  <c r="AA245" i="21"/>
  <c r="AB245" i="21"/>
  <c r="Z251" i="21"/>
  <c r="AA251" i="21"/>
  <c r="AA250" i="21" s="1"/>
  <c r="AB251" i="21"/>
  <c r="AB250" i="21" s="1"/>
  <c r="Z260" i="21"/>
  <c r="AA260" i="21"/>
  <c r="J28" i="10" s="1"/>
  <c r="AB260" i="21"/>
  <c r="K28" i="10" s="1"/>
  <c r="Z262" i="21"/>
  <c r="AA262" i="21"/>
  <c r="AB262" i="21"/>
  <c r="Z264" i="21"/>
  <c r="AA264" i="21"/>
  <c r="AB264" i="21"/>
  <c r="Z266" i="21"/>
  <c r="AA266" i="21"/>
  <c r="AB266" i="21"/>
  <c r="Z272" i="21"/>
  <c r="I47" i="10" s="1"/>
  <c r="AA272" i="21"/>
  <c r="J47" i="10" s="1"/>
  <c r="AB272" i="21"/>
  <c r="K47" i="10" s="1"/>
  <c r="Z280" i="21"/>
  <c r="AA280" i="21"/>
  <c r="AB280" i="21"/>
  <c r="Z284" i="21"/>
  <c r="AA284" i="21"/>
  <c r="AB284" i="21"/>
  <c r="Z288" i="21"/>
  <c r="AA288" i="21"/>
  <c r="AB288" i="21"/>
  <c r="Z290" i="21"/>
  <c r="AA290" i="21"/>
  <c r="AB290" i="21"/>
  <c r="Z294" i="21"/>
  <c r="AA294" i="21"/>
  <c r="AB294" i="21"/>
  <c r="Z303" i="21"/>
  <c r="Z305" i="21"/>
  <c r="AA305" i="21"/>
  <c r="AA302" i="21" s="1"/>
  <c r="E54" i="53" s="1"/>
  <c r="AB305" i="21"/>
  <c r="AB302" i="21" s="1"/>
  <c r="F54" i="53" s="1"/>
  <c r="Z308" i="21"/>
  <c r="AA308" i="21"/>
  <c r="J14" i="10" s="1"/>
  <c r="Z314" i="21"/>
  <c r="AA314" i="21"/>
  <c r="AB314" i="21"/>
  <c r="Z316" i="21"/>
  <c r="AA316" i="21"/>
  <c r="AB316" i="21"/>
  <c r="Z321" i="21"/>
  <c r="AA321" i="21"/>
  <c r="AB321" i="21"/>
  <c r="Z324" i="21"/>
  <c r="AA324" i="21"/>
  <c r="AB324" i="21"/>
  <c r="Z326" i="21"/>
  <c r="AA326" i="21"/>
  <c r="AB326" i="21"/>
  <c r="AB330" i="21"/>
  <c r="Z330" i="21"/>
  <c r="AA330" i="21"/>
  <c r="Z332" i="21"/>
  <c r="AA332" i="21"/>
  <c r="AB332" i="21"/>
  <c r="Z337" i="21"/>
  <c r="AA337" i="21"/>
  <c r="Z339" i="21"/>
  <c r="AA339" i="21"/>
  <c r="AB339" i="21"/>
  <c r="Z341" i="21"/>
  <c r="AA341" i="21"/>
  <c r="AB341" i="21"/>
  <c r="AA344" i="21"/>
  <c r="E68" i="53" s="1"/>
  <c r="AB344" i="21"/>
  <c r="F68" i="53" s="1"/>
  <c r="Z351" i="21"/>
  <c r="AA351" i="21"/>
  <c r="AA349" i="21" s="1"/>
  <c r="AB351" i="21"/>
  <c r="AB349" i="21" s="1"/>
  <c r="Z352" i="21"/>
  <c r="Z357" i="21"/>
  <c r="AA357" i="21"/>
  <c r="AB357" i="21"/>
  <c r="Z359" i="21"/>
  <c r="AA361" i="21"/>
  <c r="AB361" i="21"/>
  <c r="Z537" i="21"/>
  <c r="AA537" i="21"/>
  <c r="AB537" i="21"/>
  <c r="Z544" i="21"/>
  <c r="AA544" i="21"/>
  <c r="AB544" i="21"/>
  <c r="Z550" i="21"/>
  <c r="AA550" i="21"/>
  <c r="AB550" i="21"/>
  <c r="Z552" i="21"/>
  <c r="AA552" i="21"/>
  <c r="AB552" i="21"/>
  <c r="Z554" i="21"/>
  <c r="AA554" i="21"/>
  <c r="AB554" i="21"/>
  <c r="Z556" i="21"/>
  <c r="AA556" i="21"/>
  <c r="AB556" i="21"/>
  <c r="Z559" i="21"/>
  <c r="AA559" i="21"/>
  <c r="AB559" i="21"/>
  <c r="Z563" i="21"/>
  <c r="I42" i="10" s="1"/>
  <c r="AB563" i="21"/>
  <c r="K42" i="10" s="1"/>
  <c r="Z567" i="21"/>
  <c r="AA567" i="21"/>
  <c r="AB567" i="21"/>
  <c r="Z569" i="21"/>
  <c r="AA569" i="21"/>
  <c r="AB569" i="21"/>
  <c r="Z571" i="21"/>
  <c r="AA571" i="21"/>
  <c r="Z575" i="21"/>
  <c r="AA575" i="21"/>
  <c r="AB575" i="21"/>
  <c r="Z577" i="21"/>
  <c r="AA577" i="21"/>
  <c r="AB577" i="21"/>
  <c r="Z583" i="21"/>
  <c r="AA583" i="21"/>
  <c r="AB583" i="21"/>
  <c r="Z585" i="21"/>
  <c r="AA585" i="21"/>
  <c r="AB585" i="21"/>
  <c r="Z587" i="21"/>
  <c r="AA587" i="21"/>
  <c r="AB587" i="21"/>
  <c r="Z589" i="21"/>
  <c r="AA589" i="21"/>
  <c r="AB589" i="21"/>
  <c r="Z591" i="21"/>
  <c r="AA591" i="21"/>
  <c r="AB591" i="21"/>
  <c r="Z593" i="21"/>
  <c r="AA593" i="21"/>
  <c r="AB593" i="21"/>
  <c r="AA596" i="21"/>
  <c r="AA595" i="21" s="1"/>
  <c r="AB596" i="21"/>
  <c r="AB595" i="21" s="1"/>
  <c r="Z619" i="21"/>
  <c r="AA619" i="21"/>
  <c r="AB619" i="21"/>
  <c r="Z625" i="21"/>
  <c r="AA625" i="21"/>
  <c r="AB625" i="21"/>
  <c r="AA633" i="21"/>
  <c r="AB633" i="21"/>
  <c r="AB636" i="21"/>
  <c r="AA639" i="21"/>
  <c r="AB639" i="21"/>
  <c r="AA658" i="21"/>
  <c r="V63" i="12" s="1"/>
  <c r="AB658" i="21"/>
  <c r="W63" i="12" s="1"/>
  <c r="Z659" i="21"/>
  <c r="AA659" i="21"/>
  <c r="V64" i="12" s="1"/>
  <c r="AB659" i="21"/>
  <c r="W64" i="12" s="1"/>
  <c r="Z660" i="21"/>
  <c r="AA662" i="21"/>
  <c r="V67" i="12" s="1"/>
  <c r="V65" i="12" s="1"/>
  <c r="AB662" i="21"/>
  <c r="W67" i="12" s="1"/>
  <c r="W65" i="12" s="1"/>
  <c r="Z669" i="21"/>
  <c r="Z666" i="21" s="1"/>
  <c r="AA669" i="21"/>
  <c r="AA666" i="21" s="1"/>
  <c r="AB669" i="21"/>
  <c r="AB666" i="21" s="1"/>
  <c r="Z673" i="21"/>
  <c r="Z672" i="21" s="1"/>
  <c r="Z671" i="21" s="1"/>
  <c r="AA673" i="21"/>
  <c r="AA672" i="21" s="1"/>
  <c r="AA671" i="21" s="1"/>
  <c r="AB673" i="21"/>
  <c r="AB672" i="21" s="1"/>
  <c r="AB671" i="21" s="1"/>
  <c r="Z686" i="21"/>
  <c r="AA686" i="21"/>
  <c r="AB686" i="21"/>
  <c r="Z690" i="21"/>
  <c r="AA690" i="21"/>
  <c r="AB690" i="21"/>
  <c r="Z694" i="21"/>
  <c r="AA694" i="21"/>
  <c r="AB694" i="21"/>
  <c r="I54" i="10" l="1"/>
  <c r="Z48" i="21"/>
  <c r="I45" i="10"/>
  <c r="I37" i="10"/>
  <c r="Z226" i="21"/>
  <c r="D35" i="14" s="1"/>
  <c r="Z709" i="21"/>
  <c r="Z204" i="21"/>
  <c r="I30" i="10"/>
  <c r="I32" i="10"/>
  <c r="U303" i="12"/>
  <c r="U302" i="12" s="1"/>
  <c r="J25" i="10"/>
  <c r="Z558" i="21"/>
  <c r="Z349" i="21"/>
  <c r="K12" i="10"/>
  <c r="Z91" i="21"/>
  <c r="D22" i="53" s="1"/>
  <c r="D20" i="53" s="1"/>
  <c r="AB709" i="21"/>
  <c r="AA709" i="21"/>
  <c r="AA725" i="21" s="1"/>
  <c r="I51" i="10"/>
  <c r="Z713" i="21"/>
  <c r="Z724" i="21" s="1"/>
  <c r="I18" i="10"/>
  <c r="Z543" i="21"/>
  <c r="D40" i="53" s="1"/>
  <c r="K39" i="10"/>
  <c r="AB348" i="21"/>
  <c r="AB360" i="21"/>
  <c r="F65" i="53" s="1"/>
  <c r="F64" i="53" s="1"/>
  <c r="AB702" i="21"/>
  <c r="AA348" i="21"/>
  <c r="J39" i="10"/>
  <c r="AA360" i="21"/>
  <c r="E65" i="53" s="1"/>
  <c r="E64" i="53" s="1"/>
  <c r="AA702" i="21"/>
  <c r="I28" i="10"/>
  <c r="Z259" i="21"/>
  <c r="D43" i="53" s="1"/>
  <c r="Z279" i="21"/>
  <c r="Z278" i="21" s="1"/>
  <c r="AB606" i="21"/>
  <c r="F44" i="53" s="1"/>
  <c r="I25" i="10"/>
  <c r="AB48" i="21"/>
  <c r="J18" i="10"/>
  <c r="AA48" i="21"/>
  <c r="AA683" i="21"/>
  <c r="AA682" i="21" s="1"/>
  <c r="J16" i="10"/>
  <c r="K21" i="10"/>
  <c r="K16" i="10"/>
  <c r="K25" i="10"/>
  <c r="J12" i="10"/>
  <c r="J21" i="10"/>
  <c r="K18" i="10"/>
  <c r="AA42" i="21"/>
  <c r="E17" i="53"/>
  <c r="J37" i="10"/>
  <c r="AB42" i="21"/>
  <c r="F17" i="53"/>
  <c r="K37" i="10"/>
  <c r="D12" i="53"/>
  <c r="K30" i="10"/>
  <c r="J30" i="10"/>
  <c r="Z606" i="21"/>
  <c r="D44" i="53" s="1"/>
  <c r="AB279" i="21"/>
  <c r="AB278" i="21" s="1"/>
  <c r="Z144" i="21"/>
  <c r="D29" i="53" s="1"/>
  <c r="K45" i="10"/>
  <c r="I35" i="10"/>
  <c r="I36" i="10" s="1"/>
  <c r="AA279" i="21"/>
  <c r="AA278" i="21" s="1"/>
  <c r="Z23" i="21"/>
  <c r="D14" i="53" s="1"/>
  <c r="AA606" i="21"/>
  <c r="E44" i="53" s="1"/>
  <c r="J45" i="10"/>
  <c r="I16" i="10"/>
  <c r="Z683" i="21"/>
  <c r="Z682" i="21" s="1"/>
  <c r="AB558" i="21"/>
  <c r="F41" i="53" s="1"/>
  <c r="AA558" i="21"/>
  <c r="E41" i="53" s="1"/>
  <c r="Z42" i="21"/>
  <c r="AB543" i="21"/>
  <c r="F40" i="53" s="1"/>
  <c r="J35" i="10"/>
  <c r="J43" i="10"/>
  <c r="K54" i="10"/>
  <c r="K50" i="10"/>
  <c r="K35" i="10"/>
  <c r="J54" i="10"/>
  <c r="K51" i="10"/>
  <c r="K32" i="10"/>
  <c r="J50" i="10"/>
  <c r="J51" i="10"/>
  <c r="J32" i="10"/>
  <c r="K43" i="10"/>
  <c r="AB23" i="21"/>
  <c r="F14" i="53" s="1"/>
  <c r="W41" i="12"/>
  <c r="W39" i="12" s="1"/>
  <c r="V41" i="12"/>
  <c r="V39" i="12" s="1"/>
  <c r="AA23" i="21"/>
  <c r="E14" i="53" s="1"/>
  <c r="AB204" i="21"/>
  <c r="F33" i="53" s="1"/>
  <c r="AA204" i="21"/>
  <c r="E33" i="53" s="1"/>
  <c r="AA543" i="21"/>
  <c r="E40" i="53" s="1"/>
  <c r="Z536" i="21"/>
  <c r="AB683" i="21"/>
  <c r="AB682" i="21" s="1"/>
  <c r="W61" i="12"/>
  <c r="V29" i="12"/>
  <c r="V25" i="12" s="1"/>
  <c r="I43" i="10"/>
  <c r="I50" i="10"/>
  <c r="Z307" i="21"/>
  <c r="D55" i="53" s="1"/>
  <c r="I14" i="10"/>
  <c r="Z665" i="21"/>
  <c r="V61" i="12"/>
  <c r="W29" i="12"/>
  <c r="W25" i="12" s="1"/>
  <c r="AB536" i="21"/>
  <c r="AA536" i="21"/>
  <c r="AB169" i="21"/>
  <c r="F30" i="53" s="1"/>
  <c r="Z250" i="21"/>
  <c r="AB102" i="21"/>
  <c r="Z106" i="21"/>
  <c r="D27" i="53" s="1"/>
  <c r="AA329" i="21"/>
  <c r="E60" i="53" s="1"/>
  <c r="Z329" i="21"/>
  <c r="D60" i="53" s="1"/>
  <c r="Z169" i="21"/>
  <c r="D30" i="14" s="1"/>
  <c r="AB182" i="21"/>
  <c r="F31" i="53" s="1"/>
  <c r="Z137" i="21"/>
  <c r="D28" i="53" s="1"/>
  <c r="AB91" i="21"/>
  <c r="F22" i="53" s="1"/>
  <c r="F20" i="53" s="1"/>
  <c r="AA91" i="21"/>
  <c r="E22" i="53" s="1"/>
  <c r="E20" i="53" s="1"/>
  <c r="AA102" i="21"/>
  <c r="AA182" i="21"/>
  <c r="E31" i="53" s="1"/>
  <c r="AB336" i="21"/>
  <c r="F63" i="53" s="1"/>
  <c r="AA169" i="21"/>
  <c r="E30" i="53" s="1"/>
  <c r="AB259" i="21"/>
  <c r="AB329" i="21"/>
  <c r="F60" i="53" s="1"/>
  <c r="AA259" i="21"/>
  <c r="E43" i="53" s="1"/>
  <c r="AA336" i="21"/>
  <c r="E63" i="53" s="1"/>
  <c r="AB226" i="21"/>
  <c r="F35" i="53" s="1"/>
  <c r="Z102" i="21"/>
  <c r="AA106" i="21"/>
  <c r="E27" i="53" s="1"/>
  <c r="AB307" i="21"/>
  <c r="F55" i="53" s="1"/>
  <c r="AA307" i="21"/>
  <c r="E55" i="53" s="1"/>
  <c r="AA226" i="21"/>
  <c r="E35" i="53" s="1"/>
  <c r="AB106" i="21"/>
  <c r="F27" i="53" s="1"/>
  <c r="AA705" i="21"/>
  <c r="AB219" i="21"/>
  <c r="F34" i="53" s="1"/>
  <c r="AA219" i="21"/>
  <c r="E34" i="53" s="1"/>
  <c r="AB665" i="21"/>
  <c r="AA665" i="21"/>
  <c r="AB660" i="21"/>
  <c r="AB323" i="21"/>
  <c r="AB703" i="21" s="1"/>
  <c r="Z302" i="21"/>
  <c r="D54" i="53" s="1"/>
  <c r="AB656" i="21"/>
  <c r="Z336" i="21"/>
  <c r="AA660" i="21"/>
  <c r="Z632" i="21"/>
  <c r="Z627" i="21" s="1"/>
  <c r="Z323" i="21"/>
  <c r="Z703" i="21" s="1"/>
  <c r="Z219" i="21"/>
  <c r="Z45" i="21"/>
  <c r="D18" i="53" s="1"/>
  <c r="AA656" i="21"/>
  <c r="Z656" i="21"/>
  <c r="I38" i="10" s="1"/>
  <c r="AA323" i="21"/>
  <c r="AA703" i="21" s="1"/>
  <c r="AA137" i="21"/>
  <c r="E28" i="53" s="1"/>
  <c r="Z16" i="21"/>
  <c r="Z702" i="21" s="1"/>
  <c r="AB137" i="21"/>
  <c r="F28" i="53" s="1"/>
  <c r="AB705" i="21"/>
  <c r="AA632" i="21"/>
  <c r="AA627" i="21" s="1"/>
  <c r="AB144" i="21"/>
  <c r="F29" i="53" s="1"/>
  <c r="AA144" i="21"/>
  <c r="E29" i="53" s="1"/>
  <c r="AB632" i="21"/>
  <c r="AB627" i="21" s="1"/>
  <c r="I39" i="10" l="1"/>
  <c r="Z348" i="21"/>
  <c r="D63" i="53"/>
  <c r="D59" i="53" s="1"/>
  <c r="D59" i="14"/>
  <c r="Z347" i="21"/>
  <c r="Z203" i="21"/>
  <c r="Z249" i="21"/>
  <c r="Z722" i="21"/>
  <c r="AB359" i="21"/>
  <c r="AA359" i="21"/>
  <c r="D56" i="53"/>
  <c r="D53" i="53" s="1"/>
  <c r="K38" i="10"/>
  <c r="F59" i="53"/>
  <c r="E56" i="53"/>
  <c r="E53" i="53" s="1"/>
  <c r="D49" i="53"/>
  <c r="D48" i="53" s="1"/>
  <c r="J38" i="10"/>
  <c r="E59" i="53"/>
  <c r="D41" i="53"/>
  <c r="D39" i="53" s="1"/>
  <c r="Z535" i="21"/>
  <c r="D67" i="53"/>
  <c r="D66" i="53" s="1"/>
  <c r="AB249" i="21"/>
  <c r="F43" i="53"/>
  <c r="F39" i="53" s="1"/>
  <c r="E39" i="53"/>
  <c r="AA535" i="21"/>
  <c r="E67" i="53"/>
  <c r="E66" i="53" s="1"/>
  <c r="F56" i="53"/>
  <c r="F53" i="53" s="1"/>
  <c r="F25" i="53"/>
  <c r="E25" i="53"/>
  <c r="D30" i="53"/>
  <c r="AB535" i="21"/>
  <c r="F67" i="53"/>
  <c r="F66" i="53" s="1"/>
  <c r="E49" i="53"/>
  <c r="E48" i="53" s="1"/>
  <c r="F49" i="53"/>
  <c r="F48" i="53" s="1"/>
  <c r="E32" i="53"/>
  <c r="F32" i="53"/>
  <c r="D35" i="53"/>
  <c r="D31" i="14"/>
  <c r="D31" i="53"/>
  <c r="D33" i="14"/>
  <c r="D33" i="53"/>
  <c r="D13" i="53"/>
  <c r="D34" i="14"/>
  <c r="D34" i="53"/>
  <c r="AA713" i="21"/>
  <c r="AA724" i="21" s="1"/>
  <c r="AB713" i="21"/>
  <c r="AB724" i="21" s="1"/>
  <c r="AB725" i="21"/>
  <c r="Z725" i="21"/>
  <c r="AB12" i="21"/>
  <c r="AA328" i="21"/>
  <c r="AA12" i="21"/>
  <c r="D22" i="14"/>
  <c r="AA655" i="21"/>
  <c r="AA654" i="21" s="1"/>
  <c r="AA653" i="21" s="1"/>
  <c r="AA90" i="21"/>
  <c r="I13" i="10"/>
  <c r="AB90" i="21"/>
  <c r="AB328" i="21"/>
  <c r="AA722" i="21"/>
  <c r="AB655" i="21"/>
  <c r="AA249" i="21"/>
  <c r="AB203" i="21"/>
  <c r="AB722" i="21"/>
  <c r="Z90" i="21"/>
  <c r="AA542" i="21"/>
  <c r="AA541" i="21" s="1"/>
  <c r="AA105" i="21"/>
  <c r="AA203" i="21"/>
  <c r="AB105" i="21"/>
  <c r="Z105" i="21"/>
  <c r="Z12" i="21"/>
  <c r="AB542" i="21"/>
  <c r="AB541" i="21" s="1"/>
  <c r="AB301" i="21"/>
  <c r="AA301" i="21"/>
  <c r="F16" i="53"/>
  <c r="E16" i="53"/>
  <c r="D43" i="14"/>
  <c r="D46" i="14"/>
  <c r="Z655" i="21"/>
  <c r="D19" i="14" s="1"/>
  <c r="Z301" i="21"/>
  <c r="Z542" i="21"/>
  <c r="Z541" i="21" s="1"/>
  <c r="Z328" i="21"/>
  <c r="Z343" i="21" l="1"/>
  <c r="AE349" i="21" s="1"/>
  <c r="D16" i="53"/>
  <c r="D16" i="14"/>
  <c r="D25" i="53"/>
  <c r="AB654" i="21"/>
  <c r="AB653" i="21" s="1"/>
  <c r="F19" i="53"/>
  <c r="F11" i="53" s="1"/>
  <c r="F69" i="53" s="1"/>
  <c r="E19" i="53"/>
  <c r="E11" i="53" s="1"/>
  <c r="E69" i="53" s="1"/>
  <c r="D19" i="53"/>
  <c r="D32" i="53"/>
  <c r="AB11" i="21"/>
  <c r="AA11" i="21"/>
  <c r="Z11" i="21"/>
  <c r="AB347" i="21"/>
  <c r="AB343" i="21" s="1"/>
  <c r="AA347" i="21"/>
  <c r="AA343" i="21" s="1"/>
  <c r="Z654" i="21"/>
  <c r="Z653" i="21" s="1"/>
  <c r="G23" i="20"/>
  <c r="G66" i="20" s="1"/>
  <c r="F23" i="20"/>
  <c r="F66" i="20" s="1"/>
  <c r="G15" i="20"/>
  <c r="F15" i="20"/>
  <c r="D11" i="53" l="1"/>
  <c r="D69" i="53" s="1"/>
  <c r="G61" i="20"/>
  <c r="Z698" i="21"/>
  <c r="AB698" i="21"/>
  <c r="AB707" i="21" s="1"/>
  <c r="AA698" i="21"/>
  <c r="AA707" i="21" s="1"/>
  <c r="F61" i="20"/>
  <c r="G70" i="20"/>
  <c r="G64" i="20"/>
  <c r="G69" i="20" s="1"/>
  <c r="E66" i="20"/>
  <c r="E69" i="20" s="1"/>
  <c r="F64" i="20"/>
  <c r="F69" i="20" s="1"/>
  <c r="F70" i="20"/>
  <c r="F64" i="14"/>
  <c r="E64" i="14"/>
  <c r="F63" i="14"/>
  <c r="E63" i="14"/>
  <c r="D63" i="14"/>
  <c r="F59" i="14"/>
  <c r="E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F27" i="14"/>
  <c r="E27" i="14"/>
  <c r="D27" i="14"/>
  <c r="F23" i="14"/>
  <c r="E23" i="14"/>
  <c r="D23" i="14"/>
  <c r="F22" i="14"/>
  <c r="E22" i="14"/>
  <c r="F19" i="14"/>
  <c r="E19" i="14"/>
  <c r="D18" i="14"/>
  <c r="F18" i="14"/>
  <c r="E18" i="14"/>
  <c r="F17" i="14"/>
  <c r="E17" i="14"/>
  <c r="D17" i="14"/>
  <c r="W52" i="12"/>
  <c r="W51" i="12" s="1"/>
  <c r="V52" i="12"/>
  <c r="V51" i="12" s="1"/>
  <c r="U52" i="12"/>
  <c r="U51" i="12" s="1"/>
  <c r="K288" i="54" l="1"/>
  <c r="K290" i="54" s="1"/>
  <c r="K330" i="55"/>
  <c r="K332" i="55" s="1"/>
  <c r="K215" i="40"/>
  <c r="K217" i="40" s="1"/>
  <c r="Z707" i="21"/>
  <c r="K246" i="39"/>
  <c r="K248" i="39" s="1"/>
  <c r="K236" i="41"/>
  <c r="K238" i="41" s="1"/>
  <c r="E50" i="14"/>
  <c r="F50" i="14"/>
  <c r="D50" i="14"/>
  <c r="E39" i="14"/>
  <c r="F39" i="14"/>
  <c r="D39" i="14"/>
  <c r="D20" i="14"/>
  <c r="E20" i="14"/>
  <c r="F20" i="14"/>
  <c r="W365" i="12"/>
  <c r="V365" i="12"/>
  <c r="U366" i="12"/>
  <c r="U365" i="12" s="1"/>
  <c r="U412" i="12"/>
  <c r="U413" i="12"/>
  <c r="W170" i="12"/>
  <c r="W169" i="12" s="1"/>
  <c r="V170" i="12"/>
  <c r="V169" i="12" s="1"/>
  <c r="U170" i="12"/>
  <c r="U169" i="12" s="1"/>
  <c r="W168" i="12"/>
  <c r="W167" i="12" s="1"/>
  <c r="V168" i="12"/>
  <c r="V167" i="12" s="1"/>
  <c r="U168" i="12"/>
  <c r="U167" i="12" s="1"/>
  <c r="W504" i="12"/>
  <c r="W503" i="12" s="1"/>
  <c r="V504" i="12"/>
  <c r="V503" i="12" s="1"/>
  <c r="U504" i="12"/>
  <c r="U503" i="12" s="1"/>
  <c r="W502" i="12"/>
  <c r="W501" i="12" s="1"/>
  <c r="V502" i="12"/>
  <c r="V501" i="12" s="1"/>
  <c r="U502" i="12"/>
  <c r="U501" i="12" s="1"/>
  <c r="W534" i="12"/>
  <c r="W533" i="12" s="1"/>
  <c r="W532" i="12" s="1"/>
  <c r="W531" i="12" s="1"/>
  <c r="V534" i="12"/>
  <c r="V533" i="12" s="1"/>
  <c r="V532" i="12" s="1"/>
  <c r="V531" i="12" s="1"/>
  <c r="U534" i="12"/>
  <c r="U533" i="12" s="1"/>
  <c r="U532" i="12" s="1"/>
  <c r="U531" i="12" s="1"/>
  <c r="W530" i="12"/>
  <c r="W529" i="12" s="1"/>
  <c r="V530" i="12"/>
  <c r="V529" i="12" s="1"/>
  <c r="U529" i="12"/>
  <c r="W528" i="12"/>
  <c r="W527" i="12" s="1"/>
  <c r="V528" i="12"/>
  <c r="V527" i="12" s="1"/>
  <c r="U528" i="12"/>
  <c r="U527" i="12" s="1"/>
  <c r="W526" i="12"/>
  <c r="W525" i="12" s="1"/>
  <c r="V526" i="12"/>
  <c r="V525" i="12" s="1"/>
  <c r="U526" i="12"/>
  <c r="U525" i="12" s="1"/>
  <c r="W520" i="12"/>
  <c r="V520" i="12"/>
  <c r="U521" i="12"/>
  <c r="U520" i="12" s="1"/>
  <c r="U524" i="12" l="1"/>
  <c r="U409" i="12"/>
  <c r="V524" i="12"/>
  <c r="W524" i="12"/>
  <c r="W507" i="12"/>
  <c r="V507" i="12"/>
  <c r="U507" i="12"/>
  <c r="W508" i="12"/>
  <c r="V508" i="12"/>
  <c r="U508" i="12"/>
  <c r="W500" i="12"/>
  <c r="W498" i="12" s="1"/>
  <c r="V500" i="12"/>
  <c r="V498" i="12" s="1"/>
  <c r="U500" i="12"/>
  <c r="U498" i="12" s="1"/>
  <c r="W497" i="12"/>
  <c r="W495" i="12" s="1"/>
  <c r="V497" i="12"/>
  <c r="V495" i="12" s="1"/>
  <c r="U497" i="12"/>
  <c r="U495" i="12" s="1"/>
  <c r="W492" i="12"/>
  <c r="V492" i="12"/>
  <c r="U494" i="12"/>
  <c r="U492" i="12" s="1"/>
  <c r="W490" i="12"/>
  <c r="W489" i="12" s="1"/>
  <c r="V490" i="12"/>
  <c r="V489" i="12" s="1"/>
  <c r="U490" i="12"/>
  <c r="U489" i="12" s="1"/>
  <c r="W485" i="12"/>
  <c r="W484" i="12" s="1"/>
  <c r="V485" i="12"/>
  <c r="V484" i="12" s="1"/>
  <c r="U485" i="12"/>
  <c r="U484" i="12" s="1"/>
  <c r="W483" i="12"/>
  <c r="W482" i="12" s="1"/>
  <c r="V483" i="12"/>
  <c r="V482" i="12" s="1"/>
  <c r="U483" i="12"/>
  <c r="U482" i="12" s="1"/>
  <c r="W476" i="12"/>
  <c r="V476" i="12"/>
  <c r="U477" i="12"/>
  <c r="U476" i="12" s="1"/>
  <c r="W474" i="12"/>
  <c r="W472" i="12" s="1"/>
  <c r="V474" i="12"/>
  <c r="V472" i="12" s="1"/>
  <c r="U474" i="12"/>
  <c r="U472" i="12" s="1"/>
  <c r="W470" i="12"/>
  <c r="V470" i="12"/>
  <c r="U471" i="12"/>
  <c r="U470" i="12" s="1"/>
  <c r="W458" i="12"/>
  <c r="W457" i="12" s="1"/>
  <c r="V458" i="12"/>
  <c r="V457" i="12" s="1"/>
  <c r="U458" i="12"/>
  <c r="U457" i="12" s="1"/>
  <c r="W453" i="12"/>
  <c r="V453" i="12"/>
  <c r="U454" i="12"/>
  <c r="U453" i="12" s="1"/>
  <c r="W449" i="12"/>
  <c r="V449" i="12"/>
  <c r="U450" i="12"/>
  <c r="U449" i="12" s="1"/>
  <c r="W444" i="12"/>
  <c r="W443" i="12" s="1"/>
  <c r="V444" i="12"/>
  <c r="V443" i="12" s="1"/>
  <c r="U444" i="12"/>
  <c r="U443" i="12" s="1"/>
  <c r="W441" i="12"/>
  <c r="V441" i="12"/>
  <c r="U442" i="12"/>
  <c r="U441" i="12" s="1"/>
  <c r="W437" i="12"/>
  <c r="V437" i="12"/>
  <c r="U438" i="12"/>
  <c r="U437" i="12" s="1"/>
  <c r="W433" i="12"/>
  <c r="V433" i="12"/>
  <c r="U434" i="12"/>
  <c r="U433" i="12" s="1"/>
  <c r="W425" i="12"/>
  <c r="V425" i="12"/>
  <c r="U426" i="12"/>
  <c r="U425" i="12" s="1"/>
  <c r="U420" i="12"/>
  <c r="U421" i="12"/>
  <c r="U422" i="12"/>
  <c r="V505" i="12" l="1"/>
  <c r="V491" i="12" s="1"/>
  <c r="W505" i="12"/>
  <c r="W491" i="12" s="1"/>
  <c r="V469" i="12"/>
  <c r="W469" i="12"/>
  <c r="U505" i="12"/>
  <c r="U469" i="12"/>
  <c r="U419" i="12"/>
  <c r="V419" i="12"/>
  <c r="W419" i="12"/>
  <c r="W405" i="12"/>
  <c r="W406" i="12"/>
  <c r="U491" i="12" l="1"/>
  <c r="W404" i="12"/>
  <c r="W403" i="12" s="1"/>
  <c r="W393" i="12"/>
  <c r="V393" i="12"/>
  <c r="U395" i="12"/>
  <c r="U393" i="12" s="1"/>
  <c r="W391" i="12"/>
  <c r="V391" i="12"/>
  <c r="U392" i="12"/>
  <c r="U391" i="12" s="1"/>
  <c r="W385" i="12"/>
  <c r="V385" i="12"/>
  <c r="U386" i="12"/>
  <c r="U385" i="12" s="1"/>
  <c r="W383" i="12"/>
  <c r="V383" i="12"/>
  <c r="U384" i="12"/>
  <c r="U383" i="12" s="1"/>
  <c r="W381" i="12"/>
  <c r="V381" i="12"/>
  <c r="U382" i="12"/>
  <c r="U381" i="12" s="1"/>
  <c r="W379" i="12"/>
  <c r="V379" i="12"/>
  <c r="U380" i="12"/>
  <c r="U379" i="12" s="1"/>
  <c r="U342" i="12"/>
  <c r="W338" i="12"/>
  <c r="V338" i="12"/>
  <c r="U338" i="12"/>
  <c r="W369" i="12"/>
  <c r="V369" i="12"/>
  <c r="U370" i="12"/>
  <c r="U369" i="12" s="1"/>
  <c r="W367" i="12"/>
  <c r="V367" i="12"/>
  <c r="U368" i="12"/>
  <c r="U367" i="12" s="1"/>
  <c r="W363" i="12"/>
  <c r="V363" i="12"/>
  <c r="U364" i="12"/>
  <c r="U363" i="12" s="1"/>
  <c r="W361" i="12"/>
  <c r="V361" i="12"/>
  <c r="U362" i="12"/>
  <c r="U361" i="12" s="1"/>
  <c r="W359" i="12"/>
  <c r="V359" i="12"/>
  <c r="U360" i="12"/>
  <c r="U359" i="12" s="1"/>
  <c r="W347" i="12"/>
  <c r="V347" i="12"/>
  <c r="U348" i="12"/>
  <c r="U347" i="12" s="1"/>
  <c r="U378" i="12" l="1"/>
  <c r="W378" i="12"/>
  <c r="V378" i="12"/>
  <c r="W345" i="12"/>
  <c r="V345" i="12"/>
  <c r="U346" i="12"/>
  <c r="U345" i="12" s="1"/>
  <c r="W341" i="12"/>
  <c r="V341" i="12"/>
  <c r="U341" i="12"/>
  <c r="W340" i="12"/>
  <c r="W339" i="12" s="1"/>
  <c r="V340" i="12"/>
  <c r="V339" i="12" s="1"/>
  <c r="U340" i="12"/>
  <c r="U339" i="12" s="1"/>
  <c r="W337" i="12"/>
  <c r="V337" i="12"/>
  <c r="U337" i="12"/>
  <c r="W335" i="12"/>
  <c r="V335" i="12"/>
  <c r="U336" i="12"/>
  <c r="U335" i="12" s="1"/>
  <c r="W331" i="12"/>
  <c r="V331" i="12"/>
  <c r="U332" i="12"/>
  <c r="U331" i="12" s="1"/>
  <c r="W328" i="12"/>
  <c r="W327" i="12" s="1"/>
  <c r="V328" i="12"/>
  <c r="V327" i="12" s="1"/>
  <c r="U328" i="12"/>
  <c r="U327" i="12" s="1"/>
  <c r="U326" i="12" l="1"/>
  <c r="V326" i="12"/>
  <c r="W326" i="12"/>
  <c r="W324" i="12"/>
  <c r="V324" i="12"/>
  <c r="U325" i="12"/>
  <c r="U324" i="12" s="1"/>
  <c r="W322" i="12"/>
  <c r="V322" i="12"/>
  <c r="U323" i="12"/>
  <c r="U322" i="12" s="1"/>
  <c r="W321" i="12"/>
  <c r="W320" i="12" s="1"/>
  <c r="V321" i="12"/>
  <c r="V320" i="12" s="1"/>
  <c r="U321" i="12"/>
  <c r="U320" i="12" s="1"/>
  <c r="W318" i="12"/>
  <c r="V318" i="12"/>
  <c r="U319" i="12"/>
  <c r="U318" i="12" s="1"/>
  <c r="W313" i="12"/>
  <c r="W312" i="12" s="1"/>
  <c r="V313" i="12"/>
  <c r="V312" i="12" s="1"/>
  <c r="U313" i="12"/>
  <c r="U312" i="12" s="1"/>
  <c r="U311" i="12" l="1"/>
  <c r="W311" i="12"/>
  <c r="W310" i="12" s="1"/>
  <c r="V311" i="12"/>
  <c r="W307" i="12"/>
  <c r="W306" i="12" s="1"/>
  <c r="V307" i="12"/>
  <c r="V306" i="12" s="1"/>
  <c r="U307" i="12"/>
  <c r="U306" i="12" s="1"/>
  <c r="W296" i="12"/>
  <c r="W295" i="12" s="1"/>
  <c r="V296" i="12"/>
  <c r="V295" i="12" s="1"/>
  <c r="U295" i="12"/>
  <c r="W293" i="12"/>
  <c r="V293" i="12"/>
  <c r="U294" i="12"/>
  <c r="U293" i="12" s="1"/>
  <c r="W289" i="12"/>
  <c r="V289" i="12"/>
  <c r="U290" i="12"/>
  <c r="U289" i="12" s="1"/>
  <c r="U276" i="12" s="1"/>
  <c r="W288" i="12"/>
  <c r="W287" i="12" s="1"/>
  <c r="V288" i="12"/>
  <c r="V287" i="12" s="1"/>
  <c r="U288" i="12"/>
  <c r="U287" i="12" s="1"/>
  <c r="W284" i="12"/>
  <c r="W283" i="12" s="1"/>
  <c r="V284" i="12"/>
  <c r="V283" i="12" s="1"/>
  <c r="U284" i="12"/>
  <c r="U283" i="12" s="1"/>
  <c r="W281" i="12"/>
  <c r="V281" i="12"/>
  <c r="U282" i="12"/>
  <c r="U281" i="12" s="1"/>
  <c r="W277" i="12"/>
  <c r="V277" i="12"/>
  <c r="U278" i="12"/>
  <c r="U277" i="12" s="1"/>
  <c r="W274" i="12"/>
  <c r="V274" i="12"/>
  <c r="U275" i="12"/>
  <c r="U274" i="12" s="1"/>
  <c r="W250" i="12"/>
  <c r="W249" i="12" s="1"/>
  <c r="V250" i="12"/>
  <c r="V249" i="12" s="1"/>
  <c r="U250" i="12"/>
  <c r="U249" i="12" s="1"/>
  <c r="W260" i="12"/>
  <c r="W259" i="12" s="1"/>
  <c r="V260" i="12"/>
  <c r="V259" i="12" s="1"/>
  <c r="U259" i="12"/>
  <c r="W248" i="12"/>
  <c r="W247" i="12" s="1"/>
  <c r="V248" i="12"/>
  <c r="V247" i="12" s="1"/>
  <c r="U247" i="12"/>
  <c r="W227" i="12"/>
  <c r="V227" i="12"/>
  <c r="U228" i="12"/>
  <c r="U227" i="12" s="1"/>
  <c r="W225" i="12"/>
  <c r="V225" i="12"/>
  <c r="U226" i="12"/>
  <c r="U225" i="12" s="1"/>
  <c r="V244" i="12" l="1"/>
  <c r="W244" i="12"/>
  <c r="U244" i="12"/>
  <c r="W276" i="12"/>
  <c r="V276" i="12"/>
  <c r="W223" i="12"/>
  <c r="W220" i="12" s="1"/>
  <c r="V223" i="12"/>
  <c r="V220" i="12" s="1"/>
  <c r="U224" i="12"/>
  <c r="U223" i="12" s="1"/>
  <c r="U220" i="12" s="1"/>
  <c r="W208" i="12"/>
  <c r="V208" i="12"/>
  <c r="U209" i="12"/>
  <c r="U208" i="12" s="1"/>
  <c r="W206" i="12"/>
  <c r="V206" i="12"/>
  <c r="U207" i="12"/>
  <c r="U206" i="12" s="1"/>
  <c r="U205" i="12" l="1"/>
  <c r="V205" i="12"/>
  <c r="W205" i="12"/>
  <c r="W202" i="12"/>
  <c r="W201" i="12" s="1"/>
  <c r="V202" i="12"/>
  <c r="V201" i="12" s="1"/>
  <c r="U202" i="12"/>
  <c r="U201" i="12" s="1"/>
  <c r="W198" i="12"/>
  <c r="W197" i="12" s="1"/>
  <c r="V198" i="12"/>
  <c r="V197" i="12" s="1"/>
  <c r="U198" i="12"/>
  <c r="U197" i="12" s="1"/>
  <c r="W194" i="12"/>
  <c r="W193" i="12" s="1"/>
  <c r="V194" i="12"/>
  <c r="V193" i="12" s="1"/>
  <c r="U194" i="12"/>
  <c r="U193" i="12" s="1"/>
  <c r="W192" i="12"/>
  <c r="W191" i="12" s="1"/>
  <c r="V192" i="12"/>
  <c r="V191" i="12" s="1"/>
  <c r="U192" i="12"/>
  <c r="U191" i="12" s="1"/>
  <c r="W190" i="12"/>
  <c r="W189" i="12" s="1"/>
  <c r="V190" i="12"/>
  <c r="V189" i="12" s="1"/>
  <c r="U190" i="12"/>
  <c r="U189" i="12" s="1"/>
  <c r="W188" i="12"/>
  <c r="W187" i="12" s="1"/>
  <c r="V188" i="12"/>
  <c r="V187" i="12" s="1"/>
  <c r="U188" i="12"/>
  <c r="U187" i="12" s="1"/>
  <c r="W184" i="12"/>
  <c r="W183" i="12" s="1"/>
  <c r="V184" i="12"/>
  <c r="V183" i="12" s="1"/>
  <c r="U184" i="12"/>
  <c r="U183" i="12" s="1"/>
  <c r="W182" i="12"/>
  <c r="W181" i="12" s="1"/>
  <c r="V182" i="12"/>
  <c r="V181" i="12" s="1"/>
  <c r="U182" i="12"/>
  <c r="U181" i="12" s="1"/>
  <c r="W173" i="12"/>
  <c r="W172" i="12" s="1"/>
  <c r="V173" i="12"/>
  <c r="V172" i="12" s="1"/>
  <c r="U173" i="12"/>
  <c r="U172" i="12" s="1"/>
  <c r="W163" i="12"/>
  <c r="V163" i="12"/>
  <c r="U164" i="12"/>
  <c r="U163" i="12" s="1"/>
  <c r="W156" i="12"/>
  <c r="W155" i="12" s="1"/>
  <c r="V156" i="12"/>
  <c r="V155" i="12" s="1"/>
  <c r="U156" i="12"/>
  <c r="U155" i="12" s="1"/>
  <c r="W154" i="12"/>
  <c r="W153" i="12" s="1"/>
  <c r="V154" i="12"/>
  <c r="V153" i="12" s="1"/>
  <c r="U154" i="12"/>
  <c r="U153" i="12" s="1"/>
  <c r="W147" i="12"/>
  <c r="V147" i="12"/>
  <c r="U148" i="12"/>
  <c r="U147" i="12" s="1"/>
  <c r="W145" i="12"/>
  <c r="V145" i="12"/>
  <c r="U146" i="12"/>
  <c r="U145" i="12" s="1"/>
  <c r="W143" i="12"/>
  <c r="V143" i="12"/>
  <c r="U144" i="12"/>
  <c r="U143" i="12" s="1"/>
  <c r="W142" i="12"/>
  <c r="W141" i="12" s="1"/>
  <c r="V142" i="12"/>
  <c r="V141" i="12" s="1"/>
  <c r="U142" i="12"/>
  <c r="U141" i="12" s="1"/>
  <c r="U127" i="12"/>
  <c r="U126" i="12" s="1"/>
  <c r="W128" i="12"/>
  <c r="V128" i="12"/>
  <c r="U129" i="12"/>
  <c r="U128" i="12" s="1"/>
  <c r="U111" i="12"/>
  <c r="U110" i="12"/>
  <c r="W115" i="12"/>
  <c r="W114" i="12" s="1"/>
  <c r="V115" i="12"/>
  <c r="V114" i="12" s="1"/>
  <c r="U115" i="12"/>
  <c r="U114" i="12" s="1"/>
  <c r="U73" i="12"/>
  <c r="U72" i="12" s="1"/>
  <c r="W59" i="12"/>
  <c r="W56" i="12" s="1"/>
  <c r="V59" i="12"/>
  <c r="V56" i="12" s="1"/>
  <c r="U59" i="12"/>
  <c r="U180" i="12" l="1"/>
  <c r="U140" i="12"/>
  <c r="V140" i="12"/>
  <c r="W140" i="12"/>
  <c r="W180" i="12"/>
  <c r="V180" i="12"/>
  <c r="U109" i="12"/>
  <c r="W55" i="12"/>
  <c r="W54" i="12" s="1"/>
  <c r="W53" i="12" s="1"/>
  <c r="V55" i="12"/>
  <c r="V54" i="12" s="1"/>
  <c r="V53" i="12" s="1"/>
  <c r="U55" i="12"/>
  <c r="U54" i="12" s="1"/>
  <c r="U53" i="12" s="1"/>
  <c r="U139" i="12" l="1"/>
  <c r="U48" i="12"/>
  <c r="U47" i="12" s="1"/>
  <c r="W35" i="12"/>
  <c r="V35" i="12"/>
  <c r="U35" i="12"/>
  <c r="U33" i="12"/>
  <c r="U34" i="12"/>
  <c r="W24" i="12"/>
  <c r="W23" i="12" s="1"/>
  <c r="W22" i="12" s="1"/>
  <c r="V24" i="12"/>
  <c r="V23" i="12" s="1"/>
  <c r="V22" i="12" s="1"/>
  <c r="U24" i="12"/>
  <c r="U23" i="12" s="1"/>
  <c r="U21" i="12"/>
  <c r="U17" i="12"/>
  <c r="U16" i="12" s="1"/>
  <c r="V537" i="12" l="1"/>
  <c r="W537" i="12"/>
  <c r="U32" i="12"/>
  <c r="U42" i="12" l="1"/>
  <c r="U41" i="12"/>
  <c r="U40" i="12"/>
  <c r="U39" i="12" l="1"/>
  <c r="I27" i="10"/>
  <c r="U66" i="12" l="1"/>
  <c r="U64" i="12" l="1"/>
  <c r="U63" i="12"/>
  <c r="U62" i="12"/>
  <c r="I55" i="10"/>
  <c r="V518" i="12" l="1"/>
  <c r="V517" i="12" s="1"/>
  <c r="V516" i="12" s="1"/>
  <c r="U462" i="12"/>
  <c r="U461" i="12" s="1"/>
  <c r="U430" i="12" s="1"/>
  <c r="W518" i="12"/>
  <c r="W517" i="12" s="1"/>
  <c r="W516" i="12" s="1"/>
  <c r="V461" i="12"/>
  <c r="V430" i="12" s="1"/>
  <c r="U488" i="12"/>
  <c r="U61" i="12"/>
  <c r="W461" i="12"/>
  <c r="W430" i="12" s="1"/>
  <c r="U519" i="12"/>
  <c r="U518" i="12" s="1"/>
  <c r="U67" i="12"/>
  <c r="U65" i="12" s="1"/>
  <c r="U56" i="12" l="1"/>
  <c r="W429" i="12"/>
  <c r="V429" i="12"/>
  <c r="U517" i="12"/>
  <c r="U516" i="12" s="1"/>
  <c r="U429" i="12"/>
  <c r="V486" i="12"/>
  <c r="V475" i="12" s="1"/>
  <c r="V468" i="12" s="1"/>
  <c r="W486" i="12"/>
  <c r="W475" i="12" s="1"/>
  <c r="W468" i="12" s="1"/>
  <c r="U486" i="12"/>
  <c r="U475" i="12" s="1"/>
  <c r="W265" i="12"/>
  <c r="W264" i="12" s="1"/>
  <c r="V265" i="12"/>
  <c r="V264" i="12" s="1"/>
  <c r="U265" i="12"/>
  <c r="U264" i="12" s="1"/>
  <c r="U468" i="12" l="1"/>
  <c r="J27" i="10"/>
  <c r="V266" i="12"/>
  <c r="V263" i="12" s="1"/>
  <c r="V243" i="12" s="1"/>
  <c r="U267" i="12"/>
  <c r="U266" i="12" s="1"/>
  <c r="U263" i="12" s="1"/>
  <c r="W266" i="12"/>
  <c r="K27" i="10"/>
  <c r="W263" i="12" l="1"/>
  <c r="W243" i="12" s="1"/>
  <c r="U243" i="12"/>
  <c r="V179" i="12"/>
  <c r="V178" i="12" s="1"/>
  <c r="V171" i="12" s="1"/>
  <c r="V139" i="12" s="1"/>
  <c r="F16" i="14" l="1"/>
  <c r="W49" i="12"/>
  <c r="W38" i="12" s="1"/>
  <c r="W11" i="12" s="1"/>
  <c r="W179" i="12"/>
  <c r="W178" i="12" s="1"/>
  <c r="W171" i="12" s="1"/>
  <c r="W139" i="12" s="1"/>
  <c r="U50" i="12"/>
  <c r="U49" i="12" s="1"/>
  <c r="U38" i="12" s="1"/>
  <c r="E16" i="14"/>
  <c r="V49" i="12"/>
  <c r="V38" i="12" s="1"/>
  <c r="V11" i="12" s="1"/>
  <c r="U179" i="12"/>
  <c r="U178" i="12" s="1"/>
  <c r="W138" i="12"/>
  <c r="W137" i="12" s="1"/>
  <c r="W136" i="12" s="1"/>
  <c r="V138" i="12"/>
  <c r="V137" i="12" s="1"/>
  <c r="V136" i="12" s="1"/>
  <c r="U138" i="12"/>
  <c r="U137" i="12" s="1"/>
  <c r="U136" i="12" s="1"/>
  <c r="V132" i="12" l="1"/>
  <c r="W135" i="12"/>
  <c r="W134" i="12" s="1"/>
  <c r="U135" i="12"/>
  <c r="U134" i="12" s="1"/>
  <c r="J44" i="10"/>
  <c r="K44" i="10"/>
  <c r="W132" i="12"/>
  <c r="U133" i="12"/>
  <c r="U132" i="12" s="1"/>
  <c r="U119" i="12" s="1"/>
  <c r="U118" i="12" s="1"/>
  <c r="V135" i="12"/>
  <c r="V134" i="12" s="1"/>
  <c r="U29" i="12"/>
  <c r="U27" i="12"/>
  <c r="U26" i="12"/>
  <c r="K19" i="10"/>
  <c r="J19" i="10"/>
  <c r="I19" i="10"/>
  <c r="W119" i="12" l="1"/>
  <c r="W118" i="12" s="1"/>
  <c r="V119" i="12"/>
  <c r="V118"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5" i="10"/>
  <c r="G55" i="10"/>
  <c r="F55" i="10"/>
  <c r="K55" i="10"/>
  <c r="J55" i="10"/>
  <c r="H52" i="10"/>
  <c r="G52" i="10"/>
  <c r="F52" i="10"/>
  <c r="H48" i="10"/>
  <c r="G48" i="10"/>
  <c r="F48" i="10"/>
  <c r="H44" i="10"/>
  <c r="G44" i="10"/>
  <c r="F44" i="10"/>
  <c r="H40" i="10"/>
  <c r="G40" i="10"/>
  <c r="F40" i="10"/>
  <c r="H36" i="10"/>
  <c r="G36" i="10"/>
  <c r="F36" i="10"/>
  <c r="K36" i="10"/>
  <c r="J36" i="10"/>
  <c r="H33" i="10"/>
  <c r="G33" i="10"/>
  <c r="F33" i="10"/>
  <c r="K33" i="10"/>
  <c r="J33" i="10"/>
  <c r="I33" i="10"/>
  <c r="H31" i="10"/>
  <c r="G31" i="10"/>
  <c r="F31" i="10"/>
  <c r="K31" i="10"/>
  <c r="J31" i="10"/>
  <c r="I31" i="10"/>
  <c r="H29" i="10"/>
  <c r="G29" i="10"/>
  <c r="F29" i="10"/>
  <c r="K29" i="10"/>
  <c r="J29" i="10"/>
  <c r="I29" i="10"/>
  <c r="H27" i="10"/>
  <c r="G27" i="10"/>
  <c r="F27" i="10"/>
  <c r="H23" i="10"/>
  <c r="G23" i="10"/>
  <c r="F23" i="10"/>
  <c r="H19" i="10"/>
  <c r="G19" i="10"/>
  <c r="F19" i="10"/>
  <c r="H15" i="10"/>
  <c r="G15" i="10"/>
  <c r="F15" i="10"/>
  <c r="K15" i="10"/>
  <c r="J15" i="10"/>
  <c r="I15" i="10"/>
  <c r="H13" i="10"/>
  <c r="G13" i="10"/>
  <c r="F13" i="10"/>
  <c r="K13" i="10"/>
  <c r="J13" i="10"/>
  <c r="V406" i="12"/>
  <c r="V405" i="12"/>
  <c r="K52" i="10"/>
  <c r="J52" i="10"/>
  <c r="I52" i="10"/>
  <c r="D13" i="14"/>
  <c r="E11" i="11"/>
  <c r="D11" i="11"/>
  <c r="D19" i="16" l="1"/>
  <c r="D11" i="16" s="1"/>
  <c r="D11" i="14"/>
  <c r="B16" i="16"/>
  <c r="C19" i="16"/>
  <c r="B19" i="16"/>
  <c r="C16" i="16"/>
  <c r="U11" i="12"/>
  <c r="E13" i="14"/>
  <c r="E11" i="14" s="1"/>
  <c r="K23" i="10"/>
  <c r="V404" i="12"/>
  <c r="V403" i="12" s="1"/>
  <c r="J23" i="10"/>
  <c r="U406" i="12"/>
  <c r="U404" i="12" s="1"/>
  <c r="U403" i="12" s="1"/>
  <c r="H56" i="10"/>
  <c r="G56" i="10"/>
  <c r="D60" i="14"/>
  <c r="I40" i="10"/>
  <c r="F56" i="10"/>
  <c r="K40" i="10"/>
  <c r="F61" i="14"/>
  <c r="F60" i="14" s="1"/>
  <c r="E61" i="14"/>
  <c r="E60" i="14" s="1"/>
  <c r="F55" i="14"/>
  <c r="E55" i="14"/>
  <c r="K48" i="10"/>
  <c r="D55" i="14"/>
  <c r="J40" i="10"/>
  <c r="I48" i="10"/>
  <c r="I44" i="10"/>
  <c r="J48" i="10"/>
  <c r="F11" i="14"/>
  <c r="U310" i="12" l="1"/>
  <c r="U538" i="12" s="1"/>
  <c r="V310" i="12"/>
  <c r="V538" i="12" s="1"/>
  <c r="B11" i="16"/>
  <c r="D65" i="14"/>
  <c r="J56" i="10"/>
  <c r="AA704" i="21" s="1"/>
  <c r="K56" i="10"/>
  <c r="AB704" i="21" s="1"/>
  <c r="C11" i="16"/>
  <c r="W538" i="12"/>
  <c r="E65" i="14"/>
  <c r="F65" i="14"/>
  <c r="I56" i="10" l="1"/>
  <c r="Z704" i="21" s="1"/>
  <c r="Z716" i="2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<sst xmlns="http://schemas.openxmlformats.org/spreadsheetml/2006/main" count="9067" uniqueCount="1542">
  <si>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</si>
  <si>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</si>
  <si>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</si>
  <si>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</si>
  <si>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</si>
  <si>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</si>
  <si>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</si>
  <si>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</si>
  <si>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</si>
  <si>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</si>
  <si>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</si>
  <si>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</si>
  <si>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</si>
  <si>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</si>
  <si>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</si>
  <si>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</si>
  <si>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</si>
  <si>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</si>
  <si>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</si>
  <si>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</si>
  <si>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</si>
  <si>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</si>
  <si>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</si>
  <si>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</si>
  <si>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</si>
  <si>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</si>
  <si>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</si>
  <si>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</si>
  <si>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</si>
  <si>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</si>
  <si>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</si>
  <si>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</si>
  <si>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</si>
  <si>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</si>
  <si>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</si>
  <si>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</si>
  <si>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</si>
  <si>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</si>
  <si>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</si>
  <si>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</si>
  <si>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</si>
  <si>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</si>
  <si>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</si>
  <si>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</si>
  <si>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</si>
  <si>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</si>
  <si>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</si>
  <si>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</si>
  <si>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</si>
  <si>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</si>
  <si>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</si>
  <si>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</si>
  <si>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</si>
  <si>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</si>
  <si>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</si>
  <si>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</si>
  <si>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</si>
  <si>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</si>
  <si>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</si>
  <si>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</si>
  <si>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</si>
  <si>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</si>
  <si>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</si>
  <si>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</si>
  <si>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</si>
  <si>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</si>
  <si>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</si>
  <si>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</si>
  <si>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</si>
  <si>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</si>
  <si>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</si>
  <si>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</si>
  <si>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</si>
  <si>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</si>
  <si>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</si>
  <si>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</si>
  <si>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</si>
  <si>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</si>
  <si>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</si>
  <si>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</si>
  <si>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</si>
  <si>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</si>
  <si>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</si>
  <si>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</si>
  <si>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</si>
  <si>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</si>
  <si>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</si>
  <si>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</si>
  <si>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</si>
  <si>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</si>
  <si>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</si>
  <si>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</si>
  <si>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</si>
  <si>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</si>
  <si>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</si>
  <si>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</si>
  <si>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</si>
  <si>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</si>
  <si>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</si>
  <si>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</si>
  <si>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</si>
  <si>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</si>
  <si>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</si>
  <si>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</si>
  <si>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</si>
  <si>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</si>
  <si>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</si>
  <si>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</si>
  <si>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</si>
  <si>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</si>
  <si>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</si>
  <si>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</si>
  <si>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</si>
  <si>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</si>
  <si>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</si>
  <si>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</si>
  <si>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</si>
  <si>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</si>
  <si>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</si>
  <si>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</si>
  <si>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</si>
  <si>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</si>
  <si>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</si>
  <si>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</si>
  <si>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</si>
  <si>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</si>
  <si>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</si>
  <si>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</si>
  <si>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</si>
  <si>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</si>
  <si>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</si>
  <si>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</si>
  <si>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</si>
  <si>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</si>
  <si>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</si>
  <si>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</si>
  <si>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</si>
  <si>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</si>
  <si>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</si>
  <si>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</si>
  <si>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</si>
  <si>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</si>
  <si>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</si>
  <si>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</si>
  <si>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</si>
  <si>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</si>
  <si>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</si>
  <si>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</si>
  <si>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</si>
  <si>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</si>
  <si>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</si>
  <si>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</si>
  <si>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</si>
  <si>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</si>
  <si>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</si>
  <si>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</si>
  <si>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</si>
  <si>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</si>
  <si>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</si>
  <si>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</si>
  <si>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</si>
  <si>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</si>
  <si>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</si>
  <si>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</si>
  <si>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</si>
  <si>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</si>
  <si>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</si>
  <si>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</si>
  <si>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</si>
  <si>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</si>
  <si>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</si>
  <si>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</si>
  <si>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</si>
  <si>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</si>
  <si>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</si>
  <si>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</si>
  <si>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</si>
  <si>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</si>
  <si>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</si>
  <si>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</si>
  <si>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</si>
  <si>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</si>
  <si>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</si>
  <si>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</si>
  <si>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</si>
  <si>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</si>
  <si>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</si>
  <si>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</si>
  <si>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</si>
  <si>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</si>
  <si>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</si>
  <si>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</si>
  <si>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</si>
  <si>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</si>
  <si>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</si>
  <si>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</si>
  <si>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</si>
  <si>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</si>
  <si>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</si>
  <si>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</si>
  <si>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</si>
  <si>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</si>
  <si>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</si>
  <si>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</si>
  <si>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</si>
  <si>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</si>
  <si>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</si>
  <si>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</si>
  <si>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</si>
  <si>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</si>
  <si>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</si>
  <si>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</si>
  <si>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</si>
  <si>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</si>
  <si>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</si>
  <si>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</si>
  <si>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</si>
  <si>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</si>
  <si>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</si>
  <si>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</si>
  <si>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</si>
  <si>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</si>
  <si>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</si>
  <si>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</si>
  <si>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</si>
  <si>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</si>
  <si>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</si>
  <si>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</si>
  <si>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</si>
  <si>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</si>
  <si>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</si>
  <si>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</si>
  <si>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</si>
  <si>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</si>
  <si>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</si>
  <si>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</si>
  <si>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</si>
  <si>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</si>
  <si>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</si>
  <si>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</si>
  <si>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</si>
  <si>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</si>
  <si>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</si>
  <si>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</si>
  <si>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</si>
  <si>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</si>
  <si>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</si>
  <si>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</si>
  <si>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</si>
  <si>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</si>
  <si>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</si>
  <si>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</si>
  <si>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</si>
  <si>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</si>
  <si>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</si>
  <si>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</si>
  <si>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</si>
  <si>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</si>
  <si>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</si>
  <si>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</si>
  <si>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</si>
  <si>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</si>
  <si>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</si>
  <si>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</si>
  <si>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</si>
  <si>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</si>
  <si>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</si>
  <si>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</si>
  <si>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</si>
  <si>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</si>
  <si>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</si>
  <si>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</si>
  <si>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</si>
  <si>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</si>
  <si>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</si>
  <si>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</si>
  <si>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</si>
  <si>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</si>
  <si>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</si>
  <si>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</si>
  <si>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</si>
  <si>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</si>
  <si>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</si>
  <si>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</si>
  <si>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</si>
  <si>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</si>
  <si>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</si>
  <si>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</si>
  <si>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</si>
  <si>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</si>
  <si>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</si>
  <si>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</si>
  <si>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</si>
  <si>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</si>
  <si>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</si>
  <si>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</si>
  <si>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</si>
  <si>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</si>
  <si>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</si>
  <si>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</si>
  <si>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</si>
  <si>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</si>
  <si>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</si>
  <si>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</si>
  <si>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</si>
  <si>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</si>
  <si>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</si>
  <si>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</si>
  <si>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</si>
  <si>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</si>
  <si>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</si>
  <si>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</si>
  <si>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</si>
  <si>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</si>
  <si>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</si>
  <si>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</si>
  <si>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</si>
  <si>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</si>
  <si>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</si>
  <si>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</si>
  <si>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</si>
  <si>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</si>
  <si>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</si>
  <si>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</si>
  <si>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</si>
  <si>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</si>
  <si>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</si>
  <si>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</si>
  <si>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</si>
  <si>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</si>
  <si>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</si>
  <si>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</si>
  <si>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</si>
  <si>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</si>
  <si>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</si>
  <si>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</si>
  <si>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</si>
  <si>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</si>
  <si>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</si>
  <si>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</si>
  <si>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</si>
  <si>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</si>
  <si>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</si>
  <si>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</si>
  <si>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</si>
  <si>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</si>
  <si>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</si>
  <si>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</si>
  <si>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</si>
  <si>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</si>
  <si>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</si>
  <si>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</si>
  <si>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</si>
  <si>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</si>
  <si>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</si>
  <si>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</si>
  <si>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</si>
  <si>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</si>
  <si>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</si>
  <si>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</si>
  <si>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</si>
  <si>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</si>
  <si>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</si>
  <si>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</si>
  <si>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</si>
  <si>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</si>
  <si>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</si>
  <si>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</si>
  <si>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</si>
  <si>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</si>
  <si>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</si>
  <si>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</si>
  <si>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</si>
  <si>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</si>
  <si>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</si>
  <si>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</si>
  <si>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</si>
  <si>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</si>
  <si>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</si>
  <si>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</si>
  <si>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</si>
  <si>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</si>
  <si>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</si>
  <si>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</si>
  <si>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</si>
  <si>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</si>
  <si>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</si>
  <si>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</si>
  <si>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</si>
  <si>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</si>
  <si>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</si>
  <si>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</si>
  <si>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</si>
  <si>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</si>
  <si>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</si>
  <si>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</si>
  <si>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</si>
  <si>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</si>
  <si>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</si>
  <si>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</si>
  <si>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</si>
  <si>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</si>
  <si>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</si>
  <si>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</si>
  <si>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</si>
  <si>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</si>
  <si>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</si>
  <si>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</si>
  <si>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</si>
  <si>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</si>
  <si>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</si>
  <si>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</si>
  <si>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</si>
  <si>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</si>
  <si>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</si>
  <si>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</si>
  <si>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</si>
  <si>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</si>
  <si>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</si>
  <si>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</si>
  <si>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</si>
  <si>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</si>
  <si>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</si>
  <si>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</si>
  <si>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</si>
  <si>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</si>
  <si>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</si>
  <si>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</si>
  <si>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</si>
  <si>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</si>
  <si>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</si>
  <si>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</si>
  <si>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</si>
  <si>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</si>
  <si>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</si>
  <si>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</si>
  <si>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</si>
  <si>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</si>
  <si>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</si>
  <si>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</si>
  <si>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</si>
  <si>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</si>
  <si>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</si>
  <si>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</si>
  <si>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</si>
  <si>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</si>
  <si>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</si>
  <si>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</si>
  <si>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</si>
  <si>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</si>
  <si>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</si>
  <si>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</si>
  <si>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</si>
  <si>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</si>
  <si>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</si>
  <si>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</si>
  <si>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</si>
  <si>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</si>
  <si>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</si>
  <si>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</si>
  <si>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</si>
  <si>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</si>
  <si>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</si>
  <si>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</si>
  <si>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</si>
  <si>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</si>
  <si>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</si>
  <si>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</si>
  <si>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</si>
  <si>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</si>
  <si>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</si>
  <si>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</si>
  <si>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</si>
  <si>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</si>
  <si>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</si>
  <si>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</si>
  <si>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</si>
  <si>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</si>
  <si>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</si>
  <si>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</si>
  <si>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</si>
  <si>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</si>
  <si>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</si>
  <si>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</si>
  <si>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</si>
  <si>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</si>
  <si>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</si>
  <si>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</si>
  <si>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</si>
  <si>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</si>
  <si>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</si>
  <si>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</si>
  <si>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</si>
  <si>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</si>
  <si>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</si>
  <si>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</si>
  <si>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</si>
  <si>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</si>
  <si>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</si>
  <si>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</si>
  <si>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</si>
  <si>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</si>
  <si>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</si>
  <si>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</si>
  <si>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</si>
  <si>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</si>
  <si>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</si>
  <si>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</si>
  <si>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</si>
  <si>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</si>
  <si>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</si>
  <si>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</si>
  <si>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</si>
  <si>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</si>
  <si>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</si>
  <si>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</si>
  <si>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</si>
  <si>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</si>
  <si>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</si>
  <si>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</si>
  <si>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</si>
  <si>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</si>
  <si>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</si>
  <si>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</si>
  <si>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</si>
  <si>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</si>
  <si>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</si>
  <si>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</si>
  <si>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</si>
  <si>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</si>
  <si>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</si>
  <si>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</si>
  <si>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</si>
  <si>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</si>
  <si>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</si>
  <si>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</si>
  <si>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</si>
  <si>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</si>
  <si>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</si>
  <si>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</si>
  <si>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</si>
  <si>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</si>
  <si>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</si>
  <si>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</si>
  <si>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</si>
  <si>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</si>
  <si>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</si>
  <si>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</si>
  <si>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</si>
  <si>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</si>
  <si>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</si>
  <si>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</si>
  <si>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</si>
  <si>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</si>
  <si>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</si>
  <si>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</si>
  <si>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</si>
  <si>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</si>
  <si>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</si>
  <si>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</si>
  <si>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</si>
  <si>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</si>
  <si>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</si>
  <si>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</si>
  <si>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</si>
  <si>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</si>
  <si>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</si>
  <si>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</si>
  <si>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</si>
  <si>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</si>
  <si>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</si>
  <si>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</si>
  <si>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</si>
  <si>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</si>
  <si>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</si>
  <si>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</si>
  <si>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</si>
  <si>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</si>
  <si>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</si>
  <si>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</si>
  <si>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</si>
  <si>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</si>
  <si>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</si>
  <si>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</si>
  <si>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</si>
  <si>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</si>
  <si>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</si>
  <si>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</si>
  <si>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</si>
  <si>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</si>
  <si>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</si>
  <si>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</si>
  <si>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</si>
  <si>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</si>
  <si>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</si>
  <si>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</si>
  <si>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</si>
  <si>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</si>
  <si>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</si>
  <si>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</si>
  <si>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</si>
  <si>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</si>
  <si>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</si>
  <si>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</si>
  <si>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</si>
  <si>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</si>
  <si>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</si>
  <si>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</si>
  <si>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</si>
  <si>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</si>
  <si>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</si>
  <si>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</si>
  <si>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</si>
  <si>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</si>
  <si>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</si>
  <si>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</si>
  <si>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</si>
  <si>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</si>
  <si>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</si>
  <si>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</si>
  <si>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</si>
  <si>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</si>
  <si>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</si>
  <si>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12 1 01 01210</t>
  </si>
  <si>
    <t>12 1 01 12010</t>
  </si>
  <si>
    <t>11 2 02 11050</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</si>
  <si>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</si>
  <si>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</si>
  <si>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</si>
  <si>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</si>
  <si>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</si>
  <si>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</si>
  <si>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</si>
  <si>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</si>
  <si>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</si>
  <si>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</si>
  <si>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</si>
  <si>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</si>
  <si>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</si>
  <si>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</si>
  <si>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</si>
  <si>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</si>
  <si>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</si>
  <si>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</si>
  <si>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</si>
  <si>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</si>
  <si>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</si>
  <si>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</si>
  <si>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</si>
  <si>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</si>
  <si>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</si>
  <si>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</si>
  <si>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</si>
  <si>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</si>
  <si>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</si>
  <si>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</si>
  <si>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</si>
  <si>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</si>
  <si>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</si>
  <si>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</si>
  <si>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</si>
  <si>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</si>
  <si>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</si>
  <si>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</si>
  <si>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</si>
  <si>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</si>
  <si>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</si>
  <si>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</si>
  <si>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</si>
  <si>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</si>
  <si>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</si>
  <si>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</si>
  <si>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</si>
  <si>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</si>
  <si>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</si>
  <si>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</si>
  <si>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</si>
  <si>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</si>
  <si>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</si>
  <si>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</si>
  <si>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</si>
  <si>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</si>
  <si>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</si>
  <si>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</si>
  <si>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</si>
  <si>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</si>
  <si>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</si>
  <si>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</si>
  <si>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</si>
  <si>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</si>
  <si>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</si>
  <si>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</si>
  <si>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</si>
  <si>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</si>
  <si>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</si>
  <si>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</si>
  <si>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</si>
  <si>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</si>
  <si>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</si>
  <si>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</si>
  <si>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</si>
  <si>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</si>
  <si>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</si>
  <si>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</si>
  <si>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</si>
  <si>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</si>
  <si>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</si>
  <si>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</si>
  <si>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</si>
  <si>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</si>
  <si>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</si>
  <si>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</si>
  <si>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</si>
  <si>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</si>
  <si>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</si>
  <si>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</si>
  <si>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</si>
  <si>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</si>
  <si>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</si>
  <si>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</si>
  <si>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</si>
  <si>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</si>
  <si>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</si>
  <si>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</si>
  <si>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</si>
  <si>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</si>
  <si>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</si>
  <si>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</si>
  <si>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</si>
  <si>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</si>
  <si>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</si>
  <si>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</si>
  <si>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</si>
  <si>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</si>
  <si>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</si>
  <si>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</si>
  <si>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</si>
  <si>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</si>
  <si>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</si>
  <si>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</si>
  <si>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</si>
  <si>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</si>
  <si>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</si>
  <si>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</si>
  <si>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</si>
  <si>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</si>
  <si>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</si>
  <si>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</si>
  <si>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</si>
  <si>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</si>
  <si>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</si>
  <si>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</si>
  <si>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</si>
  <si>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</si>
  <si>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</si>
  <si>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</si>
  <si>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</si>
  <si>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</si>
  <si>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</si>
  <si>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</si>
  <si>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</si>
  <si>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</si>
  <si>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</si>
  <si>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</si>
  <si>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</si>
  <si>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</si>
  <si>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</si>
  <si>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</si>
  <si>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</si>
  <si>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</si>
  <si>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</si>
  <si>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</si>
  <si>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</si>
  <si>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</si>
  <si>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</si>
  <si>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</si>
  <si>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</si>
  <si>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</si>
  <si>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</si>
  <si>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</si>
  <si>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</si>
  <si>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</si>
  <si>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</si>
  <si>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</si>
  <si>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</si>
  <si>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</si>
  <si>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</si>
  <si>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</si>
  <si>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</si>
  <si>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</si>
  <si>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</si>
  <si>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</si>
  <si>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</si>
  <si>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</si>
  <si>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</si>
  <si>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</si>
  <si>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</si>
  <si>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</si>
  <si>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</si>
  <si>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</si>
  <si>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</si>
  <si>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</si>
  <si>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</si>
  <si>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</si>
  <si>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</si>
  <si>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</si>
  <si>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</si>
  <si>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</si>
  <si>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</si>
  <si>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</si>
  <si>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</si>
  <si>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</si>
  <si>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</si>
  <si>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</si>
  <si>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</si>
  <si>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</si>
  <si>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</si>
  <si>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</si>
  <si>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</si>
  <si>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</si>
  <si>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</si>
  <si>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</si>
  <si>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</si>
  <si>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</si>
  <si>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</si>
  <si>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</si>
  <si>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</si>
  <si>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</si>
  <si>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</si>
  <si>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</si>
  <si>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</si>
  <si>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</si>
  <si>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</si>
  <si>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</si>
  <si>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</si>
  <si>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</si>
  <si>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</si>
  <si>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</si>
  <si>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</si>
  <si>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</si>
  <si>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</si>
  <si>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</si>
  <si>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</si>
  <si>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</si>
  <si>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</si>
  <si>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</si>
  <si>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009</t>
  </si>
  <si>
    <t>013</t>
  </si>
  <si>
    <t>1 11 05025 05 0000 120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</si>
  <si>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</si>
  <si>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</si>
  <si>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</si>
  <si>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</si>
  <si>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</si>
  <si>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</si>
  <si>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</si>
  <si>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</si>
  <si>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</si>
  <si>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</si>
  <si>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</si>
  <si>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</si>
  <si>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</si>
  <si>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</si>
  <si>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</si>
  <si>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</si>
  <si>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</si>
  <si>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</si>
  <si>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</si>
  <si>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</si>
  <si>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</si>
  <si>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</si>
  <si>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</si>
  <si>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</si>
  <si>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</si>
  <si>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</si>
  <si>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</si>
  <si>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</si>
  <si>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</si>
  <si>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</si>
  <si>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</si>
  <si>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</si>
  <si>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</si>
  <si>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</si>
  <si>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</si>
  <si>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</si>
  <si>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</si>
  <si>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</si>
  <si>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</si>
  <si>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</si>
  <si>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</si>
  <si>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</si>
  <si>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</si>
  <si>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</si>
  <si>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</si>
  <si>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</si>
  <si>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</si>
  <si>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</si>
  <si>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</si>
  <si>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</si>
  <si>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</si>
  <si>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</si>
  <si>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</si>
  <si>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</si>
  <si>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</si>
  <si>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</si>
  <si>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</si>
  <si>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</si>
  <si>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</si>
  <si>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</si>
  <si>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</si>
  <si>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</si>
  <si>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</si>
  <si>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</si>
  <si>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</si>
  <si>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</si>
  <si>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</si>
  <si>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</si>
  <si>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</si>
  <si>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</si>
  <si>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</si>
  <si>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</si>
  <si>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</si>
  <si>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</si>
  <si>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</si>
  <si>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</si>
  <si>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</si>
  <si>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</si>
  <si>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</si>
  <si>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</si>
  <si>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</si>
  <si>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</si>
  <si>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</si>
  <si>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</si>
  <si>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</si>
  <si>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</si>
  <si>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</si>
  <si>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</si>
  <si>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</si>
  <si>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</si>
  <si>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</si>
  <si>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</si>
  <si>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</si>
  <si>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</si>
  <si>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</si>
  <si>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</si>
  <si>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</si>
  <si>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</si>
  <si>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</si>
  <si>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</si>
  <si>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</si>
  <si>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</si>
  <si>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</si>
  <si>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</si>
  <si>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</si>
  <si>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</si>
  <si>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</si>
  <si>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</si>
  <si>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</si>
  <si>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</si>
  <si>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</si>
  <si>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</si>
  <si>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</si>
  <si>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</si>
  <si>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</si>
  <si>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</si>
  <si>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</si>
  <si>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</si>
  <si>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</si>
  <si>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</si>
  <si>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</si>
  <si>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</si>
  <si>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</si>
  <si>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</si>
  <si>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</si>
  <si>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</si>
  <si>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</si>
  <si>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</si>
  <si>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</si>
  <si>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</si>
  <si>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</si>
  <si>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</si>
  <si>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</si>
  <si>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</si>
  <si>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</si>
  <si>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</si>
  <si>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</si>
  <si>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</si>
  <si>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</si>
  <si>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</si>
  <si>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</si>
  <si>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</si>
  <si>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</si>
  <si>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</si>
  <si>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</si>
  <si>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</si>
  <si>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</si>
  <si>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</si>
  <si>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</si>
  <si>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</si>
  <si>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</si>
  <si>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</si>
  <si>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</si>
  <si>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</si>
  <si>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</si>
  <si>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</si>
  <si>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</si>
  <si>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</si>
  <si>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</si>
  <si>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</si>
  <si>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</si>
  <si>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</si>
  <si>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</si>
  <si>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</si>
  <si>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</si>
  <si>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</si>
  <si>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</si>
  <si>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</si>
  <si>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</si>
  <si>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</si>
  <si>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</si>
  <si>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</si>
  <si>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</si>
  <si>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</si>
  <si>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</si>
  <si>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</si>
  <si>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</si>
  <si>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</si>
  <si>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</si>
  <si>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</si>
  <si>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</si>
  <si>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</si>
  <si>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</si>
  <si>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</si>
  <si>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</si>
  <si>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</si>
  <si>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</si>
  <si>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</si>
  <si>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</si>
  <si>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</si>
  <si>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</si>
  <si>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</si>
  <si>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</si>
  <si>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</si>
  <si>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</si>
  <si>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</si>
  <si>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</si>
  <si>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</si>
  <si>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</si>
  <si>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</si>
  <si>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</si>
  <si>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</si>
  <si>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</si>
  <si>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</si>
  <si>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</si>
  <si>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</si>
  <si>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</si>
  <si>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</si>
  <si>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</si>
  <si>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</si>
  <si>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</si>
  <si>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</si>
  <si>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05032</t>
  </si>
  <si>
    <t>Начальник Финансового управления</t>
  </si>
  <si>
    <t>12 1 01 S7110</t>
  </si>
  <si>
    <t>12101</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</si>
  <si>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</si>
  <si>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</si>
  <si>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</si>
  <si>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</si>
  <si>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</si>
  <si>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</si>
  <si>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</si>
  <si>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</si>
  <si>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</si>
  <si>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</si>
  <si>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</si>
  <si>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</si>
  <si>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</si>
  <si>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</si>
  <si>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</si>
  <si>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</si>
  <si>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</si>
  <si>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</si>
  <si>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</si>
  <si>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</si>
  <si>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</si>
  <si>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</si>
  <si>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</si>
  <si>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</si>
  <si>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</si>
  <si>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</si>
  <si>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</si>
  <si>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</si>
  <si>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</si>
  <si>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</si>
  <si>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</si>
  <si>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</si>
  <si>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</si>
  <si>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</si>
  <si>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</si>
  <si>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</si>
  <si>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</si>
  <si>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</si>
  <si>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</si>
  <si>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</si>
  <si>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</si>
  <si>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</si>
  <si>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Субсидии бюджетам на финансовое обеспечение отдельных полномочий</t>
  </si>
  <si>
    <t xml:space="preserve">002 </t>
  </si>
  <si>
    <t>Субвенции бюджетам муниципальных районов на выполнение переданых полномочий субъектов Российской Федерации</t>
  </si>
  <si>
    <t>10 1 01 87720</t>
  </si>
  <si>
    <t>Межбюджетные трансферты</t>
  </si>
  <si>
    <t>10 1 01 S7710</t>
  </si>
  <si>
    <t>Безвозмездные поступления</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</si>
  <si>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</si>
  <si>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</si>
  <si>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</si>
  <si>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</si>
  <si>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</si>
  <si>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</si>
  <si>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</si>
  <si>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</si>
  <si>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</si>
  <si>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</si>
  <si>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</si>
  <si>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</si>
  <si>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 xml:space="preserve">                                                     Приложение № 8</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</si>
  <si>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</si>
  <si>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</si>
  <si>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</si>
  <si>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</si>
  <si>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</si>
  <si>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</si>
  <si>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</si>
  <si>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</si>
  <si>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</si>
  <si>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</si>
  <si>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</si>
  <si>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</si>
  <si>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</si>
  <si>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</si>
  <si>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</si>
  <si>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</si>
  <si>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</si>
  <si>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</si>
  <si>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</si>
  <si>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</si>
  <si>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</si>
  <si>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</si>
  <si>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</si>
  <si>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</si>
  <si>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</si>
  <si>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</si>
  <si>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</si>
  <si>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</si>
  <si>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</si>
  <si>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</si>
  <si>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</si>
  <si>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</si>
  <si>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</si>
  <si>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</si>
  <si>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</si>
  <si>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</si>
  <si>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</si>
  <si>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</si>
  <si>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</si>
  <si>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</si>
  <si>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</si>
  <si>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</si>
  <si>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</si>
  <si>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</si>
  <si>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</si>
  <si>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</si>
  <si>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</si>
  <si>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</si>
  <si>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</si>
  <si>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</si>
  <si>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</si>
  <si>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</si>
  <si>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</si>
  <si>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</si>
  <si>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</si>
  <si>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</si>
  <si>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</si>
  <si>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</si>
  <si>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</si>
  <si>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</si>
  <si>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</si>
  <si>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</si>
  <si>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</si>
  <si>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</si>
  <si>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</si>
  <si>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</si>
  <si>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</si>
  <si>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</si>
  <si>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</si>
  <si>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</si>
  <si>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</si>
  <si>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</si>
  <si>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</si>
  <si>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</si>
  <si>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</si>
  <si>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</si>
  <si>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</si>
  <si>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</si>
  <si>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</si>
  <si>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</si>
  <si>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</si>
  <si>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</si>
  <si>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</si>
  <si>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</si>
  <si>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</si>
  <si>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</si>
  <si>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</si>
  <si>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</si>
  <si>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</si>
  <si>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</si>
  <si>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</si>
  <si>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</si>
  <si>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</si>
  <si>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</si>
  <si>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</si>
  <si>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</si>
  <si>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</si>
  <si>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</si>
  <si>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</si>
  <si>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</si>
  <si>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</si>
  <si>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</si>
  <si>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</si>
  <si>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</si>
  <si>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</si>
  <si>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</si>
  <si>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</si>
  <si>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</si>
  <si>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</si>
  <si>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</si>
  <si>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</si>
  <si>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</si>
  <si>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</si>
  <si>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</si>
  <si>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</si>
  <si>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</si>
  <si>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</si>
  <si>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</si>
  <si>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</si>
  <si>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</si>
  <si>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</si>
  <si>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</si>
  <si>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</si>
  <si>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</si>
  <si>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</si>
  <si>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</si>
  <si>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</si>
  <si>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</si>
  <si>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</si>
  <si>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</si>
  <si>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</si>
  <si>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</si>
  <si>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</si>
  <si>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</si>
  <si>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</si>
  <si>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</si>
  <si>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</si>
  <si>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</si>
  <si>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</si>
  <si>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</si>
  <si>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</si>
  <si>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</si>
  <si>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</si>
  <si>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</si>
  <si>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</si>
  <si>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</si>
  <si>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</si>
  <si>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</si>
  <si>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</si>
  <si>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</si>
  <si>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</si>
  <si>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</si>
  <si>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</si>
  <si>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</si>
  <si>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</si>
  <si>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</si>
  <si>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</si>
  <si>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</si>
  <si>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</si>
  <si>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</si>
  <si>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</si>
  <si>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</si>
  <si>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</si>
  <si>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</si>
  <si>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</si>
  <si>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</si>
  <si>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</si>
  <si>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</si>
  <si>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</si>
  <si>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</si>
  <si>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</si>
  <si>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</si>
  <si>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</si>
  <si>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</si>
  <si>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</si>
  <si>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</si>
  <si>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</si>
  <si>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</si>
  <si>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</si>
  <si>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</si>
  <si>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</si>
  <si>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</si>
  <si>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</si>
  <si>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</si>
  <si>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</si>
  <si>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</si>
  <si>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</si>
  <si>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</si>
  <si>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</si>
  <si>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</si>
  <si>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</si>
  <si>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</si>
  <si>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</si>
  <si>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</si>
  <si>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</si>
  <si>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</si>
  <si>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</si>
  <si>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</si>
  <si>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</si>
  <si>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</si>
  <si>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</si>
  <si>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</si>
  <si>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</si>
  <si>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</si>
  <si>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</si>
  <si>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</si>
  <si>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</si>
  <si>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</si>
  <si>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</si>
  <si>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</si>
  <si>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</si>
  <si>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</si>
  <si>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</si>
  <si>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</si>
  <si>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</si>
  <si>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</si>
  <si>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</si>
  <si>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</si>
  <si>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</si>
  <si>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</si>
  <si>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</si>
  <si>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</si>
  <si>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</si>
  <si>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</si>
  <si>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</si>
  <si>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</si>
  <si>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</si>
  <si>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</si>
  <si>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</si>
  <si>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</si>
  <si>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</si>
  <si>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</si>
  <si>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</si>
  <si>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</si>
  <si>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</si>
  <si>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</si>
  <si>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</si>
  <si>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</si>
  <si>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</si>
  <si>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</si>
  <si>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</si>
  <si>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</si>
  <si>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</si>
  <si>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</si>
  <si>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</si>
  <si>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</si>
  <si>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</si>
  <si>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</si>
  <si>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</si>
  <si>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</si>
  <si>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</si>
  <si>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</si>
  <si>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</si>
  <si>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</si>
  <si>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</si>
  <si>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 xml:space="preserve">Финансовое обеспечение государственных полномочий по назначению и выплате денежной выплаты при передаче ребенка на воспитанию в семью, осуществлению контроля за расходованием усыновителя, опекунами (попечителями), приемными родителями денежной выплаты и возврату денежной выплаты   в рамках подпрограммы  "Охрана семьи и детства" муниципальной программы «Развитие образования Сковородинского района» </t>
  </si>
  <si>
    <t>13 2 02 S0180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</si>
  <si>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t>
  </si>
  <si>
    <t>03 7 07 S7110</t>
  </si>
  <si>
    <t>Обустройство автомобильных дорог и обеспечение условий для безопасного дорожного движения на территории Амурской области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</si>
  <si>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Субсидии бюджетам муниципальных районов на реализацию мероприятий по обеспечению жильем молодых семей</t>
  </si>
  <si>
    <t>10 4 04 01411</t>
  </si>
  <si>
    <t>10 4 04 01412</t>
  </si>
  <si>
    <t>10 4 04 01413</t>
  </si>
  <si>
    <t>2 02 15001 05 0000 150</t>
  </si>
  <si>
    <t>2 02 25497 05 0000 150</t>
  </si>
  <si>
    <t>2 02 29999 05 0000 150</t>
  </si>
  <si>
    <t>2 02 29998 05 0000 150</t>
  </si>
  <si>
    <t>2 02 35082 05 0000 150</t>
  </si>
  <si>
    <t>2 02 35120 05 0000 150</t>
  </si>
  <si>
    <t>2 02 39999 05 0000 150</t>
  </si>
  <si>
    <t>2 02 30024 05 0000 150</t>
  </si>
  <si>
    <t>2 02 30029 05 0000 150</t>
  </si>
  <si>
    <t>2 02 30027 05 0000 150</t>
  </si>
  <si>
    <t>2 02 40014 05 0000 150</t>
  </si>
  <si>
    <t>2 19 60010 05 0000 150</t>
  </si>
  <si>
    <t xml:space="preserve">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</si>
  <si>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Расходы на обеспечение деятельности (оказание услуг) муниципального учреждения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</si>
  <si>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</si>
  <si>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«Межведомственная централизованная бухгалтерия»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</si>
  <si>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от 25.12.2018 №     </t>
  </si>
  <si>
    <t>непрограммные мероприятия</t>
  </si>
  <si>
    <t>субвенции</t>
  </si>
  <si>
    <t>сумма</t>
  </si>
  <si>
    <t>программа/непрограммное направление</t>
  </si>
  <si>
    <t>субвенции/субсидии</t>
  </si>
  <si>
    <t>О внесении изменений и дополнений в проект решения о бюджете на 2019 и плановый период 2020 на  2021 годов</t>
  </si>
  <si>
    <t xml:space="preserve">Расходы на приобретение объектов недвижимого имущества в муниципальную собственность </t>
  </si>
  <si>
    <t>99 9 09 21010</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</si>
  <si>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</si>
  <si>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</si>
  <si>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</si>
  <si>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10 4 04 01930</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</si>
  <si>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</si>
  <si>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</si>
  <si>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Капитальные вложения в объекты недвижимого имущества (государственной) муниципальной собственности</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</si>
  <si>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t>
  </si>
  <si>
    <t>10 1 01 51200</t>
  </si>
  <si>
    <t>Доходы, полученые в виде арендной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</si>
  <si>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 xml:space="preserve">Расходы на приобретениеи и установку детских спортивно-игровых площадок и укрепление материально-технической базы учреждений в рамках благотворительного пожертвования </t>
  </si>
  <si>
    <t>99 3 03 91700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</si>
  <si>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</si>
  <si>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1 03 02231 01 0000 110</t>
  </si>
  <si>
    <t>1 03 02241 01 0000 110</t>
  </si>
  <si>
    <t>Приложение №1</t>
  </si>
  <si>
    <t>Приложение№3</t>
  </si>
  <si>
    <t>Приложение № 5</t>
  </si>
  <si>
    <t xml:space="preserve">                                                     Приложение № 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</si>
  <si>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</si>
  <si>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</si>
  <si>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Расходы, связанные с досудебным урегулированием споров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</si>
  <si>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г.Сковородино</t>
  </si>
  <si>
    <t>Обустройство контейнерных площадок  в рамках  муниципальной программы «Благоустройство Сковородинского района"</t>
  </si>
  <si>
    <t>14 1 01 14040</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</si>
  <si>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</si>
  <si>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</si>
  <si>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</si>
  <si>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</si>
  <si>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</si>
  <si>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1 03 02251 01 0000 110</t>
  </si>
  <si>
    <t>12 1 01 L1690</t>
  </si>
  <si>
    <t>Обнос</t>
  </si>
  <si>
    <t>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</si>
  <si>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05 1 01 05011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</si>
  <si>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</si>
  <si>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</si>
  <si>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</si>
  <si>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</si>
  <si>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области"(за счет средств ГК - Фонда содействия реформированию жилищно-коммунального хозяйства )</t>
  </si>
  <si>
    <t>07 2 02 09502</t>
  </si>
  <si>
    <t>10 4 04 01414</t>
  </si>
  <si>
    <t>Расходы, связанные с проведением закупок товаров и услуг МБУ "Служба заказчик"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</si>
  <si>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</si>
  <si>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Противодействие злоупотреблению наркотическими средствами и их незаконному обороту в Сковородинском районе</t>
  </si>
  <si>
    <t>Приобретение, модернизация, содержание и эксплуатация дорожной техники подпрограммы "Развитие сети автомобильных дорог общего пользования" муниципальной программы "Развитие транспортной системы Сковоородинского района"</t>
  </si>
  <si>
    <t>1 05 01021 01 0000 110</t>
  </si>
  <si>
    <t>1 06 01000 00 0000 110</t>
  </si>
  <si>
    <t>1 06 01030 05 0000 110</t>
  </si>
  <si>
    <t>1 16 30030 01 6000 140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</si>
  <si>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</si>
  <si>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</si>
  <si>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t>
  </si>
  <si>
    <t>Прочие денежные взыскания (штрафы) за правонарушения в области дорожного движения</t>
  </si>
  <si>
    <t>Субсидии субъектам малого и среднего предпринимательства по возмещению части оплаты первого взноса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</si>
  <si>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08 1 01 08061</t>
  </si>
  <si>
    <t>Субсидии субъектам малого и среднего предпринимательства по возмещению части оплаты процентов по кредитам, привлечённым в кредитных организациях на развитие производства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</si>
  <si>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08 1 01 08062</t>
  </si>
  <si>
    <t xml:space="preserve">Субсидии субъектам малого с среднего предпринимательства по возмещению части затрат, связанных с реализацией проекта в сфере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</si>
  <si>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08 1 01 08063</t>
  </si>
  <si>
    <t>Субсидии субъектам малого и среднего предпринимательства в части предоставления грантов начинающим предпринимателям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</si>
  <si>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08 1 01 08064</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</si>
  <si>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осуществляющих образовательную деятельность по программам дошкольного образования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</si>
  <si>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08 1 01 08065</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</si>
  <si>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по присмотру и уходу за детьми в соответствии с законодательством Российской Федерации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</si>
  <si>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08 1 01 08066</t>
  </si>
  <si>
    <t xml:space="preserve">Благоустройство парка культуры и отдыха г. Сковородино муниципальной программы «Благоустройство Сковородинского района» </t>
  </si>
  <si>
    <t>14 1 01 14080</t>
  </si>
  <si>
    <t>Организация и проведение мероприятий по реализации муниципальной подпрограммы «Развитие лес-ного хозяйства» муниципальной программы «Охрана окружающей среды в Сковородинском районе»</t>
  </si>
  <si>
    <t>1 1 09035 05 0000 120</t>
  </si>
  <si>
    <t>п.г.т. Ерофей Павлович</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</si>
  <si>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</si>
  <si>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</si>
  <si>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</si>
  <si>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</si>
  <si>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1 06 06033 05 2100 110</t>
  </si>
  <si>
    <t>10.4.04.01810</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</si>
  <si>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</si>
  <si>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Тахтамыгдинский с/с</t>
  </si>
  <si>
    <t>Солнечный с/с</t>
  </si>
  <si>
    <t>мп</t>
  </si>
  <si>
    <t>пгт.Ерофей Павлович</t>
  </si>
  <si>
    <t>пгт.Уруша</t>
  </si>
  <si>
    <t>05.1.01.05011</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</si>
  <si>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</si>
  <si>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</si>
  <si>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субъектам малого и среднего предпринимательства по возмещению  уплаты первого взноса (аванса)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</si>
  <si>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Гранты (субсидии) начинающим субъектам малого и среднего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</si>
  <si>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по возмещению части затрат субъектам малого и среднего предпринимальства на уплату процентов по кредитам, привлеченным в российских кредитных организациях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</si>
  <si>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субъектам малого и среднего предпринимательства на организацию групп дневного времяпрепровождения детей дошкольного возраста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</si>
  <si>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Субсидирование части затрат субъектов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</si>
  <si>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Субсидии субъектам малого и среднего предпринимательства, осуществляющим образовательную деятельность по образовательным программам дошкольного образования, а также по присмотру и уходу за детьми в соответствии с законодательством РФ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</si>
  <si>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Оборудование коентейрных площадок для сбора твердых коммунальных отходоов в рамках подпрограммы "Благоустройство Сковородинского района"</t>
  </si>
  <si>
    <t>14 1 01 S7330</t>
  </si>
  <si>
    <t>Переданные полномочия по проведению контроля в соответствии с частью 8 ст 99 Федерального закона 44-ФЗ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</si>
  <si>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10 1 01 01670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</si>
  <si>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</si>
  <si>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</si>
  <si>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10 4 04 01415</t>
  </si>
  <si>
    <t>Заместитель начальника Финансового управления</t>
  </si>
  <si>
    <t>Н.В. Палащенко</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</si>
  <si>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</si>
  <si>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</si>
  <si>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Оборудование коентейрных площадок для сбора твердых коммунальных отходов в рамках подпрограммы "Благоустройство Сковородинского района"</t>
  </si>
  <si>
    <t>14.1.01.14030</t>
  </si>
  <si>
    <t>10 1 01 10081</t>
  </si>
  <si>
    <t>Предоставление бюджетам поселений межбюджетных трансфертов на реализацию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</si>
  <si>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13303</t>
  </si>
  <si>
    <t>13140</t>
  </si>
  <si>
    <t>03707</t>
  </si>
  <si>
    <t>03040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</si>
  <si>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района"(письмо отдела экономики на ремонт клуба п. Солнечный в рамках бюджетирования)</t>
  </si>
  <si>
    <t>05101</t>
  </si>
  <si>
    <t>05010</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</si>
  <si>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района"(письмо отдела экономики уточнение ВР, на ремонт автомобильной дороги от дома №45 до дома №53 ул. Транспортная п.г.т. Уруша)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</si>
  <si>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отдела экономики уточнение ВР, на строительство нового сооружения скважины в п. Таежный)</t>
  </si>
  <si>
    <t>10202</t>
  </si>
  <si>
    <t>01180</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</si>
  <si>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района"(письмо администрации №4 от 27.05.2019, уточнение ВР на оплату договоров)</t>
  </si>
  <si>
    <t>14020</t>
  </si>
  <si>
    <t>Приобретение и установка фонарей в рамках  муниципальной программы "Благоустройство Сковородинского района"(письмо отдела экономики на ремонт скважины п. Таежный)</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</si>
  <si>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отдела экономики №48 от 24.05.2019 на приобретение стальных труб)</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</si>
  <si>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районе»(уточнение ЦСР)</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</si>
  <si>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отдела экономики, на приобретение ассенизаторской бочки для п.г.т. Е Павлович)</t>
  </si>
  <si>
    <t>Приобретение и установка фонарей в рамках  муниципальной программы "Благоустройство Сковородинского района"(уточнение ЦСР)</t>
  </si>
  <si>
    <t>от 29.05.2019 №223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</si>
</sst>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82"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
      <sz val="12"/>
      <color rgb="FF00B050"/>
      <name val="Arial Narrow"/>
      <family val="2"/>
      <charset val="204"/>
    </font>
    <font>
      <b/>
      <sz val="12"/>
      <color rgb="FF7030A0"/>
      <name val="Arial Narrow"/>
      <family val="2"/>
      <charset val="204"/>
    </font>
    <font>
      <sz val="12"/>
      <color rgb="FFFF0000"/>
      <name val="Arial Narrow"/>
      <family val="2"/>
      <charset val="204"/>
    </font>
    <font>
      <i/>
      <sz val="11"/>
      <color rgb="FF7030A0"/>
      <name val="Calibri"/>
      <family val="2"/>
      <scheme val="minor"/>
    </font>
    <font>
      <i/>
      <sz val="11"/>
      <color theme="1"/>
      <name val="Calibri"/>
      <family val="2"/>
      <scheme val="minor"/>
    </font>
    <font>
      <sz val="12"/>
      <color rgb="FFFF0000"/>
      <name val="Times New Roman"/>
      <family val="1"/>
      <charset val="204"/>
    </font>
    <font>
      <i/>
      <sz val="12"/>
      <color rgb="FF7030A0"/>
      <name val="Times New Roman"/>
      <family val="1"/>
      <charset val="204"/>
    </font>
    <font>
      <b/>
      <sz val="12"/>
      <color rgb="FF7030A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8"/>
      </left>
      <right/>
      <top/>
      <bottom/>
      <diagonal/>
    </border>
    <border>
      <left style="thin">
        <color indexed="8"/>
      </left>
      <right/>
      <top/>
      <bottom/>
      <diagonal/>
    </border>
    <border>
      <left style="thin">
        <color indexed="64"/>
      </left>
      <right/>
      <top/>
      <bottom/>
      <diagonal/>
    </border>
    <border>
      <left/>
      <right style="thin">
        <color indexed="64"/>
      </right>
      <top/>
      <bottom/>
      <diagonal/>
    </border>
  </borders>
  <cellStyleXfs count="3">
    <xf numFmtId="0" fontId="0" fillId="0" borderId="0"/>
    <xf numFmtId="0" fontId="4" fillId="0" borderId="0"/>
    <xf numFmtId="0" fontId="6" fillId="0" borderId="0"/>
  </cellStyleXfs>
  <cellXfs count="1203">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0" fontId="45" fillId="0" borderId="0" xfId="0" applyFont="1" applyAlignment="1">
      <alignment horizontal="justify"/>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0" fillId="0" borderId="19" xfId="0" applyNumberFormat="1" applyFont="1" applyFill="1" applyBorder="1" applyAlignment="1" applyProtection="1">
      <alignment horizontal="justify" vertical="center" wrapText="1"/>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0" fontId="45" fillId="0" borderId="0" xfId="0" applyFont="1" applyFill="1" applyAlignment="1">
      <alignment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164" fontId="26" fillId="0" borderId="0" xfId="0" applyNumberFormat="1" applyFont="1" applyBorder="1" applyAlignment="1" applyProtection="1">
      <alignment horizontal="justify" vertical="center" wrapText="1"/>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8" fillId="0" borderId="0" xfId="0" applyFont="1"/>
    <xf numFmtId="0" fontId="64" fillId="0" borderId="0" xfId="0" applyFont="1"/>
    <xf numFmtId="0" fontId="65" fillId="0" borderId="0" xfId="0" applyFont="1" applyAlignment="1"/>
    <xf numFmtId="0" fontId="64" fillId="0" borderId="0" xfId="0" applyFont="1" applyAlignment="1">
      <alignment wrapText="1"/>
    </xf>
    <xf numFmtId="0" fontId="64" fillId="0" borderId="4" xfId="0" applyFont="1" applyBorder="1" applyAlignment="1">
      <alignment wrapText="1"/>
    </xf>
    <xf numFmtId="0" fontId="64" fillId="0" borderId="5" xfId="0" applyFont="1" applyBorder="1" applyAlignment="1">
      <alignment wrapText="1"/>
    </xf>
    <xf numFmtId="0" fontId="64" fillId="0" borderId="8" xfId="0" applyFont="1" applyBorder="1" applyAlignment="1">
      <alignment horizontal="center"/>
    </xf>
    <xf numFmtId="0" fontId="66" fillId="0" borderId="8" xfId="0" applyFont="1" applyBorder="1" applyAlignment="1">
      <alignment wrapText="1"/>
    </xf>
    <xf numFmtId="3" fontId="66" fillId="0" borderId="8" xfId="0" applyNumberFormat="1" applyFont="1" applyBorder="1"/>
    <xf numFmtId="0" fontId="64" fillId="0" borderId="8" xfId="0" applyFont="1" applyBorder="1" applyAlignment="1">
      <alignment wrapText="1"/>
    </xf>
    <xf numFmtId="3" fontId="64" fillId="0" borderId="8" xfId="0" applyNumberFormat="1" applyFont="1" applyBorder="1"/>
    <xf numFmtId="41" fontId="64" fillId="0" borderId="8" xfId="0" applyNumberFormat="1" applyFont="1" applyBorder="1"/>
    <xf numFmtId="41" fontId="64" fillId="0" borderId="8" xfId="0" applyNumberFormat="1" applyFont="1" applyBorder="1" applyAlignment="1">
      <alignment horizontal="right"/>
    </xf>
    <xf numFmtId="3" fontId="64" fillId="0" borderId="8" xfId="0" applyNumberFormat="1" applyFont="1" applyBorder="1" applyAlignment="1">
      <alignment horizontal="right"/>
    </xf>
    <xf numFmtId="41" fontId="66" fillId="0" borderId="8" xfId="0" applyNumberFormat="1" applyFont="1" applyBorder="1"/>
    <xf numFmtId="166" fontId="66" fillId="0" borderId="8" xfId="0" applyNumberFormat="1" applyFont="1" applyBorder="1"/>
    <xf numFmtId="3" fontId="66" fillId="0" borderId="8" xfId="0" applyNumberFormat="1" applyFont="1" applyBorder="1" applyAlignment="1">
      <alignment horizontal="center"/>
    </xf>
    <xf numFmtId="0" fontId="64" fillId="0" borderId="8" xfId="0" applyFont="1" applyBorder="1"/>
    <xf numFmtId="3" fontId="64" fillId="0" borderId="8" xfId="0" applyNumberFormat="1" applyFont="1" applyBorder="1" applyAlignment="1">
      <alignment horizontal="center"/>
    </xf>
    <xf numFmtId="1" fontId="64" fillId="0" borderId="8" xfId="0" applyNumberFormat="1" applyFont="1" applyBorder="1" applyAlignment="1">
      <alignment horizontal="center"/>
    </xf>
    <xf numFmtId="0" fontId="7" fillId="0" borderId="0" xfId="0" applyFont="1"/>
    <xf numFmtId="43" fontId="64" fillId="0" borderId="8" xfId="0" applyNumberFormat="1" applyFont="1" applyBorder="1"/>
    <xf numFmtId="41" fontId="6" fillId="0" borderId="8" xfId="0" applyNumberFormat="1" applyFont="1" applyBorder="1"/>
    <xf numFmtId="3" fontId="6" fillId="0" borderId="8" xfId="0" applyNumberFormat="1" applyFont="1" applyBorder="1"/>
    <xf numFmtId="49" fontId="6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69"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0"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0" fillId="0" borderId="8" xfId="0" applyFont="1" applyBorder="1" applyAlignment="1">
      <alignment wrapText="1"/>
    </xf>
    <xf numFmtId="0" fontId="71"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72"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4" fillId="0" borderId="8" xfId="0" applyFont="1" applyBorder="1" applyAlignment="1">
      <alignment horizontal="center"/>
    </xf>
    <xf numFmtId="4" fontId="58" fillId="2" borderId="0" xfId="0" applyNumberFormat="1" applyFont="1" applyFill="1"/>
    <xf numFmtId="4" fontId="58" fillId="0" borderId="0" xfId="0" applyNumberFormat="1" applyFont="1" applyBorder="1"/>
    <xf numFmtId="4" fontId="57" fillId="0" borderId="0" xfId="0" applyNumberFormat="1" applyFont="1"/>
    <xf numFmtId="4" fontId="50" fillId="0" borderId="0" xfId="0" applyNumberFormat="1" applyFont="1"/>
    <xf numFmtId="0" fontId="1" fillId="0" borderId="0" xfId="0" applyFont="1" applyAlignment="1">
      <alignment wrapText="1"/>
    </xf>
    <xf numFmtId="0" fontId="1" fillId="0" borderId="0" xfId="0" applyFont="1" applyFill="1" applyAlignment="1">
      <alignment horizontal="right"/>
    </xf>
    <xf numFmtId="0" fontId="1" fillId="0" borderId="8" xfId="0" applyFont="1" applyFill="1" applyBorder="1" applyAlignment="1">
      <alignment horizontal="center"/>
    </xf>
    <xf numFmtId="0" fontId="1" fillId="0" borderId="0" xfId="0" applyFont="1" applyAlignment="1">
      <alignment horizontal="right" wrapText="1"/>
    </xf>
    <xf numFmtId="49" fontId="8" fillId="0" borderId="0" xfId="0" applyNumberFormat="1" applyFont="1" applyBorder="1" applyAlignment="1" applyProtection="1">
      <alignment horizontal="justify" vertical="center" wrapText="1"/>
    </xf>
    <xf numFmtId="0" fontId="14" fillId="0" borderId="3" xfId="0" applyFont="1" applyBorder="1" applyAlignment="1">
      <alignment horizontal="center"/>
    </xf>
    <xf numFmtId="4" fontId="2" fillId="0" borderId="3" xfId="0" applyNumberFormat="1" applyFont="1" applyFill="1" applyBorder="1"/>
    <xf numFmtId="4" fontId="1" fillId="0" borderId="3" xfId="0" applyNumberFormat="1" applyFont="1" applyFill="1" applyBorder="1"/>
    <xf numFmtId="0" fontId="0" fillId="0" borderId="51" xfId="0" applyBorder="1"/>
    <xf numFmtId="0" fontId="0" fillId="0" borderId="52" xfId="0" applyBorder="1"/>
    <xf numFmtId="0" fontId="0" fillId="0" borderId="53" xfId="0" applyBorder="1"/>
    <xf numFmtId="0" fontId="0" fillId="0" borderId="54" xfId="0" applyBorder="1"/>
    <xf numFmtId="4" fontId="0" fillId="0" borderId="53" xfId="0" applyNumberFormat="1" applyBorder="1"/>
    <xf numFmtId="0" fontId="0" fillId="0" borderId="54" xfId="0" applyBorder="1" applyAlignment="1">
      <alignment wrapText="1"/>
    </xf>
    <xf numFmtId="0" fontId="0" fillId="0" borderId="55" xfId="0" applyBorder="1"/>
    <xf numFmtId="0" fontId="0" fillId="0" borderId="56" xfId="0" applyBorder="1"/>
    <xf numFmtId="4" fontId="3" fillId="0" borderId="3" xfId="0" applyNumberFormat="1" applyFont="1" applyBorder="1"/>
    <xf numFmtId="4" fontId="0" fillId="0" borderId="51" xfId="0" applyNumberFormat="1" applyBorder="1"/>
    <xf numFmtId="0" fontId="0" fillId="0" borderId="52" xfId="0" applyBorder="1" applyAlignment="1">
      <alignment wrapText="1"/>
    </xf>
    <xf numFmtId="4" fontId="0" fillId="0" borderId="55" xfId="0" applyNumberFormat="1" applyBorder="1"/>
    <xf numFmtId="0" fontId="0" fillId="0" borderId="56" xfId="0" applyBorder="1" applyAlignment="1">
      <alignment wrapText="1"/>
    </xf>
    <xf numFmtId="2" fontId="0" fillId="0" borderId="54" xfId="0" applyNumberFormat="1" applyBorder="1" applyAlignment="1">
      <alignment wrapText="1"/>
    </xf>
    <xf numFmtId="0" fontId="0" fillId="0" borderId="3" xfId="0" applyBorder="1"/>
    <xf numFmtId="0" fontId="0" fillId="0" borderId="53" xfId="0" applyFont="1" applyBorder="1"/>
    <xf numFmtId="0" fontId="0" fillId="0" borderId="54" xfId="0" applyFont="1" applyBorder="1"/>
    <xf numFmtId="2" fontId="3" fillId="0" borderId="3" xfId="0" applyNumberFormat="1" applyFont="1" applyBorder="1"/>
    <xf numFmtId="4" fontId="0" fillId="0" borderId="57" xfId="0" applyNumberFormat="1" applyBorder="1" applyAlignment="1">
      <alignment wrapText="1"/>
    </xf>
    <xf numFmtId="0" fontId="0" fillId="0" borderId="58" xfId="0" applyBorder="1" applyAlignment="1">
      <alignment wrapText="1"/>
    </xf>
    <xf numFmtId="4" fontId="9" fillId="0" borderId="8" xfId="0" applyNumberFormat="1" applyFont="1" applyFill="1" applyBorder="1" applyAlignment="1">
      <alignment horizontal="center" vertical="center" wrapText="1"/>
    </xf>
    <xf numFmtId="4" fontId="8" fillId="0" borderId="8" xfId="0" applyNumberFormat="1" applyFont="1" applyFill="1" applyBorder="1" applyAlignment="1">
      <alignment horizontal="right" wrapText="1"/>
    </xf>
    <xf numFmtId="4" fontId="42" fillId="0" borderId="8" xfId="0" applyNumberFormat="1" applyFont="1" applyFill="1" applyBorder="1" applyAlignment="1">
      <alignment horizontal="right" wrapText="1"/>
    </xf>
    <xf numFmtId="4" fontId="26" fillId="0" borderId="8" xfId="0" applyNumberFormat="1" applyFont="1" applyFill="1" applyBorder="1" applyAlignment="1">
      <alignment horizontal="right" wrapText="1"/>
    </xf>
    <xf numFmtId="0" fontId="1" fillId="0" borderId="8" xfId="0" applyFont="1" applyFill="1" applyBorder="1" applyAlignment="1">
      <alignment horizontal="center"/>
    </xf>
    <xf numFmtId="49" fontId="27" fillId="0" borderId="19" xfId="0" applyNumberFormat="1" applyFont="1" applyBorder="1" applyAlignment="1" applyProtection="1">
      <alignment horizontal="center" vertical="center" wrapText="1"/>
    </xf>
    <xf numFmtId="49" fontId="44" fillId="0" borderId="19" xfId="0" applyNumberFormat="1" applyFont="1" applyBorder="1" applyAlignment="1" applyProtection="1">
      <alignment horizontal="center" vertical="center" wrapText="1"/>
    </xf>
    <xf numFmtId="49" fontId="52" fillId="0" borderId="8" xfId="0" applyNumberFormat="1" applyFont="1" applyBorder="1" applyAlignment="1"/>
    <xf numFmtId="0" fontId="45" fillId="0" borderId="0" xfId="0" applyFont="1" applyAlignment="1">
      <alignment horizontal="justify" vertical="center" wrapText="1"/>
    </xf>
    <xf numFmtId="0" fontId="74" fillId="0" borderId="0" xfId="0" applyFont="1"/>
    <xf numFmtId="0" fontId="3" fillId="0" borderId="16" xfId="0" applyFont="1" applyBorder="1" applyAlignment="1">
      <alignment vertical="center"/>
    </xf>
    <xf numFmtId="49" fontId="52" fillId="0" borderId="2" xfId="0" applyNumberFormat="1" applyFont="1" applyFill="1" applyBorder="1" applyAlignment="1">
      <alignment horizontal="center"/>
    </xf>
    <xf numFmtId="0" fontId="52" fillId="0" borderId="8" xfId="0" applyFont="1" applyBorder="1" applyAlignment="1">
      <alignment horizontal="right"/>
    </xf>
    <xf numFmtId="164" fontId="45" fillId="0" borderId="23" xfId="0" applyNumberFormat="1" applyFont="1" applyBorder="1" applyAlignment="1" applyProtection="1">
      <alignment horizontal="justify" vertical="center" wrapText="1"/>
    </xf>
    <xf numFmtId="0" fontId="52" fillId="0" borderId="2" xfId="0" applyFont="1" applyBorder="1" applyAlignment="1">
      <alignment horizontal="right"/>
    </xf>
    <xf numFmtId="0" fontId="52" fillId="0" borderId="8" xfId="0" applyFont="1" applyFill="1" applyBorder="1" applyAlignment="1">
      <alignment horizontal="right"/>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2" xfId="0" applyFont="1" applyBorder="1" applyAlignment="1">
      <alignment vertical="center"/>
    </xf>
    <xf numFmtId="0" fontId="52" fillId="0" borderId="2" xfId="0" applyFont="1" applyFill="1" applyBorder="1" applyAlignment="1">
      <alignment horizontal="right"/>
    </xf>
    <xf numFmtId="49" fontId="52" fillId="0" borderId="15" xfId="0" applyNumberFormat="1" applyFont="1" applyBorder="1" applyAlignment="1">
      <alignment horizontal="left"/>
    </xf>
    <xf numFmtId="49" fontId="52" fillId="0" borderId="2" xfId="0" applyNumberFormat="1" applyFont="1" applyBorder="1" applyAlignment="1">
      <alignment horizontal="left"/>
    </xf>
    <xf numFmtId="49" fontId="45" fillId="0" borderId="59" xfId="0" applyNumberFormat="1" applyFont="1" applyBorder="1" applyAlignment="1" applyProtection="1">
      <alignment horizontal="justify" vertical="center" wrapText="1"/>
    </xf>
    <xf numFmtId="49" fontId="1" fillId="0" borderId="5" xfId="0" applyNumberFormat="1" applyFont="1" applyFill="1" applyBorder="1" applyAlignment="1">
      <alignment horizontal="center"/>
    </xf>
    <xf numFmtId="164" fontId="45" fillId="0" borderId="46" xfId="0" applyNumberFormat="1" applyFont="1" applyBorder="1" applyAlignment="1" applyProtection="1">
      <alignment horizontal="justify" vertical="center" wrapText="1"/>
    </xf>
    <xf numFmtId="4" fontId="45" fillId="0" borderId="22" xfId="0" applyNumberFormat="1" applyFont="1" applyBorder="1" applyAlignment="1" applyProtection="1">
      <alignment horizontal="right"/>
    </xf>
    <xf numFmtId="4" fontId="75" fillId="0" borderId="8" xfId="0" applyNumberFormat="1" applyFont="1" applyFill="1" applyBorder="1"/>
    <xf numFmtId="49" fontId="52" fillId="0" borderId="3" xfId="0" applyNumberFormat="1" applyFont="1" applyFill="1" applyBorder="1"/>
    <xf numFmtId="49" fontId="1" fillId="0" borderId="8" xfId="0" applyNumberFormat="1" applyFont="1" applyFill="1" applyBorder="1" applyAlignment="1">
      <alignment horizontal="right"/>
    </xf>
    <xf numFmtId="0" fontId="1" fillId="0" borderId="8" xfId="0" applyFont="1" applyFill="1" applyBorder="1" applyAlignment="1">
      <alignment horizontal="left"/>
    </xf>
    <xf numFmtId="0" fontId="45" fillId="0" borderId="8" xfId="0" applyFont="1" applyFill="1" applyBorder="1" applyAlignment="1">
      <alignment horizontal="justify" vertical="center" wrapText="1"/>
    </xf>
    <xf numFmtId="0" fontId="45" fillId="0" borderId="8" xfId="0" applyFont="1" applyFill="1" applyBorder="1" applyAlignment="1">
      <alignment horizontal="justify" wrapText="1"/>
    </xf>
    <xf numFmtId="0" fontId="1" fillId="0" borderId="0" xfId="0" applyFont="1" applyAlignment="1">
      <alignment horizontal="right"/>
    </xf>
    <xf numFmtId="0" fontId="1" fillId="0" borderId="8" xfId="0"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8" xfId="0" applyNumberFormat="1" applyFont="1" applyBorder="1" applyAlignment="1">
      <alignment horizontal="center"/>
    </xf>
    <xf numFmtId="0" fontId="45" fillId="2" borderId="0" xfId="0" applyFont="1" applyFill="1" applyAlignment="1">
      <alignment horizontal="justify" wrapText="1"/>
    </xf>
    <xf numFmtId="4" fontId="28" fillId="0" borderId="60" xfId="0" applyNumberFormat="1" applyFont="1" applyFill="1" applyBorder="1" applyAlignment="1" applyProtection="1">
      <alignment horizontal="right"/>
    </xf>
    <xf numFmtId="4" fontId="20" fillId="0" borderId="60" xfId="0" applyNumberFormat="1" applyFont="1" applyFill="1" applyBorder="1" applyAlignment="1" applyProtection="1">
      <alignment horizontal="right"/>
    </xf>
    <xf numFmtId="49" fontId="52" fillId="0" borderId="8" xfId="0" applyNumberFormat="1" applyFont="1" applyBorder="1" applyAlignment="1">
      <alignment horizontal="center"/>
    </xf>
    <xf numFmtId="49" fontId="45" fillId="2" borderId="8" xfId="0" applyNumberFormat="1" applyFont="1" applyFill="1" applyBorder="1" applyAlignment="1" applyProtection="1">
      <alignment horizontal="justify" vertical="center" wrapText="1"/>
    </xf>
    <xf numFmtId="49" fontId="45" fillId="2" borderId="8" xfId="0" applyNumberFormat="1" applyFont="1" applyFill="1" applyBorder="1" applyAlignment="1" applyProtection="1">
      <alignment vertical="center" wrapText="1"/>
    </xf>
    <xf numFmtId="0" fontId="46" fillId="0" borderId="0" xfId="0" applyFont="1" applyAlignment="1">
      <alignment horizontal="justify" wrapText="1"/>
    </xf>
    <xf numFmtId="164" fontId="28" fillId="0" borderId="19" xfId="0" applyNumberFormat="1" applyFont="1" applyBorder="1" applyAlignment="1" applyProtection="1">
      <alignment horizontal="justify" vertical="top" wrapText="1"/>
    </xf>
    <xf numFmtId="49" fontId="8" fillId="0" borderId="8" xfId="0" applyNumberFormat="1" applyFont="1" applyBorder="1" applyAlignment="1" applyProtection="1">
      <alignment horizontal="justify" vertical="center" wrapText="1"/>
    </xf>
    <xf numFmtId="49" fontId="30" fillId="0" borderId="20" xfId="0" applyNumberFormat="1" applyFont="1" applyBorder="1" applyAlignment="1" applyProtection="1">
      <alignment horizontal="center" vertical="center" wrapText="1"/>
    </xf>
    <xf numFmtId="49" fontId="30" fillId="0" borderId="23" xfId="0" applyNumberFormat="1" applyFont="1" applyBorder="1" applyAlignment="1" applyProtection="1">
      <alignment horizontal="justify" vertical="center" wrapText="1"/>
    </xf>
    <xf numFmtId="164" fontId="28" fillId="0" borderId="8" xfId="0" applyNumberFormat="1" applyFont="1" applyBorder="1" applyAlignment="1" applyProtection="1">
      <alignment horizontal="justify" vertical="top" wrapText="1"/>
    </xf>
    <xf numFmtId="49" fontId="21" fillId="0" borderId="20" xfId="0" applyNumberFormat="1" applyFont="1" applyBorder="1" applyAlignment="1" applyProtection="1">
      <alignment horizontal="center" vertical="center" wrapText="1"/>
    </xf>
    <xf numFmtId="0" fontId="52" fillId="0" borderId="8" xfId="0" applyFont="1" applyBorder="1" applyAlignment="1">
      <alignment vertical="center"/>
    </xf>
    <xf numFmtId="0" fontId="52" fillId="0" borderId="17" xfId="0" applyFont="1" applyBorder="1" applyAlignment="1">
      <alignment vertical="center"/>
    </xf>
    <xf numFmtId="0" fontId="52" fillId="0" borderId="8" xfId="0" applyFont="1" applyFill="1" applyBorder="1" applyAlignment="1">
      <alignment vertical="center"/>
    </xf>
    <xf numFmtId="0" fontId="52" fillId="0" borderId="17" xfId="0" applyFont="1" applyFill="1" applyBorder="1" applyAlignment="1">
      <alignment vertical="center"/>
    </xf>
    <xf numFmtId="0" fontId="52" fillId="0" borderId="8" xfId="0" applyFont="1" applyFill="1" applyBorder="1" applyAlignment="1">
      <alignment horizontal="right" vertical="center"/>
    </xf>
    <xf numFmtId="49" fontId="52" fillId="0" borderId="17" xfId="0" applyNumberFormat="1" applyFont="1" applyFill="1" applyBorder="1" applyAlignment="1"/>
    <xf numFmtId="49" fontId="52" fillId="0" borderId="5" xfId="0" applyNumberFormat="1" applyFont="1" applyBorder="1" applyAlignment="1"/>
    <xf numFmtId="49" fontId="52" fillId="0" borderId="2" xfId="0" applyNumberFormat="1" applyFont="1" applyBorder="1" applyAlignment="1"/>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45" fillId="2" borderId="8" xfId="0" applyNumberFormat="1" applyFont="1" applyFill="1" applyBorder="1" applyAlignment="1" applyProtection="1">
      <alignment horizontal="justify" vertical="center" wrapText="1"/>
    </xf>
    <xf numFmtId="0" fontId="52" fillId="0" borderId="2" xfId="0" applyFont="1" applyBorder="1" applyAlignment="1">
      <alignment horizontal="right" vertical="center"/>
    </xf>
    <xf numFmtId="49" fontId="45" fillId="0" borderId="26" xfId="0" applyNumberFormat="1" applyFont="1" applyBorder="1" applyAlignment="1" applyProtection="1">
      <alignment horizontal="justify" vertical="center" wrapText="1"/>
    </xf>
    <xf numFmtId="4" fontId="76" fillId="0" borderId="8" xfId="0" applyNumberFormat="1" applyFont="1" applyFill="1" applyBorder="1"/>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52" fillId="0" borderId="8" xfId="0" applyNumberFormat="1" applyFont="1" applyBorder="1" applyAlignment="1">
      <alignment vertical="center"/>
    </xf>
    <xf numFmtId="49" fontId="26" fillId="0" borderId="24" xfId="0" applyNumberFormat="1" applyFont="1" applyBorder="1" applyAlignment="1" applyProtection="1">
      <alignment horizontal="center" vertical="center" wrapText="1"/>
    </xf>
    <xf numFmtId="49" fontId="26" fillId="0" borderId="25"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right" vertical="center" wrapText="1"/>
    </xf>
    <xf numFmtId="49" fontId="26" fillId="0" borderId="26" xfId="0" applyNumberFormat="1" applyFont="1" applyBorder="1" applyAlignment="1" applyProtection="1">
      <alignment horizontal="justify" vertical="center" wrapText="1"/>
    </xf>
    <xf numFmtId="4" fontId="28" fillId="2" borderId="26" xfId="0" applyNumberFormat="1" applyFont="1" applyFill="1" applyBorder="1" applyAlignment="1" applyProtection="1">
      <alignment horizontal="right"/>
    </xf>
    <xf numFmtId="49" fontId="26" fillId="0" borderId="2" xfId="0" applyNumberFormat="1" applyFont="1" applyBorder="1" applyAlignment="1" applyProtection="1">
      <alignment horizontal="center" vertical="center" wrapText="1"/>
    </xf>
    <xf numFmtId="49" fontId="26" fillId="0" borderId="2" xfId="0" applyNumberFormat="1" applyFont="1" applyBorder="1" applyAlignment="1" applyProtection="1">
      <alignment horizontal="right" vertical="center" wrapText="1"/>
    </xf>
    <xf numFmtId="49" fontId="26" fillId="0" borderId="2" xfId="0" applyNumberFormat="1" applyFont="1" applyBorder="1" applyAlignment="1" applyProtection="1">
      <alignment horizontal="justify" vertical="center" wrapText="1"/>
    </xf>
    <xf numFmtId="164" fontId="8" fillId="0" borderId="26" xfId="0" applyNumberFormat="1" applyFont="1" applyBorder="1" applyAlignment="1" applyProtection="1">
      <alignment horizontal="justify" vertical="center" wrapText="1"/>
    </xf>
    <xf numFmtId="4" fontId="20" fillId="2" borderId="2" xfId="0" applyNumberFormat="1" applyFont="1" applyFill="1" applyBorder="1" applyAlignment="1" applyProtection="1">
      <alignment horizontal="right"/>
    </xf>
    <xf numFmtId="49" fontId="23" fillId="0" borderId="22" xfId="0" applyNumberFormat="1" applyFont="1" applyBorder="1" applyAlignment="1" applyProtection="1">
      <alignment horizontal="justify" vertical="center" wrapText="1"/>
    </xf>
    <xf numFmtId="49" fontId="28" fillId="0" borderId="43" xfId="0" applyNumberFormat="1" applyFont="1" applyBorder="1" applyAlignment="1" applyProtection="1">
      <alignment horizontal="center" vertical="center" wrapText="1"/>
    </xf>
    <xf numFmtId="49" fontId="28" fillId="0" borderId="23" xfId="0" applyNumberFormat="1" applyFont="1" applyBorder="1" applyAlignment="1" applyProtection="1">
      <alignment horizontal="center" vertical="center" wrapText="1"/>
    </xf>
    <xf numFmtId="0" fontId="1" fillId="0" borderId="2" xfId="0" applyFont="1" applyFill="1" applyBorder="1" applyAlignment="1">
      <alignment horizontal="justify" vertical="center" wrapText="1"/>
    </xf>
    <xf numFmtId="4" fontId="23" fillId="0" borderId="23" xfId="0" applyNumberFormat="1" applyFont="1" applyBorder="1" applyAlignment="1" applyProtection="1">
      <alignment horizontal="right"/>
    </xf>
    <xf numFmtId="164" fontId="8" fillId="0" borderId="21" xfId="0" applyNumberFormat="1" applyFont="1" applyBorder="1" applyAlignment="1" applyProtection="1">
      <alignment horizontal="justify" vertical="center" wrapText="1"/>
    </xf>
    <xf numFmtId="164" fontId="26" fillId="0" borderId="23" xfId="0" applyNumberFormat="1" applyFont="1" applyBorder="1" applyAlignment="1" applyProtection="1">
      <alignment horizontal="justify" vertical="center" wrapText="1"/>
    </xf>
    <xf numFmtId="0" fontId="8" fillId="0" borderId="8" xfId="0" applyFont="1" applyBorder="1" applyAlignment="1">
      <alignment horizontal="justify"/>
    </xf>
    <xf numFmtId="164" fontId="23" fillId="0" borderId="20"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top" wrapText="1"/>
    </xf>
    <xf numFmtId="0" fontId="45" fillId="0" borderId="2" xfId="0" applyFont="1" applyBorder="1" applyAlignment="1">
      <alignment horizontal="justify" wrapText="1"/>
    </xf>
    <xf numFmtId="0" fontId="8" fillId="0" borderId="8" xfId="0" applyFont="1" applyFill="1" applyBorder="1" applyAlignment="1">
      <alignment horizontal="justify" vertical="center" wrapText="1"/>
    </xf>
    <xf numFmtId="0" fontId="8" fillId="2" borderId="0" xfId="0" applyFont="1" applyFill="1" applyAlignment="1">
      <alignment horizontal="justify" wrapText="1"/>
    </xf>
    <xf numFmtId="49" fontId="47" fillId="0" borderId="8" xfId="0" applyNumberFormat="1" applyFont="1" applyFill="1" applyBorder="1" applyAlignment="1">
      <alignment horizontal="left" wrapText="1"/>
    </xf>
    <xf numFmtId="4" fontId="28" fillId="2" borderId="23" xfId="0" applyNumberFormat="1" applyFont="1" applyFill="1" applyBorder="1" applyAlignment="1" applyProtection="1">
      <alignment horizontal="right"/>
    </xf>
    <xf numFmtId="49" fontId="26" fillId="0" borderId="8"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right" vertical="center" wrapText="1"/>
    </xf>
    <xf numFmtId="4" fontId="28" fillId="2" borderId="8" xfId="0" applyNumberFormat="1" applyFont="1" applyFill="1" applyBorder="1" applyAlignment="1" applyProtection="1">
      <alignment horizontal="right"/>
    </xf>
    <xf numFmtId="49" fontId="8" fillId="0" borderId="0" xfId="0" applyNumberFormat="1" applyFont="1" applyFill="1" applyBorder="1" applyAlignment="1">
      <alignment horizontal="justify" wrapText="1"/>
    </xf>
    <xf numFmtId="0" fontId="45" fillId="0" borderId="0" xfId="0" applyFont="1" applyFill="1" applyAlignment="1">
      <alignment horizontal="justify" wrapText="1"/>
    </xf>
    <xf numFmtId="0" fontId="37" fillId="0" borderId="0" xfId="0" applyFont="1" applyAlignment="1">
      <alignment horizontal="justify"/>
    </xf>
    <xf numFmtId="0" fontId="37" fillId="0" borderId="27" xfId="0" applyFont="1" applyBorder="1" applyAlignment="1">
      <alignment horizontal="justify" vertical="center" wrapText="1"/>
    </xf>
    <xf numFmtId="4" fontId="52" fillId="0" borderId="15" xfId="0" applyNumberFormat="1" applyFont="1" applyFill="1" applyBorder="1"/>
    <xf numFmtId="49" fontId="54" fillId="0" borderId="3" xfId="0" applyNumberFormat="1" applyFont="1" applyFill="1" applyBorder="1" applyAlignment="1">
      <alignment horizontal="right"/>
    </xf>
    <xf numFmtId="49" fontId="52" fillId="0" borderId="8" xfId="0" applyNumberFormat="1" applyFont="1" applyFill="1" applyBorder="1" applyAlignment="1">
      <alignment vertical="center"/>
    </xf>
    <xf numFmtId="0" fontId="45" fillId="0" borderId="44" xfId="0" applyFont="1" applyBorder="1" applyAlignment="1">
      <alignment horizontal="justify"/>
    </xf>
    <xf numFmtId="49" fontId="54" fillId="0" borderId="8" xfId="0" applyNumberFormat="1" applyFont="1" applyFill="1" applyBorder="1" applyAlignment="1">
      <alignment horizontal="right"/>
    </xf>
    <xf numFmtId="4" fontId="1" fillId="0" borderId="0" xfId="0" applyNumberFormat="1" applyFont="1" applyFill="1" applyAlignment="1">
      <alignment horizontal="left"/>
    </xf>
    <xf numFmtId="0" fontId="45" fillId="0" borderId="2" xfId="0" applyFont="1" applyBorder="1" applyAlignment="1">
      <alignment horizontal="justify" vertical="center" wrapText="1"/>
    </xf>
    <xf numFmtId="0" fontId="1" fillId="0" borderId="2" xfId="0" applyFont="1" applyFill="1" applyBorder="1" applyAlignment="1">
      <alignment horizontal="center" wrapText="1"/>
    </xf>
    <xf numFmtId="0" fontId="8" fillId="0" borderId="0" xfId="0" applyFont="1" applyAlignment="1">
      <alignment horizontal="justify"/>
    </xf>
    <xf numFmtId="49" fontId="36" fillId="0" borderId="3" xfId="0" applyNumberFormat="1" applyFont="1" applyFill="1" applyBorder="1" applyAlignment="1">
      <alignment horizontal="center" vertical="center" wrapText="1"/>
    </xf>
    <xf numFmtId="0" fontId="1" fillId="0" borderId="0" xfId="0" applyFont="1" applyFill="1" applyAlignment="1">
      <alignment horizontal="right"/>
    </xf>
    <xf numFmtId="0" fontId="3" fillId="0" borderId="17" xfId="0" applyFont="1" applyFill="1" applyBorder="1" applyAlignment="1">
      <alignment horizontal="right" vertical="center"/>
    </xf>
    <xf numFmtId="0" fontId="42" fillId="0" borderId="8" xfId="0" applyFont="1" applyBorder="1"/>
    <xf numFmtId="164" fontId="42" fillId="0" borderId="8" xfId="0" applyNumberFormat="1" applyFont="1" applyFill="1" applyBorder="1" applyAlignment="1">
      <alignment horizontal="justify" wrapText="1"/>
    </xf>
    <xf numFmtId="0" fontId="57" fillId="0" borderId="0" xfId="0" applyFont="1" applyFill="1"/>
    <xf numFmtId="4" fontId="57" fillId="0" borderId="0" xfId="0" applyNumberFormat="1" applyFont="1" applyFill="1"/>
    <xf numFmtId="49" fontId="57" fillId="0" borderId="0" xfId="0" applyNumberFormat="1" applyFont="1" applyFill="1"/>
    <xf numFmtId="0" fontId="50" fillId="0" borderId="0" xfId="0" applyFont="1" applyFill="1"/>
    <xf numFmtId="164" fontId="28" fillId="0" borderId="23" xfId="0" applyNumberFormat="1" applyFont="1" applyBorder="1" applyAlignment="1" applyProtection="1">
      <alignment horizontal="justify" vertical="center" wrapText="1"/>
    </xf>
    <xf numFmtId="164" fontId="27" fillId="0" borderId="20" xfId="0" applyNumberFormat="1" applyFont="1" applyBorder="1" applyAlignment="1" applyProtection="1">
      <alignment horizontal="justify" vertical="center" wrapText="1"/>
    </xf>
    <xf numFmtId="0" fontId="77" fillId="0" borderId="0" xfId="0" applyFont="1"/>
    <xf numFmtId="49" fontId="24" fillId="0" borderId="24" xfId="0" applyNumberFormat="1" applyFont="1" applyBorder="1" applyAlignment="1" applyProtection="1">
      <alignment horizontal="center" vertical="center" wrapText="1"/>
    </xf>
    <xf numFmtId="0" fontId="8" fillId="0" borderId="17" xfId="0" applyFont="1" applyBorder="1" applyAlignment="1">
      <alignment horizontal="justify"/>
    </xf>
    <xf numFmtId="4" fontId="23" fillId="0" borderId="24" xfId="0" applyNumberFormat="1" applyFont="1" applyBorder="1" applyAlignment="1" applyProtection="1">
      <alignment horizontal="right"/>
    </xf>
    <xf numFmtId="164" fontId="26" fillId="0" borderId="8" xfId="0" applyNumberFormat="1" applyFont="1" applyBorder="1" applyAlignment="1" applyProtection="1">
      <alignment horizontal="justify" vertical="center" wrapText="1"/>
    </xf>
    <xf numFmtId="164" fontId="8" fillId="0" borderId="8" xfId="0" applyNumberFormat="1" applyFont="1" applyBorder="1" applyAlignment="1" applyProtection="1">
      <alignment horizontal="justify" vertical="center" wrapText="1"/>
    </xf>
    <xf numFmtId="164" fontId="24" fillId="0" borderId="20" xfId="0" applyNumberFormat="1" applyFont="1" applyBorder="1" applyAlignment="1" applyProtection="1">
      <alignment horizontal="justify" vertical="center" wrapText="1"/>
    </xf>
    <xf numFmtId="4" fontId="24" fillId="0" borderId="21" xfId="0" applyNumberFormat="1" applyFont="1" applyBorder="1" applyAlignment="1" applyProtection="1">
      <alignment horizontal="right"/>
    </xf>
    <xf numFmtId="0" fontId="78" fillId="0" borderId="0" xfId="0" applyFont="1"/>
    <xf numFmtId="49" fontId="52" fillId="0" borderId="17" xfId="0" applyNumberFormat="1" applyFont="1" applyFill="1" applyBorder="1" applyAlignment="1">
      <alignment horizontal="center"/>
    </xf>
    <xf numFmtId="0" fontId="52" fillId="0" borderId="8" xfId="0" applyFont="1" applyFill="1" applyBorder="1" applyAlignment="1"/>
    <xf numFmtId="49" fontId="52" fillId="0" borderId="8" xfId="0" applyNumberFormat="1" applyFont="1" applyBorder="1" applyAlignment="1">
      <alignment horizontal="center"/>
    </xf>
    <xf numFmtId="0" fontId="52" fillId="0" borderId="8" xfId="0" applyFont="1" applyBorder="1" applyAlignment="1"/>
    <xf numFmtId="49" fontId="52" fillId="0" borderId="8" xfId="0" applyNumberFormat="1" applyFont="1" applyFill="1" applyBorder="1" applyAlignment="1">
      <alignment horizontal="center" vertical="center"/>
    </xf>
    <xf numFmtId="49" fontId="52" fillId="0" borderId="8" xfId="0" applyNumberFormat="1" applyFont="1" applyFill="1" applyBorder="1" applyAlignment="1">
      <alignment horizontal="right" vertical="center"/>
    </xf>
    <xf numFmtId="49" fontId="51" fillId="0" borderId="2" xfId="0" applyNumberFormat="1" applyFont="1" applyFill="1" applyBorder="1" applyAlignment="1">
      <alignment horizontal="right"/>
    </xf>
    <xf numFmtId="49" fontId="45" fillId="2" borderId="19" xfId="0" applyNumberFormat="1" applyFont="1" applyFill="1" applyBorder="1" applyAlignment="1" applyProtection="1">
      <alignment horizontal="justify" vertical="center" wrapText="1"/>
    </xf>
    <xf numFmtId="164" fontId="79" fillId="0" borderId="8" xfId="0" applyNumberFormat="1" applyFont="1" applyFill="1" applyBorder="1" applyAlignment="1">
      <alignment horizontal="justify" wrapText="1"/>
    </xf>
    <xf numFmtId="4" fontId="79" fillId="0" borderId="8" xfId="0" applyNumberFormat="1" applyFont="1" applyFill="1" applyBorder="1"/>
    <xf numFmtId="0" fontId="72" fillId="0" borderId="0" xfId="0" applyFont="1" applyFill="1"/>
    <xf numFmtId="4" fontId="79" fillId="2" borderId="8" xfId="0" applyNumberFormat="1" applyFont="1" applyFill="1" applyBorder="1"/>
    <xf numFmtId="0" fontId="72" fillId="2" borderId="0" xfId="0" applyFont="1" applyFill="1"/>
    <xf numFmtId="49" fontId="52" fillId="0" borderId="2" xfId="0" applyNumberFormat="1" applyFont="1" applyFill="1" applyBorder="1" applyAlignment="1">
      <alignment horizontal="center" vertical="center"/>
    </xf>
    <xf numFmtId="0" fontId="52" fillId="0" borderId="16" xfId="0" applyFont="1" applyBorder="1" applyAlignment="1">
      <alignment horizontal="right" vertical="center"/>
    </xf>
    <xf numFmtId="49" fontId="28" fillId="0" borderId="22" xfId="0" applyNumberFormat="1" applyFont="1" applyBorder="1" applyAlignment="1" applyProtection="1">
      <alignment horizontal="center" vertical="center" wrapText="1"/>
    </xf>
    <xf numFmtId="164" fontId="28" fillId="0" borderId="26" xfId="0" applyNumberFormat="1" applyFont="1" applyBorder="1" applyAlignment="1" applyProtection="1">
      <alignment horizontal="justify" vertical="top" wrapText="1"/>
    </xf>
    <xf numFmtId="164" fontId="28" fillId="0" borderId="8" xfId="0" applyNumberFormat="1" applyFont="1" applyBorder="1" applyAlignment="1" applyProtection="1">
      <alignment horizontal="justify" vertical="center" wrapText="1"/>
    </xf>
    <xf numFmtId="164" fontId="20" fillId="0" borderId="8" xfId="0" applyNumberFormat="1" applyFont="1" applyBorder="1" applyAlignment="1" applyProtection="1">
      <alignment horizontal="justify" vertical="center" wrapText="1"/>
    </xf>
    <xf numFmtId="164" fontId="24" fillId="0" borderId="22" xfId="0" applyNumberFormat="1" applyFont="1" applyBorder="1" applyAlignment="1" applyProtection="1">
      <alignment horizontal="justify" vertical="center" wrapText="1"/>
    </xf>
    <xf numFmtId="4" fontId="23" fillId="0" borderId="25" xfId="0" applyNumberFormat="1" applyFont="1" applyBorder="1" applyAlignment="1" applyProtection="1">
      <alignment horizontal="right"/>
    </xf>
    <xf numFmtId="49" fontId="52" fillId="0" borderId="2" xfId="0" applyNumberFormat="1" applyFont="1" applyFill="1" applyBorder="1" applyAlignment="1">
      <alignment horizontal="right" vertical="center"/>
    </xf>
    <xf numFmtId="49" fontId="52" fillId="0" borderId="2" xfId="0" applyNumberFormat="1" applyFont="1" applyFill="1" applyBorder="1" applyAlignment="1">
      <alignment horizontal="center" vertical="center"/>
    </xf>
    <xf numFmtId="49" fontId="8" fillId="0" borderId="22" xfId="0" applyNumberFormat="1" applyFont="1" applyBorder="1" applyAlignment="1" applyProtection="1">
      <alignment horizontal="center" vertical="center" wrapText="1"/>
    </xf>
    <xf numFmtId="49" fontId="24" fillId="0" borderId="45" xfId="0" applyNumberFormat="1" applyFont="1" applyBorder="1" applyAlignment="1" applyProtection="1">
      <alignment horizontal="center" vertical="center" wrapText="1"/>
    </xf>
    <xf numFmtId="49" fontId="26" fillId="0" borderId="45" xfId="0" applyNumberFormat="1" applyFont="1" applyBorder="1" applyAlignment="1" applyProtection="1">
      <alignment horizontal="justify" vertical="center" wrapText="1"/>
    </xf>
    <xf numFmtId="4" fontId="23" fillId="0" borderId="45" xfId="0" applyNumberFormat="1" applyFont="1" applyBorder="1" applyAlignment="1" applyProtection="1">
      <alignment horizontal="right"/>
    </xf>
    <xf numFmtId="49" fontId="52" fillId="0" borderId="3" xfId="0" applyNumberFormat="1" applyFont="1" applyFill="1" applyBorder="1" applyAlignment="1">
      <alignment horizontal="right" vertical="center"/>
    </xf>
    <xf numFmtId="49" fontId="24" fillId="0" borderId="35" xfId="0" applyNumberFormat="1" applyFont="1" applyBorder="1" applyAlignment="1" applyProtection="1">
      <alignment horizontal="center" vertical="center" wrapText="1"/>
    </xf>
    <xf numFmtId="4" fontId="23" fillId="0" borderId="37" xfId="0" applyNumberFormat="1" applyFont="1" applyBorder="1" applyAlignment="1" applyProtection="1">
      <alignment horizontal="right"/>
    </xf>
    <xf numFmtId="164" fontId="26" fillId="0" borderId="40" xfId="0" applyNumberFormat="1" applyFont="1" applyBorder="1" applyAlignment="1" applyProtection="1">
      <alignment horizontal="justify" vertical="center" wrapText="1"/>
    </xf>
    <xf numFmtId="0" fontId="52" fillId="0" borderId="17" xfId="0" applyFont="1" applyBorder="1" applyAlignment="1">
      <alignment horizontal="right" vertical="center"/>
    </xf>
    <xf numFmtId="0" fontId="52" fillId="0" borderId="17" xfId="0" applyFont="1" applyBorder="1" applyAlignment="1">
      <alignment horizontal="right" vertical="center"/>
    </xf>
    <xf numFmtId="49" fontId="52" fillId="0" borderId="8" xfId="0" applyNumberFormat="1" applyFont="1" applyFill="1" applyBorder="1" applyAlignment="1">
      <alignment horizontal="justify"/>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0" fontId="52" fillId="0" borderId="17" xfId="0" applyFont="1" applyFill="1" applyBorder="1" applyAlignment="1"/>
    <xf numFmtId="0" fontId="3" fillId="0" borderId="8" xfId="0" applyFont="1" applyFill="1" applyBorder="1" applyAlignment="1">
      <alignment vertical="center"/>
    </xf>
    <xf numFmtId="49" fontId="45" fillId="0" borderId="19" xfId="0" applyNumberFormat="1" applyFont="1" applyBorder="1" applyAlignment="1" applyProtection="1">
      <alignment horizontal="center" vertical="center" wrapText="1"/>
    </xf>
    <xf numFmtId="49" fontId="45" fillId="0" borderId="19" xfId="0" applyNumberFormat="1" applyFont="1" applyBorder="1" applyAlignment="1" applyProtection="1">
      <alignment horizontal="right" vertical="center" wrapText="1"/>
    </xf>
    <xf numFmtId="4" fontId="27" fillId="0" borderId="19" xfId="0" applyNumberFormat="1" applyFont="1" applyBorder="1" applyAlignment="1" applyProtection="1">
      <alignment horizontal="right"/>
    </xf>
    <xf numFmtId="49" fontId="8" fillId="4" borderId="8" xfId="0" applyNumberFormat="1" applyFont="1" applyFill="1" applyBorder="1" applyAlignment="1">
      <alignment horizontal="justify" wrapText="1"/>
    </xf>
    <xf numFmtId="4" fontId="8" fillId="2" borderId="8" xfId="0" applyNumberFormat="1" applyFont="1" applyFill="1" applyBorder="1"/>
    <xf numFmtId="164" fontId="28" fillId="0" borderId="0" xfId="0" applyNumberFormat="1" applyFont="1" applyBorder="1" applyAlignment="1" applyProtection="1">
      <alignment horizontal="justify" vertical="center" wrapText="1"/>
    </xf>
    <xf numFmtId="49" fontId="8" fillId="0" borderId="26" xfId="0" applyNumberFormat="1" applyFont="1" applyBorder="1" applyAlignment="1" applyProtection="1">
      <alignment horizontal="right" vertical="center" wrapText="1"/>
    </xf>
    <xf numFmtId="4" fontId="20" fillId="0" borderId="26" xfId="0" applyNumberFormat="1" applyFont="1" applyBorder="1" applyAlignment="1" applyProtection="1">
      <alignment horizontal="right"/>
    </xf>
    <xf numFmtId="4" fontId="28" fillId="0" borderId="26" xfId="0" applyNumberFormat="1" applyFont="1" applyBorder="1" applyAlignment="1" applyProtection="1">
      <alignment horizontal="right"/>
    </xf>
    <xf numFmtId="164" fontId="8" fillId="0" borderId="3" xfId="0" applyNumberFormat="1" applyFont="1" applyBorder="1" applyAlignment="1" applyProtection="1">
      <alignment horizontal="justify" vertical="center" wrapText="1"/>
    </xf>
    <xf numFmtId="164" fontId="28" fillId="0" borderId="20" xfId="0" applyNumberFormat="1" applyFont="1" applyBorder="1" applyAlignment="1" applyProtection="1">
      <alignment horizontal="justify" vertical="top" wrapText="1"/>
    </xf>
    <xf numFmtId="4" fontId="24" fillId="0" borderId="8" xfId="0" applyNumberFormat="1" applyFont="1" applyBorder="1" applyAlignment="1" applyProtection="1">
      <alignment horizontal="right"/>
    </xf>
    <xf numFmtId="0" fontId="1" fillId="0" borderId="2" xfId="0" applyFont="1" applyFill="1" applyBorder="1" applyAlignment="1">
      <alignment horizontal="justify" wrapText="1"/>
    </xf>
    <xf numFmtId="49" fontId="8" fillId="0" borderId="23" xfId="0" applyNumberFormat="1" applyFont="1" applyBorder="1" applyAlignment="1" applyProtection="1">
      <alignment horizontal="right" vertical="center" wrapText="1"/>
    </xf>
    <xf numFmtId="49" fontId="8" fillId="0" borderId="23" xfId="0" applyNumberFormat="1" applyFont="1" applyBorder="1" applyAlignment="1" applyProtection="1">
      <alignment horizontal="justify" vertical="center" wrapText="1"/>
    </xf>
    <xf numFmtId="4" fontId="20" fillId="0" borderId="23" xfId="0" applyNumberFormat="1" applyFont="1" applyBorder="1" applyAlignment="1" applyProtection="1">
      <alignment horizontal="right"/>
    </xf>
    <xf numFmtId="0" fontId="57" fillId="0" borderId="8" xfId="0" applyFont="1" applyBorder="1"/>
    <xf numFmtId="4" fontId="58" fillId="0" borderId="8" xfId="0" applyNumberFormat="1" applyFont="1" applyBorder="1"/>
    <xf numFmtId="0" fontId="58" fillId="0" borderId="8" xfId="0" applyFont="1" applyBorder="1"/>
    <xf numFmtId="164" fontId="20" fillId="0" borderId="19" xfId="0" applyNumberFormat="1" applyFont="1" applyBorder="1" applyAlignment="1" applyProtection="1">
      <alignment horizontal="justify" vertical="center" wrapText="1"/>
    </xf>
    <xf numFmtId="49" fontId="80" fillId="0" borderId="19" xfId="0" applyNumberFormat="1" applyFont="1" applyBorder="1" applyAlignment="1" applyProtection="1">
      <alignment horizontal="justify" vertical="center" wrapText="1"/>
    </xf>
    <xf numFmtId="49" fontId="80" fillId="0" borderId="19" xfId="0" applyNumberFormat="1" applyFont="1" applyBorder="1" applyAlignment="1" applyProtection="1">
      <alignment horizontal="center" vertical="center" wrapText="1"/>
    </xf>
    <xf numFmtId="49" fontId="80" fillId="0" borderId="19" xfId="0" applyNumberFormat="1" applyFont="1" applyBorder="1" applyAlignment="1" applyProtection="1">
      <alignment horizontal="right" vertical="center" wrapText="1"/>
    </xf>
    <xf numFmtId="4" fontId="44" fillId="2" borderId="19" xfId="0" applyNumberFormat="1" applyFont="1" applyFill="1" applyBorder="1" applyAlignment="1" applyProtection="1">
      <alignment horizontal="right"/>
    </xf>
    <xf numFmtId="49" fontId="55" fillId="0" borderId="2" xfId="0" applyNumberFormat="1" applyFont="1" applyFill="1" applyBorder="1" applyAlignment="1">
      <alignment horizontal="right"/>
    </xf>
    <xf numFmtId="49" fontId="80" fillId="0" borderId="23" xfId="0" applyNumberFormat="1" applyFont="1" applyBorder="1" applyAlignment="1" applyProtection="1">
      <alignment horizontal="justify" vertical="center" wrapText="1"/>
    </xf>
    <xf numFmtId="49" fontId="80" fillId="0" borderId="47" xfId="0" applyNumberFormat="1" applyFont="1" applyBorder="1" applyAlignment="1" applyProtection="1">
      <alignment horizontal="justify" vertical="center" wrapText="1"/>
    </xf>
    <xf numFmtId="4" fontId="44" fillId="0" borderId="19" xfId="0" applyNumberFormat="1" applyFont="1" applyBorder="1" applyAlignment="1" applyProtection="1">
      <alignment horizontal="right"/>
    </xf>
    <xf numFmtId="49" fontId="27" fillId="0" borderId="19" xfId="0" applyNumberFormat="1" applyFont="1" applyFill="1" applyBorder="1" applyAlignment="1" applyProtection="1">
      <alignment horizontal="justify" vertical="center" wrapText="1"/>
    </xf>
    <xf numFmtId="0" fontId="45" fillId="0" borderId="8" xfId="0" applyFont="1" applyBorder="1" applyAlignment="1">
      <alignment vertical="center" wrapText="1"/>
    </xf>
    <xf numFmtId="0" fontId="45" fillId="0" borderId="39" xfId="0" applyFont="1" applyBorder="1" applyAlignment="1">
      <alignment vertical="center" wrapText="1"/>
    </xf>
    <xf numFmtId="164" fontId="80" fillId="0" borderId="19" xfId="0" applyNumberFormat="1" applyFont="1" applyBorder="1" applyAlignment="1" applyProtection="1">
      <alignment horizontal="justify" vertical="center" wrapText="1"/>
    </xf>
    <xf numFmtId="49" fontId="81" fillId="0" borderId="19" xfId="0" applyNumberFormat="1" applyFont="1" applyBorder="1" applyAlignment="1" applyProtection="1">
      <alignment horizontal="center" vertical="center" wrapText="1"/>
    </xf>
    <xf numFmtId="49" fontId="81" fillId="0" borderId="19" xfId="0" applyNumberFormat="1" applyFont="1" applyBorder="1" applyAlignment="1" applyProtection="1">
      <alignment horizontal="right" vertical="center" wrapText="1"/>
    </xf>
    <xf numFmtId="49" fontId="81" fillId="0" borderId="19" xfId="0" applyNumberFormat="1" applyFont="1" applyBorder="1" applyAlignment="1" applyProtection="1">
      <alignment horizontal="justify" vertical="center" wrapText="1"/>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0" fontId="1" fillId="0" borderId="2"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16" xfId="0" applyFont="1" applyFill="1" applyBorder="1" applyAlignment="1">
      <alignment horizontal="justify"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2"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horizontal="right"/>
    </xf>
    <xf numFmtId="0" fontId="1" fillId="0" borderId="0" xfId="0" applyFont="1" applyFill="1" applyAlignment="1">
      <alignment horizontal="center" wrapText="1"/>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64" fillId="0" borderId="8" xfId="0" applyFont="1" applyBorder="1" applyAlignment="1">
      <alignment horizontal="center"/>
    </xf>
    <xf numFmtId="0" fontId="67" fillId="0" borderId="8" xfId="0" applyFont="1" applyBorder="1" applyAlignment="1">
      <alignment horizontal="center"/>
    </xf>
    <xf numFmtId="0" fontId="0" fillId="0" borderId="13" xfId="0" applyBorder="1" applyAlignment="1">
      <alignment horizontal="right"/>
    </xf>
    <xf numFmtId="0" fontId="64" fillId="0" borderId="8" xfId="0" applyFont="1" applyBorder="1" applyAlignment="1">
      <alignment horizontal="center" wrapText="1"/>
    </xf>
    <xf numFmtId="0" fontId="64" fillId="0" borderId="3" xfId="0" applyFont="1" applyBorder="1" applyAlignment="1">
      <alignment horizontal="left" wrapText="1"/>
    </xf>
    <xf numFmtId="0" fontId="64" fillId="0" borderId="4" xfId="0" applyFont="1" applyBorder="1" applyAlignment="1">
      <alignment horizontal="left" wrapText="1"/>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0" fontId="65"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1" fillId="0" borderId="2" xfId="0" applyFont="1" applyBorder="1" applyAlignment="1">
      <alignment horizontal="right" vertical="center"/>
    </xf>
    <xf numFmtId="0" fontId="1" fillId="0" borderId="17" xfId="0" applyFont="1" applyBorder="1" applyAlignment="1">
      <alignment horizontal="right" vertical="center"/>
    </xf>
    <xf numFmtId="49" fontId="55" fillId="0" borderId="2" xfId="0" applyNumberFormat="1"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5" fillId="0" borderId="14" xfId="0" applyNumberFormat="1" applyFont="1" applyFill="1" applyBorder="1" applyAlignment="1">
      <alignment horizontal="center" vertical="center"/>
    </xf>
    <xf numFmtId="49" fontId="55" fillId="0" borderId="15" xfId="0" applyNumberFormat="1" applyFont="1" applyFill="1" applyBorder="1" applyAlignment="1">
      <alignment horizontal="center" vertical="center"/>
    </xf>
    <xf numFmtId="49" fontId="55" fillId="0" borderId="38" xfId="0" applyNumberFormat="1" applyFont="1" applyFill="1" applyBorder="1" applyAlignment="1">
      <alignment horizontal="center" vertical="center"/>
    </xf>
    <xf numFmtId="49" fontId="55" fillId="0" borderId="39" xfId="0" applyNumberFormat="1" applyFont="1" applyFill="1" applyBorder="1" applyAlignment="1">
      <alignment horizontal="center" vertical="center"/>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3" fillId="0" borderId="2" xfId="0" applyFont="1" applyBorder="1" applyAlignment="1">
      <alignment horizontal="right" vertical="center"/>
    </xf>
    <xf numFmtId="0" fontId="3" fillId="0" borderId="17" xfId="0" applyFont="1" applyBorder="1" applyAlignment="1">
      <alignment horizontal="right" vertical="center"/>
    </xf>
    <xf numFmtId="49" fontId="45" fillId="0" borderId="2" xfId="0" applyNumberFormat="1" applyFont="1" applyBorder="1" applyAlignment="1" applyProtection="1">
      <alignment horizontal="justify" vertical="center" wrapText="1"/>
    </xf>
    <xf numFmtId="49" fontId="45" fillId="0" borderId="17" xfId="0" applyNumberFormat="1" applyFont="1" applyBorder="1" applyAlignment="1" applyProtection="1">
      <alignment horizontal="justify" vertical="center" wrapText="1"/>
    </xf>
    <xf numFmtId="49" fontId="52" fillId="0" borderId="2" xfId="0" applyNumberFormat="1" applyFont="1" applyBorder="1" applyAlignment="1">
      <alignment horizontal="center" vertical="center"/>
    </xf>
    <xf numFmtId="49" fontId="52" fillId="0" borderId="17" xfId="0" applyNumberFormat="1" applyFont="1" applyBorder="1" applyAlignment="1">
      <alignment horizontal="center"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52" fillId="0" borderId="38" xfId="0" applyNumberFormat="1" applyFont="1" applyBorder="1" applyAlignment="1">
      <alignment horizontal="center" vertical="center"/>
    </xf>
    <xf numFmtId="49" fontId="52" fillId="0" borderId="39" xfId="0" applyNumberFormat="1" applyFont="1" applyBorder="1" applyAlignment="1">
      <alignment horizontal="center" vertical="center"/>
    </xf>
    <xf numFmtId="49" fontId="45" fillId="0" borderId="41" xfId="0" applyNumberFormat="1" applyFont="1" applyBorder="1" applyAlignment="1" applyProtection="1">
      <alignment horizontal="justify" vertical="center" wrapText="1"/>
    </xf>
    <xf numFmtId="49" fontId="1" fillId="0" borderId="0" xfId="0" applyNumberFormat="1" applyFont="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1" fillId="0" borderId="3" xfId="0" applyNumberFormat="1" applyFont="1" applyFill="1" applyBorder="1" applyAlignment="1">
      <alignment horizontal="center"/>
    </xf>
    <xf numFmtId="49" fontId="1" fillId="0" borderId="5" xfId="0" applyNumberFormat="1" applyFont="1" applyFill="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14" xfId="0" applyNumberFormat="1" applyFont="1" applyBorder="1" applyAlignment="1">
      <alignment horizontal="center"/>
    </xf>
    <xf numFmtId="49" fontId="52" fillId="0" borderId="15" xfId="0" applyNumberFormat="1" applyFont="1" applyBorder="1" applyAlignment="1">
      <alignment horizontal="center"/>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0" xfId="0" applyFont="1" applyAlignment="1">
      <alignment horizontal="right"/>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2" xfId="0" applyNumberFormat="1" applyFont="1" applyFill="1" applyBorder="1" applyAlignment="1">
      <alignment horizontal="center" vertical="center"/>
    </xf>
    <xf numFmtId="49" fontId="52" fillId="0" borderId="17" xfId="0" applyNumberFormat="1" applyFont="1" applyFill="1" applyBorder="1" applyAlignment="1">
      <alignment horizontal="center" vertical="center"/>
    </xf>
    <xf numFmtId="49" fontId="52" fillId="0" borderId="14"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2" fillId="0" borderId="38" xfId="0" applyNumberFormat="1" applyFont="1" applyFill="1" applyBorder="1" applyAlignment="1">
      <alignment horizontal="center" vertical="center"/>
    </xf>
    <xf numFmtId="49" fontId="52" fillId="0" borderId="39" xfId="0" applyNumberFormat="1" applyFont="1" applyFill="1" applyBorder="1" applyAlignment="1">
      <alignment horizontal="center" vertical="center"/>
    </xf>
    <xf numFmtId="0" fontId="2" fillId="0" borderId="8" xfId="0" applyFont="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62" xfId="0" applyNumberFormat="1" applyFont="1" applyBorder="1" applyAlignment="1">
      <alignment horizontal="center"/>
    </xf>
    <xf numFmtId="49" fontId="52" fillId="0" borderId="3" xfId="0" applyNumberFormat="1" applyFont="1" applyFill="1" applyBorder="1" applyAlignment="1">
      <alignment horizontal="center" vertical="center"/>
    </xf>
    <xf numFmtId="49" fontId="52" fillId="0" borderId="5" xfId="0" applyNumberFormat="1" applyFont="1" applyFill="1" applyBorder="1" applyAlignment="1">
      <alignment horizontal="center" vertical="center"/>
    </xf>
    <xf numFmtId="0" fontId="52" fillId="0" borderId="2" xfId="0" applyFont="1" applyBorder="1" applyAlignment="1">
      <alignment horizontal="right" vertical="center"/>
    </xf>
    <xf numFmtId="0" fontId="52" fillId="0" borderId="17" xfId="0" applyFont="1" applyBorder="1" applyAlignment="1">
      <alignment horizontal="right" vertic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2" fillId="0" borderId="15" xfId="0" applyNumberFormat="1" applyFont="1" applyBorder="1" applyAlignment="1">
      <alignment horizontal="center"/>
    </xf>
    <xf numFmtId="49" fontId="55" fillId="0" borderId="2" xfId="0" applyNumberFormat="1"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49" fontId="52" fillId="0" borderId="38" xfId="0" applyNumberFormat="1" applyFont="1" applyBorder="1" applyAlignment="1">
      <alignment horizontal="center"/>
    </xf>
    <xf numFmtId="49" fontId="52" fillId="0" borderId="39" xfId="0" applyNumberFormat="1" applyFont="1" applyBorder="1" applyAlignment="1">
      <alignment horizontal="center"/>
    </xf>
    <xf numFmtId="0" fontId="52" fillId="0" borderId="3" xfId="0" applyFont="1" applyBorder="1" applyAlignment="1">
      <alignment horizontal="center"/>
    </xf>
    <xf numFmtId="0" fontId="52" fillId="0" borderId="5" xfId="0" applyFont="1" applyBorder="1" applyAlignment="1">
      <alignment horizontal="center"/>
    </xf>
    <xf numFmtId="0" fontId="52" fillId="0" borderId="16" xfId="0" applyFont="1" applyBorder="1" applyAlignment="1">
      <alignment horizontal="right" vertical="center"/>
    </xf>
    <xf numFmtId="49" fontId="52" fillId="0" borderId="16" xfId="0" applyNumberFormat="1" applyFont="1" applyFill="1" applyBorder="1" applyAlignment="1">
      <alignment horizontal="center" vertical="center"/>
    </xf>
    <xf numFmtId="49" fontId="52" fillId="0" borderId="61" xfId="0" applyNumberFormat="1" applyFont="1" applyFill="1" applyBorder="1" applyAlignment="1">
      <alignment horizontal="center" vertical="center"/>
    </xf>
    <xf numFmtId="49" fontId="52" fillId="0" borderId="62" xfId="0" applyNumberFormat="1" applyFont="1" applyFill="1" applyBorder="1" applyAlignment="1">
      <alignment horizontal="center" vertical="center"/>
    </xf>
    <xf numFmtId="49" fontId="45" fillId="0" borderId="16" xfId="0" applyNumberFormat="1" applyFont="1" applyBorder="1" applyAlignment="1" applyProtection="1">
      <alignment horizontal="justify" vertical="center" wrapText="1"/>
    </xf>
    <xf numFmtId="49" fontId="45" fillId="0" borderId="41" xfId="0" applyNumberFormat="1" applyFont="1" applyBorder="1" applyAlignment="1" applyProtection="1">
      <alignment horizontal="justify" vertical="center"/>
    </xf>
    <xf numFmtId="49" fontId="45" fillId="0" borderId="17" xfId="0" applyNumberFormat="1" applyFont="1" applyBorder="1" applyAlignment="1" applyProtection="1">
      <alignment horizontal="justify" vertical="center"/>
    </xf>
    <xf numFmtId="0" fontId="45" fillId="0" borderId="0" xfId="0" applyFont="1" applyBorder="1" applyAlignment="1">
      <alignment horizontal="justify" vertical="center" wrapText="1"/>
    </xf>
    <xf numFmtId="0" fontId="45" fillId="0" borderId="13" xfId="0" applyFont="1" applyBorder="1" applyAlignment="1">
      <alignment horizontal="justify" vertical="center" wrapText="1"/>
    </xf>
    <xf numFmtId="49" fontId="52" fillId="0" borderId="2" xfId="0" applyNumberFormat="1" applyFont="1" applyFill="1" applyBorder="1" applyAlignment="1">
      <alignment horizontal="justify" vertical="center"/>
    </xf>
    <xf numFmtId="49" fontId="52" fillId="0" borderId="17" xfId="0" applyNumberFormat="1" applyFont="1" applyFill="1" applyBorder="1" applyAlignment="1">
      <alignment horizontal="justify" vertical="center"/>
    </xf>
    <xf numFmtId="49" fontId="52" fillId="0" borderId="14" xfId="0" applyNumberFormat="1" applyFont="1" applyFill="1" applyBorder="1" applyAlignment="1">
      <alignment horizontal="justify" vertical="center"/>
    </xf>
    <xf numFmtId="49" fontId="52" fillId="0" borderId="15" xfId="0" applyNumberFormat="1" applyFont="1" applyFill="1" applyBorder="1" applyAlignment="1">
      <alignment horizontal="justify" vertical="center"/>
    </xf>
    <xf numFmtId="49" fontId="52" fillId="0" borderId="38" xfId="0" applyNumberFormat="1" applyFont="1" applyFill="1" applyBorder="1" applyAlignment="1">
      <alignment horizontal="justify" vertical="center"/>
    </xf>
    <xf numFmtId="49" fontId="52" fillId="0" borderId="39" xfId="0" applyNumberFormat="1" applyFont="1" applyFill="1" applyBorder="1" applyAlignment="1">
      <alignment horizontal="justify" vertical="center"/>
    </xf>
    <xf numFmtId="0" fontId="45" fillId="0" borderId="41" xfId="0" applyFont="1" applyBorder="1" applyAlignment="1">
      <alignment horizontal="justify" vertical="center" wrapText="1"/>
    </xf>
    <xf numFmtId="0" fontId="45" fillId="0" borderId="17" xfId="0" applyFont="1" applyBorder="1" applyAlignment="1">
      <alignment horizontal="justify" vertical="center" wrapText="1"/>
    </xf>
    <xf numFmtId="49" fontId="54" fillId="0" borderId="2" xfId="0" applyNumberFormat="1" applyFont="1" applyFill="1" applyBorder="1" applyAlignment="1">
      <alignment horizontal="justify" vertical="center"/>
    </xf>
    <xf numFmtId="49" fontId="54" fillId="0" borderId="16" xfId="0" applyNumberFormat="1" applyFont="1" applyFill="1" applyBorder="1" applyAlignment="1">
      <alignment horizontal="justify" vertical="center"/>
    </xf>
    <xf numFmtId="49" fontId="54" fillId="0" borderId="17" xfId="0" applyNumberFormat="1" applyFont="1" applyFill="1" applyBorder="1" applyAlignment="1">
      <alignment horizontal="justify" vertical="center"/>
    </xf>
    <xf numFmtId="49" fontId="54" fillId="0" borderId="14" xfId="0" applyNumberFormat="1" applyFont="1" applyFill="1" applyBorder="1" applyAlignment="1">
      <alignment horizontal="justify" vertical="center"/>
    </xf>
    <xf numFmtId="49" fontId="54" fillId="0" borderId="15" xfId="0" applyNumberFormat="1" applyFont="1" applyFill="1" applyBorder="1" applyAlignment="1">
      <alignment horizontal="justify" vertical="center"/>
    </xf>
    <xf numFmtId="49" fontId="54" fillId="0" borderId="61" xfId="0" applyNumberFormat="1" applyFont="1" applyFill="1" applyBorder="1" applyAlignment="1">
      <alignment horizontal="justify" vertical="center"/>
    </xf>
    <xf numFmtId="49" fontId="54" fillId="0" borderId="62" xfId="0" applyNumberFormat="1" applyFont="1" applyFill="1" applyBorder="1" applyAlignment="1">
      <alignment horizontal="justify" vertical="center"/>
    </xf>
    <xf numFmtId="49" fontId="54" fillId="0" borderId="38" xfId="0" applyNumberFormat="1" applyFont="1" applyFill="1" applyBorder="1" applyAlignment="1">
      <alignment horizontal="justify" vertical="center"/>
    </xf>
    <xf numFmtId="49" fontId="54" fillId="0" borderId="39" xfId="0" applyNumberFormat="1" applyFont="1" applyFill="1" applyBorder="1" applyAlignment="1">
      <alignment horizontal="justify" vertic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C12">
            <v>0</v>
          </cell>
        </row>
        <row r="13">
          <cell r="C13">
            <v>0</v>
          </cell>
          <cell r="D13">
            <v>0</v>
          </cell>
          <cell r="E13">
            <v>0</v>
          </cell>
        </row>
        <row r="15">
          <cell r="C15">
            <v>0</v>
          </cell>
          <cell r="D15">
            <v>0</v>
          </cell>
          <cell r="E15">
            <v>0</v>
          </cell>
        </row>
        <row r="19">
          <cell r="C19">
            <v>0</v>
          </cell>
          <cell r="D19">
            <v>0</v>
          </cell>
          <cell r="E19">
            <v>0</v>
          </cell>
        </row>
      </sheetData>
      <sheetData sheetId="17" refreshError="1"/>
      <sheetData sheetId="18" refreshError="1"/>
      <sheetData sheetId="19" refreshError="1">
        <row r="11">
          <cell r="I11">
            <v>1436106</v>
          </cell>
        </row>
        <row r="198">
          <cell r="I198">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E5" sqref="E5"/>
    </sheetView>
  </sheetViews>
  <sheetFormatPr defaultRowHeight="15" x14ac:dyDescent="0.25"/>
  <cols>
    <col min="1" max="1" width="27.7109375" style="75" customWidth="1"/>
    <col min="2" max="2" width="50.42578125" style="75" customWidth="1"/>
    <col min="3" max="3" width="21.42578125" style="75"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6"/>
      <c r="D1" s="76"/>
      <c r="E1" s="235" t="s">
        <v>1431</v>
      </c>
    </row>
    <row r="2" spans="1:5" ht="15.75" x14ac:dyDescent="0.25">
      <c r="A2" s="1"/>
      <c r="C2" s="76"/>
      <c r="D2" s="76"/>
      <c r="E2" s="235" t="s">
        <v>30</v>
      </c>
    </row>
    <row r="3" spans="1:5" ht="15.75" x14ac:dyDescent="0.25">
      <c r="A3" s="1"/>
      <c r="C3" s="76"/>
      <c r="D3" s="76"/>
      <c r="E3" s="235" t="s">
        <v>203</v>
      </c>
    </row>
    <row r="4" spans="1:5" ht="15.75" x14ac:dyDescent="0.25">
      <c r="A4" s="1"/>
      <c r="C4" s="76"/>
      <c r="D4" s="2"/>
      <c r="E4" s="2" t="s">
        <v>1541</v>
      </c>
    </row>
    <row r="5" spans="1:5" ht="15.75" x14ac:dyDescent="0.25">
      <c r="A5" s="1"/>
      <c r="B5" s="25"/>
      <c r="C5" s="28"/>
      <c r="E5" s="236"/>
    </row>
    <row r="6" spans="1:5" ht="15.75" x14ac:dyDescent="0.25">
      <c r="A6" s="1"/>
      <c r="B6" s="25"/>
      <c r="C6" s="28"/>
    </row>
    <row r="7" spans="1:5" ht="15.75" customHeight="1" x14ac:dyDescent="0.25">
      <c r="A7" s="915" t="s">
        <v>1105</v>
      </c>
      <c r="B7" s="915"/>
      <c r="C7" s="915"/>
      <c r="D7" s="915"/>
      <c r="E7" s="915"/>
    </row>
    <row r="8" spans="1:5" ht="15.75" x14ac:dyDescent="0.25">
      <c r="A8" s="77"/>
      <c r="B8" s="77"/>
      <c r="C8" s="77"/>
    </row>
    <row r="9" spans="1:5" ht="15.75" x14ac:dyDescent="0.25">
      <c r="A9" s="916" t="s">
        <v>121</v>
      </c>
      <c r="B9" s="918" t="s">
        <v>1</v>
      </c>
      <c r="C9" s="920" t="s">
        <v>204</v>
      </c>
      <c r="D9" s="921"/>
      <c r="E9" s="922"/>
    </row>
    <row r="10" spans="1:5" ht="15.75" x14ac:dyDescent="0.25">
      <c r="A10" s="917"/>
      <c r="B10" s="919"/>
      <c r="C10" s="62">
        <v>2019</v>
      </c>
      <c r="D10" s="78">
        <v>2020</v>
      </c>
      <c r="E10" s="78">
        <v>2021</v>
      </c>
    </row>
    <row r="11" spans="1:5" ht="31.5" x14ac:dyDescent="0.25">
      <c r="A11" s="79" t="s">
        <v>205</v>
      </c>
      <c r="B11" s="80" t="s">
        <v>173</v>
      </c>
      <c r="C11" s="81">
        <v>0</v>
      </c>
      <c r="D11" s="81">
        <f>D12+D13</f>
        <v>0</v>
      </c>
      <c r="E11" s="81">
        <f>E12+E13</f>
        <v>0</v>
      </c>
    </row>
    <row r="12" spans="1:5" ht="47.25" x14ac:dyDescent="0.25">
      <c r="A12" s="82" t="s">
        <v>206</v>
      </c>
      <c r="B12" s="83" t="s">
        <v>207</v>
      </c>
      <c r="C12" s="81">
        <v>0</v>
      </c>
      <c r="D12" s="84">
        <v>0</v>
      </c>
      <c r="E12" s="84">
        <v>0</v>
      </c>
    </row>
    <row r="13" spans="1:5" ht="47.25" x14ac:dyDescent="0.25">
      <c r="A13" s="82" t="s">
        <v>208</v>
      </c>
      <c r="B13" s="83" t="s">
        <v>209</v>
      </c>
      <c r="C13" s="41">
        <v>0</v>
      </c>
      <c r="D13" s="84">
        <v>0</v>
      </c>
      <c r="E13" s="84">
        <v>0</v>
      </c>
    </row>
    <row r="14" spans="1:5" ht="47.25" x14ac:dyDescent="0.25">
      <c r="A14" s="82" t="s">
        <v>210</v>
      </c>
      <c r="B14" s="83" t="s">
        <v>211</v>
      </c>
      <c r="C14" s="41">
        <v>0</v>
      </c>
      <c r="D14" s="41">
        <v>0</v>
      </c>
      <c r="E14" s="41">
        <v>0</v>
      </c>
    </row>
    <row r="15" spans="1:5" ht="63" x14ac:dyDescent="0.25">
      <c r="A15" s="82" t="s">
        <v>212</v>
      </c>
      <c r="B15" s="83" t="s">
        <v>213</v>
      </c>
      <c r="C15" s="41">
        <v>0</v>
      </c>
      <c r="D15" s="84">
        <v>0</v>
      </c>
      <c r="E15" s="84">
        <v>0</v>
      </c>
    </row>
    <row r="16" spans="1:5" ht="63" x14ac:dyDescent="0.25">
      <c r="A16" s="82" t="s">
        <v>214</v>
      </c>
      <c r="B16" s="83" t="s">
        <v>215</v>
      </c>
      <c r="C16" s="41">
        <v>0</v>
      </c>
      <c r="D16" s="84">
        <v>0</v>
      </c>
      <c r="E16" s="84">
        <v>0</v>
      </c>
    </row>
    <row r="17" spans="1:5" ht="32.25" x14ac:dyDescent="0.3">
      <c r="A17" s="26" t="s">
        <v>216</v>
      </c>
      <c r="B17" s="21" t="s">
        <v>172</v>
      </c>
      <c r="C17" s="41">
        <f>14412096.03+112576608.91</f>
        <v>126988704.94</v>
      </c>
      <c r="D17" s="85">
        <v>0</v>
      </c>
      <c r="E17" s="85">
        <v>0</v>
      </c>
    </row>
    <row r="18" spans="1:5" ht="31.5" x14ac:dyDescent="0.25">
      <c r="A18" s="82" t="s">
        <v>217</v>
      </c>
      <c r="B18" s="83" t="s">
        <v>218</v>
      </c>
      <c r="C18" s="41">
        <f>C19+C20</f>
        <v>2360000</v>
      </c>
      <c r="D18" s="41">
        <f>D19+D20</f>
        <v>2400000</v>
      </c>
      <c r="E18" s="41">
        <f>E19+E20</f>
        <v>5000000</v>
      </c>
    </row>
    <row r="19" spans="1:5" ht="63" x14ac:dyDescent="0.25">
      <c r="A19" s="86" t="s">
        <v>219</v>
      </c>
      <c r="B19" s="83" t="s">
        <v>220</v>
      </c>
      <c r="C19" s="41">
        <v>0</v>
      </c>
      <c r="D19" s="84">
        <v>0</v>
      </c>
      <c r="E19" s="84">
        <v>0</v>
      </c>
    </row>
    <row r="20" spans="1:5" ht="63" x14ac:dyDescent="0.25">
      <c r="A20" s="524" t="s">
        <v>221</v>
      </c>
      <c r="B20" s="21" t="s">
        <v>222</v>
      </c>
      <c r="C20" s="41">
        <f>720000+1640000</f>
        <v>2360000</v>
      </c>
      <c r="D20" s="84">
        <f>720000+1680000</f>
        <v>2400000</v>
      </c>
      <c r="E20" s="84">
        <f>3320000+1680000</f>
        <v>5000000</v>
      </c>
    </row>
    <row r="21" spans="1:5" ht="29.25" customHeight="1" x14ac:dyDescent="0.25">
      <c r="A21" s="87" t="s">
        <v>184</v>
      </c>
      <c r="B21" s="88" t="s">
        <v>223</v>
      </c>
      <c r="C21" s="41">
        <f>C17+C18</f>
        <v>129348704.94</v>
      </c>
      <c r="D21" s="41">
        <f>D17+D18</f>
        <v>2400000</v>
      </c>
      <c r="E21" s="41">
        <f>E17+E18</f>
        <v>5000000</v>
      </c>
    </row>
    <row r="22" spans="1:5" ht="0.75" customHeight="1" x14ac:dyDescent="0.25">
      <c r="A22" s="923" t="s">
        <v>224</v>
      </c>
      <c r="B22" s="923"/>
      <c r="C22" s="923"/>
    </row>
    <row r="23" spans="1:5" ht="16.5" x14ac:dyDescent="0.3">
      <c r="B23" s="89"/>
      <c r="C23" s="90"/>
      <c r="D23" s="90"/>
      <c r="E23" s="90"/>
    </row>
    <row r="24" spans="1:5" s="92" customFormat="1" ht="16.5" x14ac:dyDescent="0.3">
      <c r="A24" s="75"/>
      <c r="B24" s="91"/>
      <c r="C24" s="90"/>
      <c r="D24" s="90"/>
      <c r="E24" s="90"/>
    </row>
    <row r="27" spans="1:5" x14ac:dyDescent="0.25">
      <c r="B27" s="17"/>
      <c r="C27" s="93"/>
      <c r="D27" s="93"/>
      <c r="E27" s="93"/>
    </row>
    <row r="28" spans="1:5" x14ac:dyDescent="0.25">
      <c r="B28" s="17"/>
      <c r="C28" s="93"/>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workbookViewId="0">
      <selection activeCell="G14" sqref="G14"/>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976" t="s">
        <v>898</v>
      </c>
      <c r="B1" s="976"/>
      <c r="C1" s="976"/>
      <c r="D1" s="976"/>
    </row>
    <row r="2" spans="1:4" ht="15.75" x14ac:dyDescent="0.25">
      <c r="A2" s="976" t="s">
        <v>257</v>
      </c>
      <c r="B2" s="976"/>
      <c r="C2" s="976"/>
      <c r="D2" s="976"/>
    </row>
    <row r="3" spans="1:4" ht="15.75" x14ac:dyDescent="0.25">
      <c r="A3" s="976" t="s">
        <v>0</v>
      </c>
      <c r="B3" s="976"/>
      <c r="C3" s="976"/>
      <c r="D3" s="976"/>
    </row>
    <row r="4" spans="1:4" ht="15.75" x14ac:dyDescent="0.25">
      <c r="A4" s="976" t="s">
        <v>1541</v>
      </c>
      <c r="B4" s="976"/>
      <c r="C4" s="976"/>
      <c r="D4" s="976"/>
    </row>
    <row r="5" spans="1:4" ht="15.75" x14ac:dyDescent="0.25">
      <c r="A5" s="1"/>
      <c r="B5" s="1"/>
      <c r="C5" s="1"/>
      <c r="D5" s="1"/>
    </row>
    <row r="6" spans="1:4" ht="18" x14ac:dyDescent="0.25">
      <c r="A6" s="1014" t="s">
        <v>258</v>
      </c>
      <c r="B6" s="1014"/>
      <c r="C6" s="1014"/>
      <c r="D6" s="1014"/>
    </row>
    <row r="7" spans="1:4" ht="18" x14ac:dyDescent="0.25">
      <c r="A7" s="1014" t="s">
        <v>1104</v>
      </c>
      <c r="B7" s="1014"/>
      <c r="C7" s="1014"/>
      <c r="D7" s="1014"/>
    </row>
    <row r="8" spans="1:4" ht="15.75" x14ac:dyDescent="0.25">
      <c r="A8" s="1"/>
      <c r="B8" s="1"/>
      <c r="C8" s="1"/>
      <c r="D8" s="1"/>
    </row>
    <row r="9" spans="1:4" ht="15.75" x14ac:dyDescent="0.25">
      <c r="A9" s="918" t="s">
        <v>1</v>
      </c>
      <c r="B9" s="1011" t="s">
        <v>174</v>
      </c>
      <c r="C9" s="1012"/>
      <c r="D9" s="1013"/>
    </row>
    <row r="10" spans="1:4" ht="15.75" x14ac:dyDescent="0.25">
      <c r="A10" s="919"/>
      <c r="B10" s="27">
        <v>2019</v>
      </c>
      <c r="C10" s="27">
        <v>2020</v>
      </c>
      <c r="D10" s="20">
        <v>2021</v>
      </c>
    </row>
    <row r="11" spans="1:4" ht="15.75" x14ac:dyDescent="0.25">
      <c r="A11" s="21" t="s">
        <v>259</v>
      </c>
      <c r="B11" s="41">
        <f>B13+B16+B19</f>
        <v>2360000</v>
      </c>
      <c r="C11" s="41">
        <f>C13+C16+C19</f>
        <v>2400000</v>
      </c>
      <c r="D11" s="41">
        <f>D13+D16+D19</f>
        <v>5000000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П1ИВФ!C12</f>
        <v>0</v>
      </c>
      <c r="C14" s="24">
        <f>П1ИВФ!D12</f>
        <v>0</v>
      </c>
      <c r="D14" s="24">
        <f>П1ИВФ!E12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П1ИВФ!C16</f>
        <v>0</v>
      </c>
      <c r="C18" s="24">
        <f>П1ИВФ!D16</f>
        <v>0</v>
      </c>
      <c r="D18" s="24">
        <f>П1ИВФ!E16</f>
        <v>0</v>
      </c>
    </row>
    <row r="19" spans="1:4" ht="31.5" x14ac:dyDescent="0.25">
      <c r="A19" s="23" t="s">
        <v>181</v>
      </c>
      <c r="B19" s="22">
        <f>B20+B21</f>
        <v>2360000</v>
      </c>
      <c r="C19" s="22">
        <f>C20+C21</f>
        <v>2400000</v>
      </c>
      <c r="D19" s="22">
        <f>D20+D21</f>
        <v>5000000</v>
      </c>
    </row>
    <row r="20" spans="1:4" ht="15.75" x14ac:dyDescent="0.25">
      <c r="A20" s="23" t="s">
        <v>182</v>
      </c>
      <c r="B20" s="24">
        <f>[1]П_3!C19</f>
        <v>0</v>
      </c>
      <c r="C20" s="24">
        <f>[1]П_3!D19</f>
        <v>0</v>
      </c>
      <c r="D20" s="24">
        <f>[1]П_3!E19</f>
        <v>0</v>
      </c>
    </row>
    <row r="21" spans="1:4" ht="31.5" x14ac:dyDescent="0.25">
      <c r="A21" s="23" t="s">
        <v>183</v>
      </c>
      <c r="B21" s="24">
        <f>П1ИВФ!C20</f>
        <v>2360000</v>
      </c>
      <c r="C21" s="24">
        <f>П1ИВФ!D20</f>
        <v>2400000</v>
      </c>
      <c r="D21" s="24">
        <f>П1ИВФ!E20</f>
        <v>5000000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596"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597" t="s">
        <v>1231</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row>
    <row r="2" spans="1:38" x14ac:dyDescent="0.25">
      <c r="A2" s="598"/>
      <c r="S2" s="17" t="s">
        <v>1128</v>
      </c>
      <c r="AJ2" s="1017"/>
      <c r="AK2" s="1017"/>
    </row>
    <row r="3" spans="1:38" x14ac:dyDescent="0.25">
      <c r="A3" s="1018" t="s">
        <v>1</v>
      </c>
      <c r="B3" s="1018" t="s">
        <v>1129</v>
      </c>
      <c r="C3" s="1018"/>
      <c r="D3" s="1018"/>
      <c r="E3" s="1018" t="s">
        <v>1130</v>
      </c>
      <c r="F3" s="1018"/>
      <c r="G3" s="1018"/>
      <c r="H3" s="1018" t="s">
        <v>1131</v>
      </c>
      <c r="I3" s="1018"/>
      <c r="J3" s="1018"/>
      <c r="K3" s="1019" t="s">
        <v>109</v>
      </c>
      <c r="L3" s="1020"/>
      <c r="M3" s="1020"/>
      <c r="N3" s="1020"/>
      <c r="O3" s="1020"/>
      <c r="P3" s="1020"/>
      <c r="Q3" s="599"/>
      <c r="R3" s="599"/>
      <c r="S3" s="599"/>
      <c r="T3" s="599"/>
      <c r="U3" s="599"/>
      <c r="V3" s="599"/>
      <c r="W3" s="599"/>
      <c r="X3" s="599"/>
      <c r="Y3" s="599"/>
      <c r="Z3" s="599"/>
      <c r="AA3" s="599"/>
      <c r="AB3" s="599"/>
      <c r="AC3" s="599"/>
      <c r="AD3" s="599"/>
      <c r="AE3" s="599"/>
      <c r="AF3" s="599"/>
      <c r="AG3" s="599"/>
      <c r="AH3" s="599"/>
      <c r="AI3" s="599"/>
      <c r="AJ3" s="599"/>
      <c r="AK3" s="600"/>
      <c r="AL3" s="596"/>
    </row>
    <row r="4" spans="1:38" x14ac:dyDescent="0.25">
      <c r="A4" s="1018"/>
      <c r="B4" s="1018"/>
      <c r="C4" s="1018"/>
      <c r="D4" s="1018"/>
      <c r="E4" s="1018"/>
      <c r="F4" s="1018"/>
      <c r="G4" s="1018"/>
      <c r="H4" s="1018"/>
      <c r="I4" s="1018"/>
      <c r="J4" s="1018"/>
      <c r="K4" s="1018" t="s">
        <v>1132</v>
      </c>
      <c r="L4" s="1018"/>
      <c r="M4" s="1018"/>
      <c r="N4" s="1018" t="s">
        <v>1133</v>
      </c>
      <c r="O4" s="1018"/>
      <c r="P4" s="1018"/>
      <c r="Q4" s="1018" t="s">
        <v>1134</v>
      </c>
      <c r="R4" s="1018"/>
      <c r="S4" s="1018"/>
      <c r="T4" s="1018" t="s">
        <v>1135</v>
      </c>
      <c r="U4" s="1018"/>
      <c r="V4" s="1018"/>
      <c r="W4" s="1018" t="s">
        <v>1136</v>
      </c>
      <c r="X4" s="1018"/>
      <c r="Y4" s="1018"/>
      <c r="Z4" s="1018" t="s">
        <v>1137</v>
      </c>
      <c r="AA4" s="1018"/>
      <c r="AB4" s="1018"/>
      <c r="AC4" s="1018" t="s">
        <v>1138</v>
      </c>
      <c r="AD4" s="1018"/>
      <c r="AE4" s="1018"/>
      <c r="AF4" s="1018" t="s">
        <v>1139</v>
      </c>
      <c r="AG4" s="1018"/>
      <c r="AH4" s="1018"/>
      <c r="AI4" s="1018" t="s">
        <v>1140</v>
      </c>
      <c r="AJ4" s="1018"/>
      <c r="AK4" s="1018"/>
      <c r="AL4" s="596"/>
    </row>
    <row r="5" spans="1:38" x14ac:dyDescent="0.25">
      <c r="A5" s="1018"/>
      <c r="B5" s="601">
        <v>2019</v>
      </c>
      <c r="C5" s="601">
        <v>2020</v>
      </c>
      <c r="D5" s="601">
        <v>2021</v>
      </c>
      <c r="E5" s="668">
        <v>2019</v>
      </c>
      <c r="F5" s="668">
        <v>2020</v>
      </c>
      <c r="G5" s="668">
        <v>2021</v>
      </c>
      <c r="H5" s="668">
        <v>2019</v>
      </c>
      <c r="I5" s="668">
        <v>2020</v>
      </c>
      <c r="J5" s="668">
        <v>2021</v>
      </c>
      <c r="K5" s="668">
        <v>2019</v>
      </c>
      <c r="L5" s="668">
        <v>2020</v>
      </c>
      <c r="M5" s="668">
        <v>2021</v>
      </c>
      <c r="N5" s="668">
        <v>2019</v>
      </c>
      <c r="O5" s="668">
        <v>2020</v>
      </c>
      <c r="P5" s="668">
        <v>2021</v>
      </c>
      <c r="Q5" s="668">
        <v>2019</v>
      </c>
      <c r="R5" s="668">
        <v>2020</v>
      </c>
      <c r="S5" s="668">
        <v>2021</v>
      </c>
      <c r="T5" s="668">
        <v>2019</v>
      </c>
      <c r="U5" s="668">
        <v>2020</v>
      </c>
      <c r="V5" s="668">
        <v>2021</v>
      </c>
      <c r="W5" s="668">
        <v>2019</v>
      </c>
      <c r="X5" s="668">
        <v>2020</v>
      </c>
      <c r="Y5" s="668">
        <v>2021</v>
      </c>
      <c r="Z5" s="668">
        <v>2019</v>
      </c>
      <c r="AA5" s="668">
        <v>2020</v>
      </c>
      <c r="AB5" s="668">
        <v>2021</v>
      </c>
      <c r="AC5" s="668">
        <v>2019</v>
      </c>
      <c r="AD5" s="668">
        <v>2020</v>
      </c>
      <c r="AE5" s="668">
        <v>2021</v>
      </c>
      <c r="AF5" s="668">
        <v>2019</v>
      </c>
      <c r="AG5" s="668">
        <v>2020</v>
      </c>
      <c r="AH5" s="668">
        <v>2021</v>
      </c>
      <c r="AI5" s="668">
        <v>2019</v>
      </c>
      <c r="AJ5" s="668">
        <v>2020</v>
      </c>
      <c r="AK5" s="668">
        <v>2021</v>
      </c>
      <c r="AL5" s="596"/>
    </row>
    <row r="6" spans="1:38" x14ac:dyDescent="0.25">
      <c r="A6" s="602" t="s">
        <v>1141</v>
      </c>
      <c r="B6" s="603">
        <f>E6+H6</f>
        <v>898403</v>
      </c>
      <c r="C6" s="603">
        <f>F6+I6</f>
        <v>902902</v>
      </c>
      <c r="D6" s="603">
        <f>G6+J6</f>
        <v>924795</v>
      </c>
      <c r="E6" s="603">
        <f>E7+E9+E10+E8</f>
        <v>747921</v>
      </c>
      <c r="F6" s="603">
        <f t="shared" ref="F6:AK6" si="0">F7+F9+F10+F8</f>
        <v>755098</v>
      </c>
      <c r="G6" s="603">
        <f t="shared" si="0"/>
        <v>773186</v>
      </c>
      <c r="H6" s="603">
        <f t="shared" si="0"/>
        <v>150482</v>
      </c>
      <c r="I6" s="603">
        <f t="shared" si="0"/>
        <v>147804</v>
      </c>
      <c r="J6" s="603">
        <f t="shared" si="0"/>
        <v>151609</v>
      </c>
      <c r="K6" s="603">
        <f t="shared" si="0"/>
        <v>4712</v>
      </c>
      <c r="L6" s="603">
        <f t="shared" si="0"/>
        <v>4709</v>
      </c>
      <c r="M6" s="603">
        <f t="shared" si="0"/>
        <v>4709</v>
      </c>
      <c r="N6" s="603">
        <f t="shared" si="0"/>
        <v>5575</v>
      </c>
      <c r="O6" s="603">
        <f t="shared" si="0"/>
        <v>5144</v>
      </c>
      <c r="P6" s="603">
        <f t="shared" si="0"/>
        <v>5145</v>
      </c>
      <c r="Q6" s="603">
        <f>Q7+Q9+Q10+Q8</f>
        <v>22399</v>
      </c>
      <c r="R6" s="603">
        <f t="shared" si="0"/>
        <v>22818</v>
      </c>
      <c r="S6" s="603">
        <f t="shared" si="0"/>
        <v>23835</v>
      </c>
      <c r="T6" s="603">
        <f t="shared" si="0"/>
        <v>11905</v>
      </c>
      <c r="U6" s="603">
        <f t="shared" si="0"/>
        <v>8364</v>
      </c>
      <c r="V6" s="603">
        <f t="shared" si="0"/>
        <v>8364</v>
      </c>
      <c r="W6" s="603">
        <f t="shared" si="0"/>
        <v>67929</v>
      </c>
      <c r="X6" s="603">
        <f t="shared" si="0"/>
        <v>67989</v>
      </c>
      <c r="Y6" s="603">
        <f t="shared" si="0"/>
        <v>69861</v>
      </c>
      <c r="Z6" s="603">
        <f t="shared" si="0"/>
        <v>4568</v>
      </c>
      <c r="AA6" s="603">
        <f t="shared" si="0"/>
        <v>4628</v>
      </c>
      <c r="AB6" s="603">
        <f t="shared" si="0"/>
        <v>4737</v>
      </c>
      <c r="AC6" s="603">
        <f t="shared" si="0"/>
        <v>10960</v>
      </c>
      <c r="AD6" s="603">
        <f t="shared" si="0"/>
        <v>10765</v>
      </c>
      <c r="AE6" s="603">
        <f t="shared" si="0"/>
        <v>10682</v>
      </c>
      <c r="AF6" s="603">
        <f t="shared" si="0"/>
        <v>7813</v>
      </c>
      <c r="AG6" s="603">
        <f t="shared" si="0"/>
        <v>7931</v>
      </c>
      <c r="AH6" s="603">
        <f t="shared" si="0"/>
        <v>8027</v>
      </c>
      <c r="AI6" s="603">
        <f>AI7+AI9+AI10+AI8</f>
        <v>14621</v>
      </c>
      <c r="AJ6" s="603">
        <f t="shared" si="0"/>
        <v>15456</v>
      </c>
      <c r="AK6" s="603">
        <f t="shared" si="0"/>
        <v>16249</v>
      </c>
    </row>
    <row r="7" spans="1:38" x14ac:dyDescent="0.25">
      <c r="A7" s="604" t="s">
        <v>1142</v>
      </c>
      <c r="B7" s="605">
        <f>E7+H7</f>
        <v>293002</v>
      </c>
      <c r="C7" s="605">
        <f t="shared" ref="B7:D26" si="1">F7+I7</f>
        <v>259081</v>
      </c>
      <c r="D7" s="605">
        <f t="shared" si="1"/>
        <v>264951</v>
      </c>
      <c r="E7" s="605">
        <v>186844</v>
      </c>
      <c r="F7" s="605">
        <v>154799</v>
      </c>
      <c r="G7" s="605">
        <v>157168</v>
      </c>
      <c r="H7" s="605">
        <f>K7+N7+Q7+T7+W7+Z7+AC7+AF7+AI7</f>
        <v>106158</v>
      </c>
      <c r="I7" s="605">
        <f t="shared" ref="H7:J10" si="2">L7+O7+R7+U7+X7+AA7+AD7+AG7+AJ7</f>
        <v>104282</v>
      </c>
      <c r="J7" s="605">
        <f t="shared" si="2"/>
        <v>107783</v>
      </c>
      <c r="K7" s="605">
        <v>396</v>
      </c>
      <c r="L7" s="605">
        <v>396</v>
      </c>
      <c r="M7" s="605">
        <v>396</v>
      </c>
      <c r="N7" s="605">
        <v>2773</v>
      </c>
      <c r="O7" s="605">
        <v>2286</v>
      </c>
      <c r="P7" s="605">
        <v>2286</v>
      </c>
      <c r="Q7" s="605">
        <v>18847</v>
      </c>
      <c r="R7" s="605">
        <v>19646</v>
      </c>
      <c r="S7" s="605">
        <v>20663</v>
      </c>
      <c r="T7" s="605">
        <v>8568</v>
      </c>
      <c r="U7" s="605">
        <v>5465</v>
      </c>
      <c r="V7" s="605">
        <v>5465</v>
      </c>
      <c r="W7" s="605">
        <v>53211</v>
      </c>
      <c r="X7" s="605">
        <v>53251</v>
      </c>
      <c r="Y7" s="605">
        <v>54793</v>
      </c>
      <c r="Z7" s="605">
        <v>1746</v>
      </c>
      <c r="AA7" s="605">
        <v>1801</v>
      </c>
      <c r="AB7" s="605">
        <v>1904</v>
      </c>
      <c r="AC7" s="605">
        <v>6547</v>
      </c>
      <c r="AD7" s="605">
        <v>6443</v>
      </c>
      <c r="AE7" s="605">
        <v>6403</v>
      </c>
      <c r="AF7" s="605">
        <v>1809</v>
      </c>
      <c r="AG7" s="605">
        <v>1922</v>
      </c>
      <c r="AH7" s="605">
        <v>2013</v>
      </c>
      <c r="AI7" s="605">
        <v>12261</v>
      </c>
      <c r="AJ7" s="605">
        <v>13072</v>
      </c>
      <c r="AK7" s="605">
        <v>13860</v>
      </c>
    </row>
    <row r="8" spans="1:38" x14ac:dyDescent="0.25">
      <c r="A8" s="604" t="s">
        <v>1143</v>
      </c>
      <c r="B8" s="605">
        <f>E8+H8</f>
        <v>42831</v>
      </c>
      <c r="C8" s="605">
        <f>F8+I8</f>
        <v>39603</v>
      </c>
      <c r="D8" s="605">
        <f>G8+J8</f>
        <v>40020</v>
      </c>
      <c r="E8" s="605">
        <v>21958</v>
      </c>
      <c r="F8" s="605">
        <v>19601</v>
      </c>
      <c r="G8" s="605">
        <v>19721</v>
      </c>
      <c r="H8" s="605">
        <f>K8+N8+Q8+T8+W8+Z8+AC8+AF8+AI8</f>
        <v>20873</v>
      </c>
      <c r="I8" s="605">
        <f>L8+O8+R8+U8+X8+AA8+AD8+AG8+AJ8</f>
        <v>20002</v>
      </c>
      <c r="J8" s="605">
        <f>M8+P8+S8+V8+Y8+AB8+AE8+AH8+AK8</f>
        <v>20299</v>
      </c>
      <c r="K8" s="606">
        <v>0</v>
      </c>
      <c r="L8" s="606">
        <v>0</v>
      </c>
      <c r="M8" s="606">
        <v>0</v>
      </c>
      <c r="N8" s="605">
        <v>0</v>
      </c>
      <c r="O8" s="605">
        <v>0</v>
      </c>
      <c r="P8" s="605">
        <v>0</v>
      </c>
      <c r="Q8" s="605">
        <v>2842</v>
      </c>
      <c r="R8" s="605">
        <v>2442</v>
      </c>
      <c r="S8" s="605">
        <v>2442</v>
      </c>
      <c r="T8" s="605">
        <v>710</v>
      </c>
      <c r="U8" s="605">
        <v>300</v>
      </c>
      <c r="V8" s="605">
        <v>300</v>
      </c>
      <c r="W8" s="605">
        <v>14718</v>
      </c>
      <c r="X8" s="605">
        <v>14738</v>
      </c>
      <c r="Y8" s="605">
        <v>15068</v>
      </c>
      <c r="Z8" s="605">
        <v>210</v>
      </c>
      <c r="AA8" s="605">
        <v>210</v>
      </c>
      <c r="AB8" s="605">
        <v>210</v>
      </c>
      <c r="AC8" s="605">
        <v>520</v>
      </c>
      <c r="AD8" s="605">
        <v>429</v>
      </c>
      <c r="AE8" s="605">
        <v>386</v>
      </c>
      <c r="AF8" s="605">
        <v>103</v>
      </c>
      <c r="AG8" s="605">
        <v>108</v>
      </c>
      <c r="AH8" s="605">
        <v>113</v>
      </c>
      <c r="AI8" s="605">
        <v>1770</v>
      </c>
      <c r="AJ8" s="605">
        <v>1775</v>
      </c>
      <c r="AK8" s="605">
        <v>1780</v>
      </c>
    </row>
    <row r="9" spans="1:38" x14ac:dyDescent="0.25">
      <c r="A9" s="604" t="s">
        <v>1113</v>
      </c>
      <c r="B9" s="606">
        <f t="shared" si="1"/>
        <v>562570</v>
      </c>
      <c r="C9" s="606">
        <f t="shared" si="1"/>
        <v>604218</v>
      </c>
      <c r="D9" s="606">
        <f t="shared" si="1"/>
        <v>619824</v>
      </c>
      <c r="E9" s="606">
        <v>539119</v>
      </c>
      <c r="F9" s="606">
        <v>580698</v>
      </c>
      <c r="G9" s="606">
        <v>596297</v>
      </c>
      <c r="H9" s="606">
        <f>K9+N9+Q9+T9+W9+Z9+AC9+AF9+AI9</f>
        <v>23451</v>
      </c>
      <c r="I9" s="606">
        <f t="shared" si="2"/>
        <v>23520</v>
      </c>
      <c r="J9" s="606">
        <f t="shared" si="2"/>
        <v>23527</v>
      </c>
      <c r="K9" s="606">
        <v>4316</v>
      </c>
      <c r="L9" s="606">
        <v>4313</v>
      </c>
      <c r="M9" s="606">
        <v>4313</v>
      </c>
      <c r="N9" s="606">
        <v>2802</v>
      </c>
      <c r="O9" s="606">
        <v>2858</v>
      </c>
      <c r="P9" s="606">
        <v>2859</v>
      </c>
      <c r="Q9" s="606">
        <v>710</v>
      </c>
      <c r="R9" s="606">
        <v>730</v>
      </c>
      <c r="S9" s="606">
        <v>730</v>
      </c>
      <c r="T9" s="606">
        <v>2627</v>
      </c>
      <c r="U9" s="606">
        <v>2599</v>
      </c>
      <c r="V9" s="606">
        <v>2599</v>
      </c>
      <c r="W9" s="606">
        <v>0</v>
      </c>
      <c r="X9" s="606">
        <v>0</v>
      </c>
      <c r="Y9" s="606">
        <v>0</v>
      </c>
      <c r="Z9" s="606">
        <v>2612</v>
      </c>
      <c r="AA9" s="606">
        <v>2617</v>
      </c>
      <c r="AB9" s="606">
        <v>2623</v>
      </c>
      <c r="AC9" s="607">
        <v>3893</v>
      </c>
      <c r="AD9" s="607">
        <v>3893</v>
      </c>
      <c r="AE9" s="607">
        <v>3893</v>
      </c>
      <c r="AF9" s="606">
        <v>5901</v>
      </c>
      <c r="AG9" s="606">
        <v>5901</v>
      </c>
      <c r="AH9" s="606">
        <v>5901</v>
      </c>
      <c r="AI9" s="606">
        <v>590</v>
      </c>
      <c r="AJ9" s="606">
        <v>609</v>
      </c>
      <c r="AK9" s="606">
        <v>609</v>
      </c>
    </row>
    <row r="10" spans="1:38" ht="43.5" x14ac:dyDescent="0.25">
      <c r="A10" s="604" t="s">
        <v>1144</v>
      </c>
      <c r="B10" s="606">
        <f t="shared" si="1"/>
        <v>0</v>
      </c>
      <c r="C10" s="606">
        <f t="shared" si="1"/>
        <v>0</v>
      </c>
      <c r="D10" s="606">
        <f t="shared" si="1"/>
        <v>0</v>
      </c>
      <c r="E10" s="606">
        <v>0</v>
      </c>
      <c r="F10" s="606">
        <v>0</v>
      </c>
      <c r="G10" s="606">
        <v>0</v>
      </c>
      <c r="H10" s="606">
        <f t="shared" si="2"/>
        <v>0</v>
      </c>
      <c r="I10" s="606">
        <f t="shared" si="2"/>
        <v>0</v>
      </c>
      <c r="J10" s="606">
        <f t="shared" si="2"/>
        <v>0</v>
      </c>
      <c r="K10" s="606">
        <v>0</v>
      </c>
      <c r="L10" s="606">
        <v>0</v>
      </c>
      <c r="M10" s="606">
        <v>0</v>
      </c>
      <c r="N10" s="606">
        <v>0</v>
      </c>
      <c r="O10" s="606">
        <v>0</v>
      </c>
      <c r="P10" s="606">
        <v>0</v>
      </c>
      <c r="Q10" s="606">
        <v>0</v>
      </c>
      <c r="R10" s="606">
        <v>0</v>
      </c>
      <c r="S10" s="606">
        <v>0</v>
      </c>
      <c r="T10" s="606">
        <v>0</v>
      </c>
      <c r="U10" s="606">
        <v>0</v>
      </c>
      <c r="V10" s="606">
        <v>0</v>
      </c>
      <c r="W10" s="606">
        <v>0</v>
      </c>
      <c r="X10" s="606">
        <v>0</v>
      </c>
      <c r="Y10" s="606">
        <v>0</v>
      </c>
      <c r="Z10" s="606">
        <v>0</v>
      </c>
      <c r="AA10" s="606">
        <v>0</v>
      </c>
      <c r="AB10" s="606">
        <v>0</v>
      </c>
      <c r="AC10" s="606">
        <v>0</v>
      </c>
      <c r="AD10" s="606">
        <v>0</v>
      </c>
      <c r="AE10" s="606">
        <v>0</v>
      </c>
      <c r="AF10" s="606">
        <v>0</v>
      </c>
      <c r="AG10" s="606">
        <v>0</v>
      </c>
      <c r="AH10" s="606">
        <v>0</v>
      </c>
      <c r="AI10" s="606">
        <v>0</v>
      </c>
      <c r="AJ10" s="606">
        <v>0</v>
      </c>
      <c r="AK10" s="606">
        <v>0</v>
      </c>
    </row>
    <row r="11" spans="1:38" x14ac:dyDescent="0.25">
      <c r="A11" s="602" t="s">
        <v>1145</v>
      </c>
      <c r="B11" s="603">
        <f>E11+H11</f>
        <v>904847.3</v>
      </c>
      <c r="C11" s="603">
        <f t="shared" si="1"/>
        <v>903872.1</v>
      </c>
      <c r="D11" s="603">
        <f t="shared" si="1"/>
        <v>926109.1</v>
      </c>
      <c r="E11" s="603">
        <f>E13+E15+E16+E17+E18+E19+E20+E21+E22+E23+E24+E25</f>
        <v>748641</v>
      </c>
      <c r="F11" s="603">
        <f>F13+F15+F16+F17+F18+F19+F20+F21+F22+F23+F24+F25+F12</f>
        <v>755818</v>
      </c>
      <c r="G11" s="603">
        <f>G13+G15+G16+G17+G18+G19+G20+G21+G22+G23+G24+G25+G12</f>
        <v>776506</v>
      </c>
      <c r="H11" s="603">
        <f>H13+H15+H16+H17+H18+H19+H20+H21+H22+H23+H24+H25+H14</f>
        <v>156206.29999999999</v>
      </c>
      <c r="I11" s="603">
        <f>I13+I15+I16+I17+I18+I19+I20+I21+I22+I23+I12+I14+I24+I25</f>
        <v>148054.1</v>
      </c>
      <c r="J11" s="603">
        <f>J13+J15+J16+J17+J18+J19+J20+J21+J22+J23+J12+J14+J24+J25</f>
        <v>149603.1</v>
      </c>
      <c r="K11" s="603">
        <f t="shared" ref="K11:N11" si="3">K13+K15+K16+K17+K18+K19+K20+K21+K22+K23+K24+K25+K14</f>
        <v>4712</v>
      </c>
      <c r="L11" s="603">
        <f>L13+L15+L16+L17+L18+L19+L20+L21+L22+L23+L24+L25+L14+L12</f>
        <v>4709</v>
      </c>
      <c r="M11" s="603">
        <f>M13+M15+M16+M17+M18+M19+M20+M21+M22+M23+M24+M25+M14+M12</f>
        <v>4709</v>
      </c>
      <c r="N11" s="603">
        <f t="shared" si="3"/>
        <v>5852.3</v>
      </c>
      <c r="O11" s="603">
        <f>O13+O15+O16+O17+O18+O19+O20+O21+O22+O23+O24+O25+O14+O12</f>
        <v>5373.1</v>
      </c>
      <c r="P11" s="603">
        <f>P13+P15+P16+P17+P18+P19+P20+P21+P22+P23+P24+P25+P14+P12</f>
        <v>5373.1</v>
      </c>
      <c r="Q11" s="603">
        <f>Q13+Q15+Q16+Q17+Q18+Q19+Q20+Q21+Q22+Q23+Q24+Q25+Q14</f>
        <v>21679</v>
      </c>
      <c r="R11" s="603">
        <f>R13+R15+R16+R17+R18+R19+R20+R21+R22+R23+R24+R25+R12+R14</f>
        <v>22098</v>
      </c>
      <c r="S11" s="603">
        <f>S13+S15+S16+S17+S18+S19+S20+S21+S22+S23+S24+S25+S12+S14</f>
        <v>20514</v>
      </c>
      <c r="T11" s="603">
        <f t="shared" ref="T11:Z11" si="4">T13+T15+T16+T17+T18+T19+T20+T21+T22+T23+T24+T25+T14</f>
        <v>11905</v>
      </c>
      <c r="U11" s="603">
        <f>U13+U15+U16+U17+U18+U19+U20+U21+U22+U23+U24+U25+U14+U12</f>
        <v>8364</v>
      </c>
      <c r="V11" s="603">
        <f>V13+V15+V16+V17+V18+V19+V20+V21+V22+V23+V24+V25+V14+V12</f>
        <v>8364</v>
      </c>
      <c r="W11" s="603">
        <f t="shared" si="4"/>
        <v>73610</v>
      </c>
      <c r="X11" s="603">
        <f>X13+X15+X16+X17+X18+X19+X20+X21+X22+X23+X24+X25+X14+X12</f>
        <v>68323</v>
      </c>
      <c r="Y11" s="603">
        <f>Y13+Y15+Y16+Y17+Y18+Y19+Y20+Y21+Y22+Y23+Y24+Y25+Y14+Y12</f>
        <v>70442</v>
      </c>
      <c r="Z11" s="603">
        <f t="shared" si="4"/>
        <v>4664</v>
      </c>
      <c r="AA11" s="603">
        <f>AA13+AA15+AA16+AA17+AA18+AA19+AA20+AA21+AA22+AA23+AA24+AA25+AA12+AA14</f>
        <v>4728</v>
      </c>
      <c r="AB11" s="603">
        <f>AB13+AB15+AB16+AB17+AB18+AB19+AB20+AB21+AB22+AB23+AB24+AB25+AB12+AB14</f>
        <v>4842</v>
      </c>
      <c r="AC11" s="603">
        <f t="shared" ref="AC11:AI11" si="5">AC13+AC15+AC16+AC17+AC18+AC19+AC20+AC21+AC22+AC23+AC24+AC25+AC14</f>
        <v>10959</v>
      </c>
      <c r="AD11" s="603">
        <f>AD13+AD15+AD16+AD17+AD18+AD19+AD20+AD21+AD22+AD23+AD24+AD25+AD14+AD12</f>
        <v>10675</v>
      </c>
      <c r="AE11" s="603">
        <f>AE13+AE15+AE16+AE17+AE18+AE19+AE20+AE21+AE22+AE23+AE24+AE25+AE14+AE12</f>
        <v>10682</v>
      </c>
      <c r="AF11" s="603">
        <f t="shared" si="5"/>
        <v>8204</v>
      </c>
      <c r="AG11" s="603">
        <f>AG13+AG15+AG16+AG17+AG18+AG19+AG20+AG21+AG22+AG23+AG24+AG25+AG14+AG12</f>
        <v>8328</v>
      </c>
      <c r="AH11" s="603">
        <f>AH13+AH15+AH16+AH17+AH18+AH19+AH20+AH21+AH22+AH23+AH24+AH25+AH14+AH12</f>
        <v>8428</v>
      </c>
      <c r="AI11" s="603">
        <f t="shared" si="5"/>
        <v>14621</v>
      </c>
      <c r="AJ11" s="603">
        <f>AJ13+AJ15+AJ16+AJ17+AJ18+AJ19+AJ20+AJ21+AJ22+AJ23+AJ24+AJ25+AJ14+AJ12</f>
        <v>15456</v>
      </c>
      <c r="AK11" s="603">
        <f>AK13+AK15+AK16+AK17+AK18+AK19+AK20+AK21+AK22+AK23+AK24+AK25+AK14+AK12</f>
        <v>16249</v>
      </c>
    </row>
    <row r="12" spans="1:38" s="18" customFormat="1" x14ac:dyDescent="0.25">
      <c r="A12" s="604" t="s">
        <v>110</v>
      </c>
      <c r="B12" s="605"/>
      <c r="C12" s="603">
        <f t="shared" si="1"/>
        <v>5169</v>
      </c>
      <c r="D12" s="603">
        <f t="shared" si="1"/>
        <v>10100</v>
      </c>
      <c r="E12" s="605">
        <v>0</v>
      </c>
      <c r="F12" s="605">
        <v>4378</v>
      </c>
      <c r="G12" s="605">
        <v>9010</v>
      </c>
      <c r="H12" s="605"/>
      <c r="I12" s="605">
        <f>L12+O12+R12+U12+X12+AA12+AD12+AG12+AJ12</f>
        <v>791</v>
      </c>
      <c r="J12" s="605">
        <f>M12+P12+S12+V12+Y12+AB12+AE12+AH12+AK12</f>
        <v>1090</v>
      </c>
      <c r="K12" s="605"/>
      <c r="L12" s="605">
        <v>0</v>
      </c>
      <c r="M12" s="605">
        <v>0</v>
      </c>
      <c r="N12" s="606">
        <v>0</v>
      </c>
      <c r="O12" s="606">
        <v>129</v>
      </c>
      <c r="P12" s="606">
        <v>252</v>
      </c>
      <c r="Q12" s="605">
        <v>0</v>
      </c>
      <c r="R12" s="605">
        <v>0</v>
      </c>
      <c r="S12" s="605">
        <v>0</v>
      </c>
      <c r="T12" s="606">
        <v>0</v>
      </c>
      <c r="U12" s="606">
        <v>154</v>
      </c>
      <c r="V12" s="606">
        <v>330</v>
      </c>
      <c r="W12" s="606"/>
      <c r="X12" s="606">
        <v>0</v>
      </c>
      <c r="Y12" s="606">
        <v>0</v>
      </c>
      <c r="Z12" s="606"/>
      <c r="AA12" s="605">
        <v>0</v>
      </c>
      <c r="AB12" s="605">
        <v>0</v>
      </c>
      <c r="AC12" s="606"/>
      <c r="AD12" s="606">
        <v>508</v>
      </c>
      <c r="AE12" s="606">
        <v>508</v>
      </c>
      <c r="AF12" s="605"/>
      <c r="AG12" s="605"/>
      <c r="AH12" s="605"/>
      <c r="AI12" s="606">
        <v>0</v>
      </c>
      <c r="AJ12" s="606">
        <v>0</v>
      </c>
      <c r="AK12" s="606">
        <v>0</v>
      </c>
    </row>
    <row r="13" spans="1:38" x14ac:dyDescent="0.25">
      <c r="A13" s="604" t="s">
        <v>111</v>
      </c>
      <c r="B13" s="605">
        <f>E13+H13</f>
        <v>161524</v>
      </c>
      <c r="C13" s="605">
        <f t="shared" si="1"/>
        <v>152828</v>
      </c>
      <c r="D13" s="605">
        <f t="shared" si="1"/>
        <v>156114</v>
      </c>
      <c r="E13" s="605">
        <v>88100</v>
      </c>
      <c r="F13" s="605">
        <v>81966</v>
      </c>
      <c r="G13" s="605">
        <v>81936</v>
      </c>
      <c r="H13" s="605">
        <f t="shared" ref="H13:J25" si="6">K13+N13+Q13+T13+W13+Z13+AC13+AF13+AI13</f>
        <v>73424</v>
      </c>
      <c r="I13" s="605">
        <f t="shared" si="6"/>
        <v>70862</v>
      </c>
      <c r="J13" s="605">
        <f t="shared" si="6"/>
        <v>74178</v>
      </c>
      <c r="K13" s="605">
        <v>2378</v>
      </c>
      <c r="L13" s="605">
        <v>2329</v>
      </c>
      <c r="M13" s="605">
        <v>2394</v>
      </c>
      <c r="N13" s="605">
        <v>2764</v>
      </c>
      <c r="O13" s="605">
        <v>2632</v>
      </c>
      <c r="P13" s="605">
        <v>2510</v>
      </c>
      <c r="Q13" s="605">
        <v>8645</v>
      </c>
      <c r="R13" s="605">
        <v>8671</v>
      </c>
      <c r="S13" s="605">
        <v>8715</v>
      </c>
      <c r="T13" s="605">
        <v>4797</v>
      </c>
      <c r="U13" s="605">
        <v>4085</v>
      </c>
      <c r="V13" s="605">
        <v>3918</v>
      </c>
      <c r="W13" s="605">
        <v>37160</v>
      </c>
      <c r="X13" s="605">
        <v>35611</v>
      </c>
      <c r="Y13" s="605">
        <v>39109</v>
      </c>
      <c r="Z13" s="605">
        <v>3453</v>
      </c>
      <c r="AA13" s="605">
        <v>3453</v>
      </c>
      <c r="AB13" s="605">
        <v>3453</v>
      </c>
      <c r="AC13" s="605">
        <v>4239</v>
      </c>
      <c r="AD13" s="605">
        <v>4229</v>
      </c>
      <c r="AE13" s="605">
        <v>4229</v>
      </c>
      <c r="AF13" s="605">
        <v>3317</v>
      </c>
      <c r="AG13" s="605">
        <v>3322</v>
      </c>
      <c r="AH13" s="605">
        <v>3312</v>
      </c>
      <c r="AI13" s="605">
        <v>6671</v>
      </c>
      <c r="AJ13" s="605">
        <v>6530</v>
      </c>
      <c r="AK13" s="605">
        <v>6538</v>
      </c>
    </row>
    <row r="14" spans="1:38" x14ac:dyDescent="0.25">
      <c r="A14" s="604" t="s">
        <v>1146</v>
      </c>
      <c r="B14" s="605">
        <f>E14+H14</f>
        <v>1650</v>
      </c>
      <c r="C14" s="605">
        <f t="shared" si="1"/>
        <v>1694</v>
      </c>
      <c r="D14" s="605">
        <f t="shared" si="1"/>
        <v>1698</v>
      </c>
      <c r="E14" s="605">
        <v>0</v>
      </c>
      <c r="F14" s="605">
        <v>0</v>
      </c>
      <c r="G14" s="608">
        <f t="shared" ref="G14:G18" si="7">F14*104.3%</f>
        <v>0</v>
      </c>
      <c r="H14" s="605">
        <f t="shared" si="6"/>
        <v>1650</v>
      </c>
      <c r="I14" s="605">
        <f t="shared" si="6"/>
        <v>1694</v>
      </c>
      <c r="J14" s="605">
        <f t="shared" si="6"/>
        <v>1698</v>
      </c>
      <c r="K14" s="605">
        <v>82</v>
      </c>
      <c r="L14" s="605">
        <v>85</v>
      </c>
      <c r="M14" s="605">
        <v>85</v>
      </c>
      <c r="N14" s="605">
        <v>82</v>
      </c>
      <c r="O14" s="605">
        <v>85</v>
      </c>
      <c r="P14" s="605">
        <v>85</v>
      </c>
      <c r="Q14" s="605">
        <v>385</v>
      </c>
      <c r="R14" s="605">
        <v>399</v>
      </c>
      <c r="S14" s="605">
        <v>399</v>
      </c>
      <c r="T14" s="605">
        <v>128</v>
      </c>
      <c r="U14" s="605">
        <v>133</v>
      </c>
      <c r="V14" s="605">
        <v>133</v>
      </c>
      <c r="W14" s="605">
        <v>0</v>
      </c>
      <c r="X14" s="605">
        <v>0</v>
      </c>
      <c r="Y14" s="605">
        <v>0</v>
      </c>
      <c r="Z14" s="605">
        <v>95</v>
      </c>
      <c r="AA14" s="605">
        <v>100</v>
      </c>
      <c r="AB14" s="605">
        <v>104</v>
      </c>
      <c r="AC14" s="605">
        <v>397</v>
      </c>
      <c r="AD14" s="605">
        <v>397</v>
      </c>
      <c r="AE14" s="605">
        <v>397</v>
      </c>
      <c r="AF14" s="605">
        <v>96</v>
      </c>
      <c r="AG14" s="605">
        <v>96</v>
      </c>
      <c r="AH14" s="605">
        <v>96</v>
      </c>
      <c r="AI14" s="605">
        <v>385</v>
      </c>
      <c r="AJ14" s="605">
        <v>399</v>
      </c>
      <c r="AK14" s="605">
        <v>399</v>
      </c>
    </row>
    <row r="15" spans="1:38" ht="43.5" x14ac:dyDescent="0.25">
      <c r="A15" s="604" t="s">
        <v>112</v>
      </c>
      <c r="B15" s="605">
        <f>E15+H15</f>
        <v>6446</v>
      </c>
      <c r="C15" s="605">
        <f t="shared" si="1"/>
        <v>6181</v>
      </c>
      <c r="D15" s="605">
        <f t="shared" si="1"/>
        <v>5115</v>
      </c>
      <c r="E15" s="605">
        <v>4246</v>
      </c>
      <c r="F15" s="605">
        <v>4570</v>
      </c>
      <c r="G15" s="608">
        <v>3514</v>
      </c>
      <c r="H15" s="605">
        <f t="shared" si="6"/>
        <v>2200</v>
      </c>
      <c r="I15" s="605">
        <f t="shared" si="6"/>
        <v>1611</v>
      </c>
      <c r="J15" s="605">
        <f t="shared" si="6"/>
        <v>1601</v>
      </c>
      <c r="K15" s="605">
        <v>120</v>
      </c>
      <c r="L15" s="605">
        <v>100</v>
      </c>
      <c r="M15" s="605">
        <v>60</v>
      </c>
      <c r="N15" s="605">
        <v>110</v>
      </c>
      <c r="O15" s="605">
        <v>35</v>
      </c>
      <c r="P15" s="605">
        <v>35</v>
      </c>
      <c r="Q15" s="605">
        <v>620</v>
      </c>
      <c r="R15" s="605">
        <v>161</v>
      </c>
      <c r="S15" s="605">
        <v>195</v>
      </c>
      <c r="T15" s="605">
        <v>365</v>
      </c>
      <c r="U15" s="605">
        <v>248</v>
      </c>
      <c r="V15" s="605">
        <v>218</v>
      </c>
      <c r="W15" s="605">
        <v>605</v>
      </c>
      <c r="X15" s="605">
        <v>637</v>
      </c>
      <c r="Y15" s="605">
        <v>658</v>
      </c>
      <c r="Z15" s="605">
        <v>100</v>
      </c>
      <c r="AA15" s="605">
        <v>100</v>
      </c>
      <c r="AB15" s="605">
        <v>100</v>
      </c>
      <c r="AC15" s="605">
        <v>135</v>
      </c>
      <c r="AD15" s="605">
        <v>165</v>
      </c>
      <c r="AE15" s="605">
        <v>165</v>
      </c>
      <c r="AF15" s="605">
        <v>30</v>
      </c>
      <c r="AG15" s="605">
        <v>50</v>
      </c>
      <c r="AH15" s="605">
        <v>50</v>
      </c>
      <c r="AI15" s="605">
        <v>115</v>
      </c>
      <c r="AJ15" s="605">
        <v>115</v>
      </c>
      <c r="AK15" s="605">
        <v>120</v>
      </c>
    </row>
    <row r="16" spans="1:38" x14ac:dyDescent="0.25">
      <c r="A16" s="604" t="s">
        <v>113</v>
      </c>
      <c r="B16" s="605">
        <f>E16+H16</f>
        <v>53742</v>
      </c>
      <c r="C16" s="605">
        <f t="shared" si="1"/>
        <v>39776</v>
      </c>
      <c r="D16" s="605">
        <f t="shared" si="1"/>
        <v>36017</v>
      </c>
      <c r="E16" s="606">
        <v>39064</v>
      </c>
      <c r="F16" s="606">
        <v>26209</v>
      </c>
      <c r="G16" s="607">
        <v>22392</v>
      </c>
      <c r="H16" s="605">
        <f t="shared" si="6"/>
        <v>14678</v>
      </c>
      <c r="I16" s="605">
        <f t="shared" si="6"/>
        <v>13567</v>
      </c>
      <c r="J16" s="605">
        <f t="shared" si="6"/>
        <v>13625</v>
      </c>
      <c r="K16" s="606">
        <v>0</v>
      </c>
      <c r="L16" s="606">
        <v>0</v>
      </c>
      <c r="M16" s="606">
        <v>0</v>
      </c>
      <c r="N16" s="606">
        <v>0</v>
      </c>
      <c r="O16" s="606">
        <v>0</v>
      </c>
      <c r="P16" s="606">
        <v>0</v>
      </c>
      <c r="Q16" s="605">
        <v>2468</v>
      </c>
      <c r="R16" s="605">
        <v>2485</v>
      </c>
      <c r="S16" s="605">
        <v>2500</v>
      </c>
      <c r="T16" s="605">
        <v>0</v>
      </c>
      <c r="U16" s="605">
        <v>0</v>
      </c>
      <c r="V16" s="605">
        <v>0</v>
      </c>
      <c r="W16" s="605">
        <v>10535</v>
      </c>
      <c r="X16" s="605">
        <v>9385</v>
      </c>
      <c r="Y16" s="605">
        <v>9385</v>
      </c>
      <c r="Z16" s="606">
        <v>0</v>
      </c>
      <c r="AA16" s="606">
        <v>0</v>
      </c>
      <c r="AB16" s="606">
        <v>0</v>
      </c>
      <c r="AC16" s="605">
        <v>32</v>
      </c>
      <c r="AD16" s="605">
        <v>18</v>
      </c>
      <c r="AE16" s="605">
        <v>18</v>
      </c>
      <c r="AF16" s="606">
        <v>15</v>
      </c>
      <c r="AG16" s="606">
        <v>15</v>
      </c>
      <c r="AH16" s="606">
        <v>15</v>
      </c>
      <c r="AI16" s="605">
        <v>1628</v>
      </c>
      <c r="AJ16" s="606">
        <v>1664</v>
      </c>
      <c r="AK16" s="606">
        <v>1707</v>
      </c>
    </row>
    <row r="17" spans="1:38" ht="29.25" x14ac:dyDescent="0.25">
      <c r="A17" s="604" t="s">
        <v>114</v>
      </c>
      <c r="B17" s="605">
        <f>E17+H17</f>
        <v>113866</v>
      </c>
      <c r="C17" s="605">
        <f t="shared" si="1"/>
        <v>112542</v>
      </c>
      <c r="D17" s="605">
        <f t="shared" si="1"/>
        <v>109066</v>
      </c>
      <c r="E17" s="606">
        <f>74327+2351</f>
        <v>76678</v>
      </c>
      <c r="F17" s="606">
        <v>79877</v>
      </c>
      <c r="G17" s="607">
        <v>79877</v>
      </c>
      <c r="H17" s="605">
        <f t="shared" si="6"/>
        <v>37188</v>
      </c>
      <c r="I17" s="605">
        <f t="shared" si="6"/>
        <v>32665</v>
      </c>
      <c r="J17" s="605">
        <f t="shared" si="6"/>
        <v>29189</v>
      </c>
      <c r="K17" s="605">
        <v>781</v>
      </c>
      <c r="L17" s="605">
        <v>844</v>
      </c>
      <c r="M17" s="605">
        <v>706</v>
      </c>
      <c r="N17" s="605">
        <v>530</v>
      </c>
      <c r="O17" s="605">
        <v>126</v>
      </c>
      <c r="P17" s="605">
        <v>125</v>
      </c>
      <c r="Q17" s="605">
        <v>6261</v>
      </c>
      <c r="R17" s="605">
        <v>7301</v>
      </c>
      <c r="S17" s="605">
        <v>5591</v>
      </c>
      <c r="T17" s="605">
        <v>3742</v>
      </c>
      <c r="U17" s="605">
        <v>1700</v>
      </c>
      <c r="V17" s="605">
        <v>1723</v>
      </c>
      <c r="W17" s="605">
        <v>17770</v>
      </c>
      <c r="X17" s="605">
        <v>14100</v>
      </c>
      <c r="Y17" s="605">
        <v>12100</v>
      </c>
      <c r="Z17" s="606">
        <v>205</v>
      </c>
      <c r="AA17" s="606">
        <v>205</v>
      </c>
      <c r="AB17" s="606">
        <v>205</v>
      </c>
      <c r="AC17" s="605">
        <v>2760</v>
      </c>
      <c r="AD17" s="605">
        <v>1935</v>
      </c>
      <c r="AE17" s="605">
        <v>1769</v>
      </c>
      <c r="AF17" s="605">
        <v>2213</v>
      </c>
      <c r="AG17" s="605">
        <v>2572</v>
      </c>
      <c r="AH17" s="605">
        <v>2576</v>
      </c>
      <c r="AI17" s="605">
        <v>2926</v>
      </c>
      <c r="AJ17" s="605">
        <v>3882</v>
      </c>
      <c r="AK17" s="605">
        <v>4394</v>
      </c>
    </row>
    <row r="18" spans="1:38" x14ac:dyDescent="0.25">
      <c r="A18" s="604" t="s">
        <v>115</v>
      </c>
      <c r="B18" s="606">
        <f t="shared" si="1"/>
        <v>0</v>
      </c>
      <c r="C18" s="606">
        <f t="shared" si="1"/>
        <v>0</v>
      </c>
      <c r="D18" s="606">
        <f t="shared" si="1"/>
        <v>0</v>
      </c>
      <c r="E18" s="606">
        <v>0</v>
      </c>
      <c r="F18" s="606">
        <v>0</v>
      </c>
      <c r="G18" s="607">
        <f t="shared" si="7"/>
        <v>0</v>
      </c>
      <c r="H18" s="605">
        <f t="shared" si="6"/>
        <v>0</v>
      </c>
      <c r="I18" s="606">
        <f t="shared" si="6"/>
        <v>0</v>
      </c>
      <c r="J18" s="606">
        <f t="shared" si="6"/>
        <v>0</v>
      </c>
      <c r="K18" s="606">
        <v>0</v>
      </c>
      <c r="L18" s="606">
        <v>0</v>
      </c>
      <c r="M18" s="606">
        <v>0</v>
      </c>
      <c r="N18" s="606">
        <v>0</v>
      </c>
      <c r="O18" s="606">
        <v>0</v>
      </c>
      <c r="P18" s="606">
        <v>0</v>
      </c>
      <c r="Q18" s="606">
        <v>0</v>
      </c>
      <c r="R18" s="606">
        <v>0</v>
      </c>
      <c r="S18" s="606">
        <v>0</v>
      </c>
      <c r="T18" s="606">
        <v>0</v>
      </c>
      <c r="U18" s="606">
        <v>0</v>
      </c>
      <c r="V18" s="606">
        <v>0</v>
      </c>
      <c r="W18" s="606">
        <v>0</v>
      </c>
      <c r="X18" s="606">
        <v>0</v>
      </c>
      <c r="Y18" s="606">
        <v>0</v>
      </c>
      <c r="Z18" s="606">
        <v>0</v>
      </c>
      <c r="AA18" s="606">
        <v>0</v>
      </c>
      <c r="AB18" s="606">
        <v>0</v>
      </c>
      <c r="AC18" s="606">
        <v>0</v>
      </c>
      <c r="AD18" s="606">
        <v>0</v>
      </c>
      <c r="AE18" s="606">
        <v>0</v>
      </c>
      <c r="AF18" s="606">
        <v>0</v>
      </c>
      <c r="AG18" s="606">
        <v>0</v>
      </c>
      <c r="AH18" s="606">
        <v>0</v>
      </c>
      <c r="AI18" s="606">
        <v>0</v>
      </c>
      <c r="AJ18" s="606">
        <v>0</v>
      </c>
      <c r="AK18" s="606">
        <v>0</v>
      </c>
    </row>
    <row r="19" spans="1:38" x14ac:dyDescent="0.25">
      <c r="A19" s="604" t="s">
        <v>116</v>
      </c>
      <c r="B19" s="605">
        <f>E19+H19</f>
        <v>461294.3</v>
      </c>
      <c r="C19" s="605">
        <f t="shared" si="1"/>
        <v>482848.1</v>
      </c>
      <c r="D19" s="605">
        <f t="shared" si="1"/>
        <v>504715.1</v>
      </c>
      <c r="E19" s="605">
        <v>460689</v>
      </c>
      <c r="F19" s="605">
        <v>482193</v>
      </c>
      <c r="G19" s="608">
        <v>504060</v>
      </c>
      <c r="H19" s="605">
        <f t="shared" si="6"/>
        <v>605.29999999999995</v>
      </c>
      <c r="I19" s="605">
        <f t="shared" si="6"/>
        <v>655.1</v>
      </c>
      <c r="J19" s="605">
        <f t="shared" si="6"/>
        <v>655.1</v>
      </c>
      <c r="K19" s="606">
        <v>0</v>
      </c>
      <c r="L19" s="606">
        <v>0</v>
      </c>
      <c r="M19" s="606">
        <v>0</v>
      </c>
      <c r="N19" s="606">
        <v>0.3</v>
      </c>
      <c r="O19" s="606">
        <v>0.1</v>
      </c>
      <c r="P19" s="606">
        <v>0.1</v>
      </c>
      <c r="Q19" s="606">
        <v>0</v>
      </c>
      <c r="R19" s="606">
        <v>0</v>
      </c>
      <c r="S19" s="606">
        <v>0</v>
      </c>
      <c r="T19" s="606">
        <v>20</v>
      </c>
      <c r="U19" s="606">
        <v>20</v>
      </c>
      <c r="V19" s="606">
        <v>20</v>
      </c>
      <c r="W19" s="605">
        <v>550</v>
      </c>
      <c r="X19" s="605">
        <v>600</v>
      </c>
      <c r="Y19" s="605">
        <v>600</v>
      </c>
      <c r="Z19" s="606">
        <v>0</v>
      </c>
      <c r="AA19" s="606">
        <v>0</v>
      </c>
      <c r="AB19" s="606">
        <v>0</v>
      </c>
      <c r="AC19" s="605">
        <v>30</v>
      </c>
      <c r="AD19" s="605">
        <v>30</v>
      </c>
      <c r="AE19" s="605">
        <v>30</v>
      </c>
      <c r="AF19" s="606">
        <v>0</v>
      </c>
      <c r="AG19" s="606">
        <v>0</v>
      </c>
      <c r="AH19" s="606">
        <v>0</v>
      </c>
      <c r="AI19" s="606">
        <v>5</v>
      </c>
      <c r="AJ19" s="606">
        <v>5</v>
      </c>
      <c r="AK19" s="606">
        <v>5</v>
      </c>
    </row>
    <row r="20" spans="1:38" x14ac:dyDescent="0.25">
      <c r="A20" s="604" t="s">
        <v>1147</v>
      </c>
      <c r="B20" s="605">
        <f>E20+H20</f>
        <v>44227</v>
      </c>
      <c r="C20" s="605">
        <f t="shared" si="1"/>
        <v>42148</v>
      </c>
      <c r="D20" s="605">
        <f t="shared" si="1"/>
        <v>43199</v>
      </c>
      <c r="E20" s="605">
        <v>22134</v>
      </c>
      <c r="F20" s="605">
        <v>20534</v>
      </c>
      <c r="G20" s="608">
        <v>20534</v>
      </c>
      <c r="H20" s="605">
        <f t="shared" si="6"/>
        <v>22093</v>
      </c>
      <c r="I20" s="605">
        <f t="shared" si="6"/>
        <v>21614</v>
      </c>
      <c r="J20" s="605">
        <f t="shared" si="6"/>
        <v>22665</v>
      </c>
      <c r="K20" s="605">
        <v>1280</v>
      </c>
      <c r="L20" s="605">
        <v>1280</v>
      </c>
      <c r="M20" s="605">
        <v>1400</v>
      </c>
      <c r="N20" s="605">
        <v>2116</v>
      </c>
      <c r="O20" s="605">
        <v>2116</v>
      </c>
      <c r="P20" s="605">
        <v>2116</v>
      </c>
      <c r="Q20" s="605">
        <v>2819</v>
      </c>
      <c r="R20" s="605">
        <v>2600</v>
      </c>
      <c r="S20" s="605">
        <v>2633</v>
      </c>
      <c r="T20" s="605">
        <v>2850</v>
      </c>
      <c r="U20" s="605">
        <v>2020</v>
      </c>
      <c r="V20" s="605">
        <v>2019</v>
      </c>
      <c r="W20" s="605">
        <v>6000</v>
      </c>
      <c r="X20" s="605">
        <v>6800</v>
      </c>
      <c r="Y20" s="605">
        <v>7300</v>
      </c>
      <c r="Z20" s="605">
        <v>811</v>
      </c>
      <c r="AA20" s="605">
        <v>870</v>
      </c>
      <c r="AB20" s="605">
        <v>980</v>
      </c>
      <c r="AC20" s="605">
        <v>3041</v>
      </c>
      <c r="AD20" s="605">
        <v>3068</v>
      </c>
      <c r="AE20" s="605">
        <v>3241</v>
      </c>
      <c r="AF20" s="605">
        <v>2417</v>
      </c>
      <c r="AG20" s="605">
        <v>2152</v>
      </c>
      <c r="AH20" s="605">
        <v>2248</v>
      </c>
      <c r="AI20" s="605">
        <v>759</v>
      </c>
      <c r="AJ20" s="605">
        <v>708</v>
      </c>
      <c r="AK20" s="605">
        <v>728</v>
      </c>
    </row>
    <row r="21" spans="1:38" x14ac:dyDescent="0.25">
      <c r="A21" s="604" t="s">
        <v>117</v>
      </c>
      <c r="B21" s="607">
        <f t="shared" si="1"/>
        <v>0</v>
      </c>
      <c r="C21" s="607">
        <f t="shared" si="1"/>
        <v>0</v>
      </c>
      <c r="D21" s="607">
        <f t="shared" si="1"/>
        <v>0</v>
      </c>
      <c r="E21" s="607">
        <v>0</v>
      </c>
      <c r="F21" s="606">
        <v>0</v>
      </c>
      <c r="G21" s="607">
        <v>0</v>
      </c>
      <c r="H21" s="605">
        <f t="shared" si="6"/>
        <v>0</v>
      </c>
      <c r="I21" s="606">
        <f t="shared" si="6"/>
        <v>0</v>
      </c>
      <c r="J21" s="606">
        <f t="shared" si="6"/>
        <v>0</v>
      </c>
      <c r="K21" s="606"/>
      <c r="L21" s="606"/>
      <c r="M21" s="606"/>
      <c r="N21" s="606">
        <v>0</v>
      </c>
      <c r="O21" s="606">
        <v>0</v>
      </c>
      <c r="P21" s="606">
        <v>0</v>
      </c>
      <c r="Q21" s="606">
        <v>0</v>
      </c>
      <c r="R21" s="606">
        <v>0</v>
      </c>
      <c r="S21" s="606">
        <v>0</v>
      </c>
      <c r="T21" s="606">
        <v>0</v>
      </c>
      <c r="U21" s="606">
        <v>0</v>
      </c>
      <c r="V21" s="606">
        <v>0</v>
      </c>
      <c r="W21" s="606">
        <v>0</v>
      </c>
      <c r="X21" s="606">
        <v>0</v>
      </c>
      <c r="Y21" s="606">
        <v>0</v>
      </c>
      <c r="Z21" s="606">
        <v>0</v>
      </c>
      <c r="AA21" s="606">
        <v>0</v>
      </c>
      <c r="AB21" s="606">
        <v>0</v>
      </c>
      <c r="AC21" s="606">
        <v>0</v>
      </c>
      <c r="AD21" s="606">
        <v>0</v>
      </c>
      <c r="AE21" s="606">
        <v>0</v>
      </c>
      <c r="AF21" s="606">
        <v>0</v>
      </c>
      <c r="AG21" s="606">
        <v>0</v>
      </c>
      <c r="AH21" s="606">
        <v>0</v>
      </c>
      <c r="AI21" s="606">
        <v>0</v>
      </c>
      <c r="AJ21" s="606">
        <v>0</v>
      </c>
      <c r="AK21" s="606">
        <v>0</v>
      </c>
    </row>
    <row r="22" spans="1:38" x14ac:dyDescent="0.25">
      <c r="A22" s="604" t="s">
        <v>118</v>
      </c>
      <c r="B22" s="605">
        <f>E22+H22</f>
        <v>35182</v>
      </c>
      <c r="C22" s="605">
        <f t="shared" si="1"/>
        <v>35337</v>
      </c>
      <c r="D22" s="605">
        <f t="shared" si="1"/>
        <v>34513</v>
      </c>
      <c r="E22" s="605">
        <v>33382</v>
      </c>
      <c r="F22" s="605">
        <v>33432</v>
      </c>
      <c r="G22" s="608">
        <v>32505</v>
      </c>
      <c r="H22" s="605">
        <f t="shared" si="6"/>
        <v>1800</v>
      </c>
      <c r="I22" s="605">
        <f t="shared" si="6"/>
        <v>1905</v>
      </c>
      <c r="J22" s="605">
        <f t="shared" si="6"/>
        <v>2008</v>
      </c>
      <c r="K22" s="605">
        <v>71</v>
      </c>
      <c r="L22" s="605">
        <v>71</v>
      </c>
      <c r="M22" s="605">
        <v>64</v>
      </c>
      <c r="N22" s="606">
        <v>250</v>
      </c>
      <c r="O22" s="606">
        <v>250</v>
      </c>
      <c r="P22" s="606">
        <v>250</v>
      </c>
      <c r="Q22" s="605">
        <v>162</v>
      </c>
      <c r="R22" s="605">
        <v>162</v>
      </c>
      <c r="S22" s="605">
        <v>162</v>
      </c>
      <c r="T22" s="606">
        <v>0</v>
      </c>
      <c r="U22" s="606">
        <v>0</v>
      </c>
      <c r="V22" s="606">
        <v>0</v>
      </c>
      <c r="W22" s="605">
        <v>890</v>
      </c>
      <c r="X22" s="605">
        <v>990</v>
      </c>
      <c r="Y22" s="605">
        <v>1090</v>
      </c>
      <c r="Z22" s="606">
        <v>0</v>
      </c>
      <c r="AA22" s="606">
        <v>0</v>
      </c>
      <c r="AB22" s="606">
        <v>0</v>
      </c>
      <c r="AC22" s="605">
        <v>50</v>
      </c>
      <c r="AD22" s="605">
        <v>50</v>
      </c>
      <c r="AE22" s="605">
        <v>50</v>
      </c>
      <c r="AF22" s="605">
        <v>116</v>
      </c>
      <c r="AG22" s="605">
        <v>121</v>
      </c>
      <c r="AH22" s="605">
        <v>131</v>
      </c>
      <c r="AI22" s="605">
        <v>261</v>
      </c>
      <c r="AJ22" s="605">
        <v>261</v>
      </c>
      <c r="AK22" s="605">
        <v>261</v>
      </c>
    </row>
    <row r="23" spans="1:38" x14ac:dyDescent="0.25">
      <c r="A23" s="604" t="s">
        <v>119</v>
      </c>
      <c r="B23" s="605">
        <f>E23+H23</f>
        <v>4488</v>
      </c>
      <c r="C23" s="605">
        <f t="shared" si="1"/>
        <v>2890</v>
      </c>
      <c r="D23" s="605">
        <f t="shared" si="1"/>
        <v>3094</v>
      </c>
      <c r="E23" s="606">
        <v>1970</v>
      </c>
      <c r="F23" s="606">
        <v>250</v>
      </c>
      <c r="G23" s="607">
        <v>250</v>
      </c>
      <c r="H23" s="605">
        <f t="shared" si="6"/>
        <v>2518</v>
      </c>
      <c r="I23" s="605">
        <f t="shared" si="6"/>
        <v>2640</v>
      </c>
      <c r="J23" s="605">
        <f t="shared" si="6"/>
        <v>2844</v>
      </c>
      <c r="K23" s="606"/>
      <c r="L23" s="606"/>
      <c r="M23" s="606"/>
      <c r="N23" s="606">
        <v>0</v>
      </c>
      <c r="O23" s="606">
        <v>0</v>
      </c>
      <c r="P23" s="606">
        <v>0</v>
      </c>
      <c r="Q23" s="605">
        <v>269</v>
      </c>
      <c r="R23" s="605">
        <v>269</v>
      </c>
      <c r="S23" s="605">
        <v>269</v>
      </c>
      <c r="T23" s="606">
        <v>3</v>
      </c>
      <c r="U23" s="606">
        <v>4</v>
      </c>
      <c r="V23" s="606">
        <v>3</v>
      </c>
      <c r="W23" s="605">
        <v>100</v>
      </c>
      <c r="X23" s="605">
        <v>200</v>
      </c>
      <c r="Y23" s="605">
        <v>200</v>
      </c>
      <c r="Z23" s="606">
        <v>0</v>
      </c>
      <c r="AA23" s="606"/>
      <c r="AB23" s="606">
        <v>0</v>
      </c>
      <c r="AC23" s="605">
        <v>275</v>
      </c>
      <c r="AD23" s="605">
        <v>275</v>
      </c>
      <c r="AE23" s="605">
        <v>275</v>
      </c>
      <c r="AF23" s="606">
        <v>0</v>
      </c>
      <c r="AG23" s="606">
        <v>0</v>
      </c>
      <c r="AH23" s="606">
        <v>0</v>
      </c>
      <c r="AI23" s="605">
        <v>1871</v>
      </c>
      <c r="AJ23" s="605">
        <v>1892</v>
      </c>
      <c r="AK23" s="605">
        <v>2097</v>
      </c>
    </row>
    <row r="24" spans="1:38" ht="29.25" x14ac:dyDescent="0.25">
      <c r="A24" s="604" t="s">
        <v>120</v>
      </c>
      <c r="B24" s="605">
        <f>E24+H24</f>
        <v>50</v>
      </c>
      <c r="C24" s="605">
        <f t="shared" si="1"/>
        <v>50</v>
      </c>
      <c r="D24" s="606">
        <f t="shared" si="1"/>
        <v>50</v>
      </c>
      <c r="E24" s="605">
        <v>0</v>
      </c>
      <c r="F24" s="606">
        <v>0</v>
      </c>
      <c r="G24" s="607">
        <v>0</v>
      </c>
      <c r="H24" s="605">
        <f t="shared" si="6"/>
        <v>50</v>
      </c>
      <c r="I24" s="605">
        <f t="shared" si="6"/>
        <v>50</v>
      </c>
      <c r="J24" s="606">
        <f t="shared" si="6"/>
        <v>50</v>
      </c>
      <c r="K24" s="606"/>
      <c r="L24" s="606"/>
      <c r="M24" s="606"/>
      <c r="N24" s="606">
        <v>0</v>
      </c>
      <c r="O24" s="606">
        <v>0</v>
      </c>
      <c r="P24" s="606">
        <v>0</v>
      </c>
      <c r="Q24" s="606">
        <v>50</v>
      </c>
      <c r="R24" s="606">
        <v>50</v>
      </c>
      <c r="S24" s="606">
        <v>50</v>
      </c>
      <c r="T24" s="606"/>
      <c r="U24" s="606">
        <v>0</v>
      </c>
      <c r="V24" s="606">
        <v>0</v>
      </c>
      <c r="W24" s="605"/>
      <c r="X24" s="606">
        <v>0</v>
      </c>
      <c r="Y24" s="606">
        <v>0</v>
      </c>
      <c r="Z24" s="606">
        <v>0</v>
      </c>
      <c r="AA24" s="606">
        <v>0</v>
      </c>
      <c r="AB24" s="606">
        <v>0</v>
      </c>
      <c r="AC24" s="606">
        <v>0</v>
      </c>
      <c r="AD24" s="606">
        <v>0</v>
      </c>
      <c r="AE24" s="606">
        <v>0</v>
      </c>
      <c r="AF24" s="606"/>
      <c r="AG24" s="606">
        <v>0</v>
      </c>
      <c r="AH24" s="606">
        <v>0</v>
      </c>
      <c r="AI24" s="606">
        <v>0</v>
      </c>
      <c r="AJ24" s="606">
        <v>0</v>
      </c>
      <c r="AK24" s="606">
        <v>0</v>
      </c>
    </row>
    <row r="25" spans="1:38" ht="57.75" x14ac:dyDescent="0.25">
      <c r="A25" s="604" t="s">
        <v>1148</v>
      </c>
      <c r="B25" s="605">
        <f>E25+H25</f>
        <v>22378</v>
      </c>
      <c r="C25" s="605">
        <f t="shared" si="1"/>
        <v>22409</v>
      </c>
      <c r="D25" s="605">
        <f t="shared" si="1"/>
        <v>22428</v>
      </c>
      <c r="E25" s="605">
        <v>22378</v>
      </c>
      <c r="F25" s="605">
        <v>22409</v>
      </c>
      <c r="G25" s="608">
        <v>22428</v>
      </c>
      <c r="H25" s="605">
        <f t="shared" si="6"/>
        <v>0</v>
      </c>
      <c r="I25" s="605">
        <f t="shared" si="6"/>
        <v>0</v>
      </c>
      <c r="J25" s="605">
        <f t="shared" si="6"/>
        <v>0</v>
      </c>
      <c r="K25" s="606">
        <v>0</v>
      </c>
      <c r="L25" s="606">
        <v>0</v>
      </c>
      <c r="M25" s="606">
        <v>0</v>
      </c>
      <c r="N25" s="606">
        <v>0</v>
      </c>
      <c r="O25" s="606">
        <v>0</v>
      </c>
      <c r="P25" s="606">
        <v>0</v>
      </c>
      <c r="Q25" s="606">
        <v>0</v>
      </c>
      <c r="R25" s="606">
        <v>0</v>
      </c>
      <c r="S25" s="606">
        <v>0</v>
      </c>
      <c r="T25" s="606">
        <v>0</v>
      </c>
      <c r="U25" s="606">
        <v>0</v>
      </c>
      <c r="V25" s="606">
        <v>0</v>
      </c>
      <c r="W25" s="606"/>
      <c r="X25" s="606">
        <v>0</v>
      </c>
      <c r="Y25" s="606">
        <v>0</v>
      </c>
      <c r="Z25" s="606">
        <v>0</v>
      </c>
      <c r="AA25" s="606">
        <v>0</v>
      </c>
      <c r="AB25" s="606">
        <v>0</v>
      </c>
      <c r="AC25" s="606">
        <v>0</v>
      </c>
      <c r="AD25" s="606">
        <v>0</v>
      </c>
      <c r="AE25" s="606">
        <v>0</v>
      </c>
      <c r="AF25" s="606">
        <v>0</v>
      </c>
      <c r="AG25" s="606">
        <v>0</v>
      </c>
      <c r="AH25" s="606">
        <v>0</v>
      </c>
      <c r="AI25" s="606">
        <v>0</v>
      </c>
      <c r="AJ25" s="606">
        <v>0</v>
      </c>
      <c r="AK25" s="606">
        <v>0</v>
      </c>
    </row>
    <row r="26" spans="1:38" ht="30" x14ac:dyDescent="0.25">
      <c r="A26" s="602" t="s">
        <v>1149</v>
      </c>
      <c r="B26" s="603">
        <f t="shared" si="1"/>
        <v>-6444.2999999999884</v>
      </c>
      <c r="C26" s="603">
        <f t="shared" si="1"/>
        <v>-970.10000000000582</v>
      </c>
      <c r="D26" s="603">
        <f t="shared" si="1"/>
        <v>-1314.1000000000058</v>
      </c>
      <c r="E26" s="603">
        <f>E6-E11</f>
        <v>-720</v>
      </c>
      <c r="F26" s="603">
        <f>F6-F11</f>
        <v>-720</v>
      </c>
      <c r="G26" s="603">
        <f>G6-G11</f>
        <v>-3320</v>
      </c>
      <c r="H26" s="603">
        <f>H6-H11</f>
        <v>-5724.2999999999884</v>
      </c>
      <c r="I26" s="603">
        <f t="shared" ref="I26:AK26" si="8">I6-I11</f>
        <v>-250.10000000000582</v>
      </c>
      <c r="J26" s="603">
        <f t="shared" si="8"/>
        <v>2005.8999999999942</v>
      </c>
      <c r="K26" s="609">
        <f t="shared" si="8"/>
        <v>0</v>
      </c>
      <c r="L26" s="609">
        <f t="shared" si="8"/>
        <v>0</v>
      </c>
      <c r="M26" s="609">
        <f t="shared" si="8"/>
        <v>0</v>
      </c>
      <c r="N26" s="603">
        <f t="shared" si="8"/>
        <v>-277.30000000000018</v>
      </c>
      <c r="O26" s="603">
        <f t="shared" si="8"/>
        <v>-229.10000000000036</v>
      </c>
      <c r="P26" s="603">
        <f t="shared" si="8"/>
        <v>-228.10000000000036</v>
      </c>
      <c r="Q26" s="609">
        <f t="shared" si="8"/>
        <v>720</v>
      </c>
      <c r="R26" s="609">
        <f t="shared" si="8"/>
        <v>720</v>
      </c>
      <c r="S26" s="609">
        <f>S6-S11</f>
        <v>3321</v>
      </c>
      <c r="T26" s="603">
        <f>T6-T11</f>
        <v>0</v>
      </c>
      <c r="U26" s="603">
        <f t="shared" si="8"/>
        <v>0</v>
      </c>
      <c r="V26" s="603">
        <f t="shared" si="8"/>
        <v>0</v>
      </c>
      <c r="W26" s="603">
        <f>W6-W11</f>
        <v>-5681</v>
      </c>
      <c r="X26" s="603">
        <f t="shared" si="8"/>
        <v>-334</v>
      </c>
      <c r="Y26" s="603">
        <f t="shared" si="8"/>
        <v>-581</v>
      </c>
      <c r="Z26" s="603">
        <f t="shared" si="8"/>
        <v>-96</v>
      </c>
      <c r="AA26" s="603">
        <f t="shared" si="8"/>
        <v>-100</v>
      </c>
      <c r="AB26" s="603">
        <f t="shared" si="8"/>
        <v>-105</v>
      </c>
      <c r="AC26" s="603">
        <f t="shared" si="8"/>
        <v>1</v>
      </c>
      <c r="AD26" s="603">
        <f>AD6-AD11</f>
        <v>90</v>
      </c>
      <c r="AE26" s="603">
        <f t="shared" si="8"/>
        <v>0</v>
      </c>
      <c r="AF26" s="603">
        <f t="shared" si="8"/>
        <v>-391</v>
      </c>
      <c r="AG26" s="603">
        <f t="shared" si="8"/>
        <v>-397</v>
      </c>
      <c r="AH26" s="603">
        <f t="shared" si="8"/>
        <v>-401</v>
      </c>
      <c r="AI26" s="603">
        <f t="shared" si="8"/>
        <v>0</v>
      </c>
      <c r="AJ26" s="610">
        <f t="shared" si="8"/>
        <v>0</v>
      </c>
      <c r="AK26" s="610">
        <f t="shared" si="8"/>
        <v>0</v>
      </c>
    </row>
    <row r="27" spans="1:38" ht="30" x14ac:dyDescent="0.25">
      <c r="A27" s="602" t="s">
        <v>1150</v>
      </c>
      <c r="B27" s="603">
        <f>E27+H27</f>
        <v>-20880.2</v>
      </c>
      <c r="C27" s="603">
        <f>F27+I27</f>
        <v>-17440</v>
      </c>
      <c r="D27" s="603">
        <f>G27+J27</f>
        <v>-17688.900000000001</v>
      </c>
      <c r="E27" s="603">
        <f>-(E7+E8)*10%</f>
        <v>-20880.2</v>
      </c>
      <c r="F27" s="603">
        <f>-(F7+F8)*10%</f>
        <v>-17440</v>
      </c>
      <c r="G27" s="603">
        <f>-(G7+G8)*10%</f>
        <v>-17688.900000000001</v>
      </c>
      <c r="H27" s="609">
        <v>0</v>
      </c>
      <c r="I27" s="609">
        <v>0</v>
      </c>
      <c r="J27" s="609">
        <v>0</v>
      </c>
      <c r="K27" s="611">
        <f t="shared" ref="K27:M27" si="9">-(K7+K8)*5%</f>
        <v>-19.8</v>
      </c>
      <c r="L27" s="611">
        <f t="shared" si="9"/>
        <v>-19.8</v>
      </c>
      <c r="M27" s="611">
        <f t="shared" si="9"/>
        <v>-19.8</v>
      </c>
      <c r="N27" s="611">
        <f>-(N7+N8)*10%</f>
        <v>-277.3</v>
      </c>
      <c r="O27" s="611">
        <f>-(O7+O8)*10%</f>
        <v>-228.60000000000002</v>
      </c>
      <c r="P27" s="611">
        <f>-(P7+P8)*10%</f>
        <v>-228.60000000000002</v>
      </c>
      <c r="Q27" s="611">
        <f t="shared" ref="Q27:AK27" si="10">-(Q7+Q8)*10%</f>
        <v>-2168.9</v>
      </c>
      <c r="R27" s="611">
        <f t="shared" si="10"/>
        <v>-2208.8000000000002</v>
      </c>
      <c r="S27" s="611">
        <f t="shared" si="10"/>
        <v>-2310.5</v>
      </c>
      <c r="T27" s="611">
        <f t="shared" si="10"/>
        <v>-927.80000000000007</v>
      </c>
      <c r="U27" s="611">
        <f t="shared" si="10"/>
        <v>-576.5</v>
      </c>
      <c r="V27" s="611">
        <f t="shared" si="10"/>
        <v>-576.5</v>
      </c>
      <c r="W27" s="611">
        <f>-(W7+W8)*10%</f>
        <v>-6792.9000000000005</v>
      </c>
      <c r="X27" s="611">
        <f t="shared" si="10"/>
        <v>-6798.9000000000005</v>
      </c>
      <c r="Y27" s="611">
        <f t="shared" si="10"/>
        <v>-6986.1</v>
      </c>
      <c r="Z27" s="611">
        <f t="shared" si="10"/>
        <v>-195.60000000000002</v>
      </c>
      <c r="AA27" s="611">
        <f t="shared" si="10"/>
        <v>-201.10000000000002</v>
      </c>
      <c r="AB27" s="611">
        <f t="shared" si="10"/>
        <v>-211.4</v>
      </c>
      <c r="AC27" s="611">
        <f t="shared" si="10"/>
        <v>-706.7</v>
      </c>
      <c r="AD27" s="611">
        <f t="shared" si="10"/>
        <v>-687.2</v>
      </c>
      <c r="AE27" s="611">
        <f t="shared" si="10"/>
        <v>-678.90000000000009</v>
      </c>
      <c r="AF27" s="611">
        <f t="shared" si="10"/>
        <v>-191.20000000000002</v>
      </c>
      <c r="AG27" s="611">
        <f t="shared" si="10"/>
        <v>-203</v>
      </c>
      <c r="AH27" s="611">
        <f t="shared" si="10"/>
        <v>-212.60000000000002</v>
      </c>
      <c r="AI27" s="611">
        <f t="shared" si="10"/>
        <v>-1403.1000000000001</v>
      </c>
      <c r="AJ27" s="611">
        <f t="shared" si="10"/>
        <v>-1484.7</v>
      </c>
      <c r="AK27" s="611">
        <f t="shared" si="10"/>
        <v>-1564</v>
      </c>
    </row>
    <row r="28" spans="1:38" x14ac:dyDescent="0.25">
      <c r="A28" s="604"/>
      <c r="B28" s="612"/>
      <c r="C28" s="612"/>
      <c r="D28" s="612"/>
      <c r="E28" s="613"/>
      <c r="F28" s="613"/>
      <c r="G28" s="613"/>
      <c r="H28" s="612"/>
      <c r="I28" s="612"/>
      <c r="J28" s="612"/>
      <c r="K28" s="613"/>
      <c r="L28" s="613"/>
      <c r="M28" s="613"/>
      <c r="N28" s="613"/>
      <c r="O28" s="613"/>
      <c r="P28" s="613"/>
      <c r="Q28" s="613"/>
      <c r="R28" s="613"/>
      <c r="S28" s="613"/>
      <c r="T28" s="613"/>
      <c r="U28" s="613"/>
      <c r="V28" s="613"/>
      <c r="W28" s="605"/>
      <c r="X28" s="605"/>
      <c r="Y28" s="605"/>
      <c r="Z28" s="613"/>
      <c r="AA28" s="613"/>
      <c r="AB28" s="613"/>
      <c r="AC28" s="614"/>
      <c r="AD28" s="614"/>
      <c r="AE28" s="614"/>
      <c r="AF28" s="613"/>
      <c r="AG28" s="613"/>
      <c r="AH28" s="613"/>
      <c r="AI28" s="613"/>
      <c r="AJ28" s="613"/>
      <c r="AK28" s="613"/>
    </row>
    <row r="29" spans="1:38" x14ac:dyDescent="0.25">
      <c r="A29" s="612"/>
      <c r="B29" s="612"/>
      <c r="C29" s="612"/>
      <c r="D29" s="612"/>
      <c r="E29" s="1015"/>
      <c r="F29" s="1015"/>
      <c r="G29" s="1015"/>
      <c r="H29" s="612"/>
      <c r="I29" s="612"/>
      <c r="J29" s="612"/>
      <c r="K29" s="1015"/>
      <c r="L29" s="1015"/>
      <c r="M29" s="1015"/>
      <c r="N29" s="1015"/>
      <c r="O29" s="1015"/>
      <c r="P29" s="1015"/>
      <c r="Q29" s="1015"/>
      <c r="R29" s="1015"/>
      <c r="S29" s="1015"/>
      <c r="T29" s="1016"/>
      <c r="U29" s="1016"/>
      <c r="V29" s="1016"/>
      <c r="W29" s="1015"/>
      <c r="X29" s="1015"/>
      <c r="Y29" s="1015"/>
      <c r="Z29" s="1015"/>
      <c r="AA29" s="1015"/>
      <c r="AB29" s="1015"/>
      <c r="AC29" s="1015"/>
      <c r="AD29" s="1015"/>
      <c r="AE29" s="1015"/>
      <c r="AF29" s="1015"/>
      <c r="AG29" s="1015"/>
      <c r="AH29" s="1015"/>
      <c r="AI29" s="1015">
        <v>0</v>
      </c>
      <c r="AJ29" s="1015"/>
      <c r="AK29" s="1015"/>
    </row>
    <row r="30" spans="1:38" ht="30" x14ac:dyDescent="0.25">
      <c r="A30" s="602" t="s">
        <v>1151</v>
      </c>
      <c r="B30" s="603">
        <f>-B26</f>
        <v>6444.2999999999884</v>
      </c>
      <c r="C30" s="603">
        <f>-C26</f>
        <v>970.10000000000582</v>
      </c>
      <c r="D30" s="603">
        <f t="shared" ref="D30:AK30" si="11">-D26</f>
        <v>1314.1000000000058</v>
      </c>
      <c r="E30" s="603">
        <f>-E26</f>
        <v>720</v>
      </c>
      <c r="F30" s="603">
        <f>-F26</f>
        <v>720</v>
      </c>
      <c r="G30" s="603">
        <f t="shared" si="11"/>
        <v>3320</v>
      </c>
      <c r="H30" s="603">
        <f t="shared" si="11"/>
        <v>5724.2999999999884</v>
      </c>
      <c r="I30" s="603">
        <f t="shared" si="11"/>
        <v>250.10000000000582</v>
      </c>
      <c r="J30" s="603">
        <f t="shared" si="11"/>
        <v>-2005.8999999999942</v>
      </c>
      <c r="K30" s="609">
        <f t="shared" si="11"/>
        <v>0</v>
      </c>
      <c r="L30" s="609">
        <f t="shared" si="11"/>
        <v>0</v>
      </c>
      <c r="M30" s="609">
        <f t="shared" si="11"/>
        <v>0</v>
      </c>
      <c r="N30" s="603">
        <f t="shared" si="11"/>
        <v>277.30000000000018</v>
      </c>
      <c r="O30" s="603">
        <f t="shared" si="11"/>
        <v>229.10000000000036</v>
      </c>
      <c r="P30" s="603">
        <f t="shared" si="11"/>
        <v>228.10000000000036</v>
      </c>
      <c r="Q30" s="609">
        <f t="shared" si="11"/>
        <v>-720</v>
      </c>
      <c r="R30" s="609">
        <f t="shared" si="11"/>
        <v>-720</v>
      </c>
      <c r="S30" s="609">
        <f t="shared" si="11"/>
        <v>-3321</v>
      </c>
      <c r="T30" s="603">
        <f t="shared" si="11"/>
        <v>0</v>
      </c>
      <c r="U30" s="603">
        <f t="shared" si="11"/>
        <v>0</v>
      </c>
      <c r="V30" s="603">
        <f t="shared" si="11"/>
        <v>0</v>
      </c>
      <c r="W30" s="603">
        <f t="shared" si="11"/>
        <v>5681</v>
      </c>
      <c r="X30" s="603">
        <f t="shared" si="11"/>
        <v>334</v>
      </c>
      <c r="Y30" s="603">
        <f t="shared" si="11"/>
        <v>581</v>
      </c>
      <c r="Z30" s="603">
        <f t="shared" si="11"/>
        <v>96</v>
      </c>
      <c r="AA30" s="603">
        <f t="shared" si="11"/>
        <v>100</v>
      </c>
      <c r="AB30" s="603">
        <f t="shared" si="11"/>
        <v>105</v>
      </c>
      <c r="AC30" s="603">
        <f t="shared" si="11"/>
        <v>-1</v>
      </c>
      <c r="AD30" s="603">
        <f t="shared" si="11"/>
        <v>-90</v>
      </c>
      <c r="AE30" s="603">
        <f t="shared" si="11"/>
        <v>0</v>
      </c>
      <c r="AF30" s="603">
        <f t="shared" si="11"/>
        <v>391</v>
      </c>
      <c r="AG30" s="603">
        <f t="shared" si="11"/>
        <v>397</v>
      </c>
      <c r="AH30" s="603">
        <f t="shared" si="11"/>
        <v>401</v>
      </c>
      <c r="AI30" s="603">
        <f t="shared" si="11"/>
        <v>0</v>
      </c>
      <c r="AJ30" s="603">
        <f t="shared" si="11"/>
        <v>0</v>
      </c>
      <c r="AK30" s="603">
        <f t="shared" si="11"/>
        <v>0</v>
      </c>
      <c r="AL30" s="615"/>
    </row>
    <row r="31" spans="1:38" ht="43.5" x14ac:dyDescent="0.25">
      <c r="A31" s="604" t="s">
        <v>1152</v>
      </c>
      <c r="B31" s="605">
        <f>E31+H31</f>
        <v>0</v>
      </c>
      <c r="C31" s="605">
        <f t="shared" ref="B31:D35" si="12">F31+I31</f>
        <v>0</v>
      </c>
      <c r="D31" s="605">
        <f t="shared" si="12"/>
        <v>0</v>
      </c>
      <c r="E31" s="605">
        <v>0</v>
      </c>
      <c r="F31" s="605">
        <v>0</v>
      </c>
      <c r="G31" s="605">
        <v>0</v>
      </c>
      <c r="H31" s="606">
        <v>0</v>
      </c>
      <c r="I31" s="606">
        <v>0</v>
      </c>
      <c r="J31" s="606">
        <v>0</v>
      </c>
      <c r="K31" s="606">
        <v>0</v>
      </c>
      <c r="L31" s="606">
        <v>0</v>
      </c>
      <c r="M31" s="606">
        <f t="shared" ref="M31:AK31" si="13">M11-M6</f>
        <v>0</v>
      </c>
      <c r="N31" s="606">
        <v>0</v>
      </c>
      <c r="O31" s="606">
        <v>0</v>
      </c>
      <c r="P31" s="606">
        <v>0</v>
      </c>
      <c r="Q31" s="606">
        <v>0</v>
      </c>
      <c r="R31" s="606">
        <v>0</v>
      </c>
      <c r="S31" s="606">
        <v>0</v>
      </c>
      <c r="T31" s="606">
        <v>0</v>
      </c>
      <c r="U31" s="606">
        <v>0</v>
      </c>
      <c r="V31" s="606">
        <v>0</v>
      </c>
      <c r="W31" s="606">
        <v>0</v>
      </c>
      <c r="X31" s="606">
        <v>0</v>
      </c>
      <c r="Y31" s="606">
        <v>0</v>
      </c>
      <c r="Z31" s="606">
        <v>0</v>
      </c>
      <c r="AA31" s="606">
        <v>0</v>
      </c>
      <c r="AB31" s="606">
        <v>0</v>
      </c>
      <c r="AC31" s="606">
        <v>0</v>
      </c>
      <c r="AD31" s="606">
        <v>0</v>
      </c>
      <c r="AE31" s="606">
        <f t="shared" si="13"/>
        <v>0</v>
      </c>
      <c r="AF31" s="606">
        <v>0</v>
      </c>
      <c r="AG31" s="606">
        <v>0</v>
      </c>
      <c r="AH31" s="606">
        <v>0</v>
      </c>
      <c r="AI31" s="606">
        <v>0</v>
      </c>
      <c r="AJ31" s="606">
        <v>0</v>
      </c>
      <c r="AK31" s="606">
        <f t="shared" si="13"/>
        <v>0</v>
      </c>
    </row>
    <row r="32" spans="1:38" ht="43.5" x14ac:dyDescent="0.25">
      <c r="A32" s="604" t="s">
        <v>1153</v>
      </c>
      <c r="B32" s="606">
        <f t="shared" si="12"/>
        <v>0</v>
      </c>
      <c r="C32" s="606">
        <f t="shared" si="12"/>
        <v>0</v>
      </c>
      <c r="D32" s="606">
        <f t="shared" si="12"/>
        <v>0</v>
      </c>
      <c r="E32" s="606">
        <v>0</v>
      </c>
      <c r="F32" s="606">
        <v>0</v>
      </c>
      <c r="G32" s="606">
        <v>0</v>
      </c>
      <c r="H32" s="606">
        <f t="shared" ref="H32:J35" si="14">K32+N32+Q32+T32+W32+Z32+AC32+AF32+AI32</f>
        <v>0</v>
      </c>
      <c r="I32" s="606">
        <f t="shared" si="14"/>
        <v>0</v>
      </c>
      <c r="J32" s="606">
        <f t="shared" si="14"/>
        <v>0</v>
      </c>
      <c r="K32" s="606">
        <v>0</v>
      </c>
      <c r="L32" s="606">
        <v>0</v>
      </c>
      <c r="M32" s="606">
        <v>0</v>
      </c>
      <c r="N32" s="606">
        <v>0</v>
      </c>
      <c r="O32" s="606">
        <v>0</v>
      </c>
      <c r="P32" s="606">
        <v>0</v>
      </c>
      <c r="Q32" s="606">
        <v>0</v>
      </c>
      <c r="R32" s="606">
        <v>0</v>
      </c>
      <c r="S32" s="606">
        <v>0</v>
      </c>
      <c r="T32" s="606">
        <v>0</v>
      </c>
      <c r="U32" s="606">
        <v>0</v>
      </c>
      <c r="V32" s="606">
        <v>0</v>
      </c>
      <c r="W32" s="606">
        <v>0</v>
      </c>
      <c r="X32" s="606">
        <v>0</v>
      </c>
      <c r="Y32" s="606">
        <v>0</v>
      </c>
      <c r="Z32" s="606">
        <v>0</v>
      </c>
      <c r="AA32" s="606">
        <v>0</v>
      </c>
      <c r="AB32" s="606">
        <v>0</v>
      </c>
      <c r="AC32" s="606">
        <v>0</v>
      </c>
      <c r="AD32" s="606">
        <v>0</v>
      </c>
      <c r="AE32" s="606">
        <v>0</v>
      </c>
      <c r="AF32" s="606">
        <v>0</v>
      </c>
      <c r="AG32" s="606">
        <v>0</v>
      </c>
      <c r="AH32" s="606">
        <v>0</v>
      </c>
      <c r="AI32" s="606">
        <v>0</v>
      </c>
      <c r="AJ32" s="606">
        <v>0</v>
      </c>
      <c r="AK32" s="606">
        <v>0</v>
      </c>
    </row>
    <row r="33" spans="1:37" ht="43.5" x14ac:dyDescent="0.25">
      <c r="A33" s="604" t="s">
        <v>1154</v>
      </c>
      <c r="B33" s="606">
        <f t="shared" si="12"/>
        <v>0</v>
      </c>
      <c r="C33" s="606">
        <f t="shared" si="12"/>
        <v>0</v>
      </c>
      <c r="D33" s="606">
        <f t="shared" si="12"/>
        <v>0</v>
      </c>
      <c r="E33" s="606">
        <v>0</v>
      </c>
      <c r="F33" s="606">
        <v>0</v>
      </c>
      <c r="G33" s="606">
        <v>0</v>
      </c>
      <c r="H33" s="606">
        <f t="shared" si="14"/>
        <v>0</v>
      </c>
      <c r="I33" s="606">
        <f t="shared" si="14"/>
        <v>0</v>
      </c>
      <c r="J33" s="606">
        <f t="shared" si="14"/>
        <v>0</v>
      </c>
      <c r="K33" s="606">
        <v>0</v>
      </c>
      <c r="L33" s="606">
        <v>0</v>
      </c>
      <c r="M33" s="606">
        <v>0</v>
      </c>
      <c r="N33" s="606">
        <v>0</v>
      </c>
      <c r="O33" s="606">
        <v>0</v>
      </c>
      <c r="P33" s="606">
        <v>0</v>
      </c>
      <c r="Q33" s="606">
        <v>0</v>
      </c>
      <c r="R33" s="606">
        <v>0</v>
      </c>
      <c r="S33" s="606">
        <v>0</v>
      </c>
      <c r="T33" s="606">
        <v>0</v>
      </c>
      <c r="U33" s="606">
        <v>0</v>
      </c>
      <c r="V33" s="606">
        <v>0</v>
      </c>
      <c r="W33" s="606">
        <v>0</v>
      </c>
      <c r="X33" s="606">
        <v>0</v>
      </c>
      <c r="Y33" s="606">
        <v>0</v>
      </c>
      <c r="Z33" s="606">
        <v>0</v>
      </c>
      <c r="AA33" s="606">
        <v>0</v>
      </c>
      <c r="AB33" s="606">
        <v>0</v>
      </c>
      <c r="AC33" s="606">
        <v>0</v>
      </c>
      <c r="AD33" s="606">
        <v>0</v>
      </c>
      <c r="AE33" s="606">
        <v>0</v>
      </c>
      <c r="AF33" s="606">
        <v>0</v>
      </c>
      <c r="AG33" s="606">
        <v>0</v>
      </c>
      <c r="AH33" s="606">
        <v>0</v>
      </c>
      <c r="AI33" s="606">
        <v>0</v>
      </c>
      <c r="AJ33" s="606">
        <v>0</v>
      </c>
      <c r="AK33" s="606">
        <v>0</v>
      </c>
    </row>
    <row r="34" spans="1:37" ht="43.5" x14ac:dyDescent="0.25">
      <c r="A34" s="604" t="s">
        <v>1155</v>
      </c>
      <c r="B34" s="606">
        <f>E34+H34</f>
        <v>720</v>
      </c>
      <c r="C34" s="606">
        <f>F34+I34</f>
        <v>720</v>
      </c>
      <c r="D34" s="606">
        <f>G34+J34</f>
        <v>3320</v>
      </c>
      <c r="E34" s="606">
        <v>0</v>
      </c>
      <c r="F34" s="606">
        <v>0</v>
      </c>
      <c r="G34" s="606">
        <v>0</v>
      </c>
      <c r="H34" s="606">
        <v>720</v>
      </c>
      <c r="I34" s="606">
        <v>720</v>
      </c>
      <c r="J34" s="606">
        <v>3320</v>
      </c>
      <c r="K34" s="606">
        <v>0</v>
      </c>
      <c r="L34" s="606">
        <v>0</v>
      </c>
      <c r="M34" s="606">
        <v>0</v>
      </c>
      <c r="N34" s="606">
        <v>0</v>
      </c>
      <c r="O34" s="606">
        <v>0</v>
      </c>
      <c r="P34" s="606">
        <v>0</v>
      </c>
      <c r="Q34" s="606">
        <v>0</v>
      </c>
      <c r="R34" s="606">
        <v>0</v>
      </c>
      <c r="S34" s="606">
        <v>0</v>
      </c>
      <c r="T34" s="606">
        <v>0</v>
      </c>
      <c r="U34" s="606">
        <v>0</v>
      </c>
      <c r="V34" s="606">
        <v>0</v>
      </c>
      <c r="W34" s="606">
        <v>0</v>
      </c>
      <c r="X34" s="606">
        <v>0</v>
      </c>
      <c r="Y34" s="606">
        <v>0</v>
      </c>
      <c r="Z34" s="606">
        <v>0</v>
      </c>
      <c r="AA34" s="606">
        <v>0</v>
      </c>
      <c r="AB34" s="606">
        <v>0</v>
      </c>
      <c r="AC34" s="606">
        <v>0</v>
      </c>
      <c r="AD34" s="606">
        <v>0</v>
      </c>
      <c r="AE34" s="606">
        <v>0</v>
      </c>
      <c r="AF34" s="606">
        <v>-186</v>
      </c>
      <c r="AG34" s="606">
        <v>0</v>
      </c>
      <c r="AH34" s="606">
        <v>0</v>
      </c>
      <c r="AI34" s="606">
        <v>0</v>
      </c>
      <c r="AJ34" s="606">
        <v>0</v>
      </c>
      <c r="AK34" s="606">
        <v>0</v>
      </c>
    </row>
    <row r="35" spans="1:37" ht="43.5" x14ac:dyDescent="0.25">
      <c r="A35" s="604" t="s">
        <v>1156</v>
      </c>
      <c r="B35" s="606">
        <f>E35+H35</f>
        <v>720</v>
      </c>
      <c r="C35" s="606">
        <f t="shared" si="12"/>
        <v>720</v>
      </c>
      <c r="D35" s="606">
        <f t="shared" si="12"/>
        <v>3320</v>
      </c>
      <c r="E35" s="605">
        <v>720</v>
      </c>
      <c r="F35" s="606">
        <v>720</v>
      </c>
      <c r="G35" s="606">
        <v>3320</v>
      </c>
      <c r="H35" s="606">
        <f t="shared" si="14"/>
        <v>0</v>
      </c>
      <c r="I35" s="606">
        <f t="shared" si="14"/>
        <v>0</v>
      </c>
      <c r="J35" s="606">
        <f t="shared" si="14"/>
        <v>0</v>
      </c>
      <c r="K35" s="606">
        <v>0</v>
      </c>
      <c r="L35" s="606">
        <v>0</v>
      </c>
      <c r="M35" s="606">
        <v>0</v>
      </c>
      <c r="N35" s="606">
        <v>0</v>
      </c>
      <c r="O35" s="606">
        <v>0</v>
      </c>
      <c r="P35" s="606">
        <v>0</v>
      </c>
      <c r="Q35" s="606">
        <v>0</v>
      </c>
      <c r="R35" s="606">
        <v>0</v>
      </c>
      <c r="S35" s="606">
        <v>0</v>
      </c>
      <c r="T35" s="606">
        <v>0</v>
      </c>
      <c r="U35" s="606">
        <v>0</v>
      </c>
      <c r="V35" s="606">
        <v>0</v>
      </c>
      <c r="W35" s="606">
        <v>0</v>
      </c>
      <c r="X35" s="606">
        <v>0</v>
      </c>
      <c r="Y35" s="606">
        <v>0</v>
      </c>
      <c r="Z35" s="606">
        <v>0</v>
      </c>
      <c r="AA35" s="606">
        <v>0</v>
      </c>
      <c r="AB35" s="606">
        <v>0</v>
      </c>
      <c r="AC35" s="606">
        <v>0</v>
      </c>
      <c r="AD35" s="606">
        <v>0</v>
      </c>
      <c r="AE35" s="606">
        <v>0</v>
      </c>
      <c r="AF35" s="616">
        <v>0</v>
      </c>
      <c r="AG35" s="616">
        <v>0</v>
      </c>
      <c r="AH35" s="616">
        <v>0</v>
      </c>
      <c r="AI35" s="616">
        <v>0</v>
      </c>
      <c r="AJ35" s="616">
        <v>0</v>
      </c>
      <c r="AK35" s="606">
        <v>0</v>
      </c>
    </row>
    <row r="36" spans="1:37" ht="43.5" x14ac:dyDescent="0.25">
      <c r="A36" s="604" t="s">
        <v>1157</v>
      </c>
      <c r="B36" s="606">
        <f>E36+H36</f>
        <v>0</v>
      </c>
      <c r="C36" s="606">
        <f>F36+I36</f>
        <v>0</v>
      </c>
      <c r="D36" s="606">
        <f>G36+J36</f>
        <v>0</v>
      </c>
      <c r="E36" s="606">
        <v>0</v>
      </c>
      <c r="F36" s="606">
        <v>0</v>
      </c>
      <c r="G36" s="606">
        <v>0</v>
      </c>
      <c r="H36" s="606">
        <v>0</v>
      </c>
      <c r="I36" s="606">
        <v>0</v>
      </c>
      <c r="J36" s="606">
        <v>0</v>
      </c>
      <c r="K36" s="606">
        <v>0</v>
      </c>
      <c r="L36" s="606">
        <v>0</v>
      </c>
      <c r="M36" s="606">
        <v>0</v>
      </c>
      <c r="N36" s="606">
        <v>0</v>
      </c>
      <c r="O36" s="606">
        <v>0</v>
      </c>
      <c r="P36" s="606">
        <v>0</v>
      </c>
      <c r="Q36" s="606">
        <v>0</v>
      </c>
      <c r="R36" s="606">
        <v>0</v>
      </c>
      <c r="S36" s="606">
        <v>0</v>
      </c>
      <c r="T36" s="606">
        <v>0</v>
      </c>
      <c r="U36" s="606">
        <v>0</v>
      </c>
      <c r="V36" s="606">
        <v>0</v>
      </c>
      <c r="W36" s="606">
        <v>0</v>
      </c>
      <c r="X36" s="606">
        <v>0</v>
      </c>
      <c r="Y36" s="606">
        <v>0</v>
      </c>
      <c r="Z36" s="606">
        <v>0</v>
      </c>
      <c r="AA36" s="606">
        <v>0</v>
      </c>
      <c r="AB36" s="606">
        <v>0</v>
      </c>
      <c r="AC36" s="606">
        <v>0</v>
      </c>
      <c r="AD36" s="606">
        <v>0</v>
      </c>
      <c r="AE36" s="606">
        <v>0</v>
      </c>
      <c r="AF36" s="606">
        <v>0</v>
      </c>
      <c r="AG36" s="606">
        <v>0</v>
      </c>
      <c r="AH36" s="606">
        <v>0</v>
      </c>
      <c r="AI36" s="606">
        <v>0</v>
      </c>
      <c r="AJ36" s="606">
        <v>0</v>
      </c>
      <c r="AK36" s="606">
        <v>0</v>
      </c>
    </row>
    <row r="37" spans="1:37" x14ac:dyDescent="0.25">
      <c r="A37" s="604" t="s">
        <v>1158</v>
      </c>
      <c r="B37" s="617">
        <v>0</v>
      </c>
      <c r="C37" s="617">
        <v>0</v>
      </c>
      <c r="D37" s="617">
        <v>0</v>
      </c>
      <c r="E37" s="617">
        <v>0</v>
      </c>
      <c r="F37" s="617">
        <v>0</v>
      </c>
      <c r="G37" s="617">
        <v>0</v>
      </c>
      <c r="H37" s="617">
        <v>0</v>
      </c>
      <c r="I37" s="617">
        <v>0</v>
      </c>
      <c r="J37" s="617">
        <v>0</v>
      </c>
      <c r="K37" s="617">
        <v>0</v>
      </c>
      <c r="L37" s="617">
        <v>0</v>
      </c>
      <c r="M37" s="617">
        <v>0</v>
      </c>
      <c r="N37" s="617">
        <v>0</v>
      </c>
      <c r="O37" s="617">
        <v>0</v>
      </c>
      <c r="P37" s="617">
        <v>0</v>
      </c>
      <c r="Q37" s="617">
        <v>0</v>
      </c>
      <c r="R37" s="617">
        <v>0</v>
      </c>
      <c r="S37" s="617">
        <v>0</v>
      </c>
      <c r="T37" s="617">
        <v>0</v>
      </c>
      <c r="U37" s="617">
        <v>0</v>
      </c>
      <c r="V37" s="617">
        <v>0</v>
      </c>
      <c r="W37" s="617">
        <v>0</v>
      </c>
      <c r="X37" s="617">
        <v>0</v>
      </c>
      <c r="Y37" s="617">
        <v>0</v>
      </c>
      <c r="Z37" s="617">
        <v>0</v>
      </c>
      <c r="AA37" s="617">
        <v>0</v>
      </c>
      <c r="AB37" s="617">
        <v>0</v>
      </c>
      <c r="AC37" s="617">
        <v>0</v>
      </c>
      <c r="AD37" s="617">
        <v>0</v>
      </c>
      <c r="AE37" s="617">
        <v>0</v>
      </c>
      <c r="AF37" s="617">
        <v>0</v>
      </c>
      <c r="AG37" s="617">
        <v>0</v>
      </c>
      <c r="AH37" s="617">
        <v>0</v>
      </c>
      <c r="AI37" s="617">
        <v>0</v>
      </c>
      <c r="AJ37" s="617">
        <v>0</v>
      </c>
      <c r="AK37" s="617">
        <v>0</v>
      </c>
    </row>
    <row r="38" spans="1:37" x14ac:dyDescent="0.25">
      <c r="A38" s="612" t="s">
        <v>1159</v>
      </c>
      <c r="B38" s="617">
        <f>E38+H38</f>
        <v>-5724.3</v>
      </c>
      <c r="C38" s="617">
        <f t="shared" ref="B38:D40" si="15">F38+I38</f>
        <v>-250.10000000000036</v>
      </c>
      <c r="D38" s="617">
        <f t="shared" si="15"/>
        <v>2005.8999999999996</v>
      </c>
      <c r="E38" s="617">
        <v>0</v>
      </c>
      <c r="F38" s="617">
        <v>0</v>
      </c>
      <c r="G38" s="617">
        <v>0</v>
      </c>
      <c r="H38" s="617">
        <f>K38+N38+Q38+T38+W38+Z38+AC38+AF38+AI38</f>
        <v>-5724.3</v>
      </c>
      <c r="I38" s="617">
        <f t="shared" ref="H38:J40" si="16">L38+O38+R38+U38+X38+AA38+AD38+AG38+AJ38</f>
        <v>-250.10000000000036</v>
      </c>
      <c r="J38" s="617">
        <f t="shared" si="16"/>
        <v>2005.8999999999996</v>
      </c>
      <c r="K38" s="617">
        <f>K6-K11</f>
        <v>0</v>
      </c>
      <c r="L38" s="617">
        <f t="shared" ref="L38:AK38" si="17">L6-L11</f>
        <v>0</v>
      </c>
      <c r="M38" s="617">
        <f t="shared" si="17"/>
        <v>0</v>
      </c>
      <c r="N38" s="617">
        <f t="shared" si="17"/>
        <v>-277.30000000000018</v>
      </c>
      <c r="O38" s="617">
        <f t="shared" si="17"/>
        <v>-229.10000000000036</v>
      </c>
      <c r="P38" s="617">
        <f t="shared" si="17"/>
        <v>-228.10000000000036</v>
      </c>
      <c r="Q38" s="617">
        <f t="shared" si="17"/>
        <v>720</v>
      </c>
      <c r="R38" s="617">
        <f t="shared" si="17"/>
        <v>720</v>
      </c>
      <c r="S38" s="617">
        <f t="shared" si="17"/>
        <v>3321</v>
      </c>
      <c r="T38" s="617">
        <f t="shared" si="17"/>
        <v>0</v>
      </c>
      <c r="U38" s="617">
        <f t="shared" si="17"/>
        <v>0</v>
      </c>
      <c r="V38" s="617">
        <f t="shared" si="17"/>
        <v>0</v>
      </c>
      <c r="W38" s="617">
        <f t="shared" si="17"/>
        <v>-5681</v>
      </c>
      <c r="X38" s="617">
        <f t="shared" si="17"/>
        <v>-334</v>
      </c>
      <c r="Y38" s="617">
        <f t="shared" si="17"/>
        <v>-581</v>
      </c>
      <c r="Z38" s="617">
        <f t="shared" si="17"/>
        <v>-96</v>
      </c>
      <c r="AA38" s="617">
        <f t="shared" si="17"/>
        <v>-100</v>
      </c>
      <c r="AB38" s="617">
        <f t="shared" si="17"/>
        <v>-105</v>
      </c>
      <c r="AC38" s="617">
        <f t="shared" si="17"/>
        <v>1</v>
      </c>
      <c r="AD38" s="617">
        <f t="shared" si="17"/>
        <v>90</v>
      </c>
      <c r="AE38" s="617">
        <f t="shared" si="17"/>
        <v>0</v>
      </c>
      <c r="AF38" s="617">
        <f t="shared" si="17"/>
        <v>-391</v>
      </c>
      <c r="AG38" s="617">
        <f t="shared" si="17"/>
        <v>-397</v>
      </c>
      <c r="AH38" s="617">
        <f t="shared" si="17"/>
        <v>-401</v>
      </c>
      <c r="AI38" s="617">
        <f>AI6-AI11</f>
        <v>0</v>
      </c>
      <c r="AJ38" s="617">
        <f t="shared" si="17"/>
        <v>0</v>
      </c>
      <c r="AK38" s="617">
        <f t="shared" si="17"/>
        <v>0</v>
      </c>
    </row>
    <row r="39" spans="1:37" ht="29.25" x14ac:dyDescent="0.25">
      <c r="A39" s="604" t="s">
        <v>1160</v>
      </c>
      <c r="B39" s="618">
        <f t="shared" si="15"/>
        <v>-899123</v>
      </c>
      <c r="C39" s="618">
        <f t="shared" si="15"/>
        <v>-903622</v>
      </c>
      <c r="D39" s="618">
        <f t="shared" si="15"/>
        <v>-921475</v>
      </c>
      <c r="E39" s="618">
        <f>-E6-E35</f>
        <v>-748641</v>
      </c>
      <c r="F39" s="618">
        <f>-F6-F35</f>
        <v>-755818</v>
      </c>
      <c r="G39" s="618">
        <f>-G6+G35</f>
        <v>-769866</v>
      </c>
      <c r="H39" s="618">
        <f t="shared" si="16"/>
        <v>-150482</v>
      </c>
      <c r="I39" s="618">
        <f t="shared" si="16"/>
        <v>-147804</v>
      </c>
      <c r="J39" s="618">
        <f t="shared" si="16"/>
        <v>-151609</v>
      </c>
      <c r="K39" s="618">
        <f>-(K6+K33+K35+K36)</f>
        <v>-4712</v>
      </c>
      <c r="L39" s="618">
        <f>-(L6+L33+L35+L36)</f>
        <v>-4709</v>
      </c>
      <c r="M39" s="618">
        <f>-(M6+M33+M35+M36)</f>
        <v>-4709</v>
      </c>
      <c r="N39" s="618">
        <f>-N6+N33+N35+N36</f>
        <v>-5575</v>
      </c>
      <c r="O39" s="618">
        <f>-O6+O33+O35+O36</f>
        <v>-5144</v>
      </c>
      <c r="P39" s="618">
        <f>-P6+P33+P35+P36</f>
        <v>-5145</v>
      </c>
      <c r="Q39" s="618">
        <f>-(Q6+Q33+Q35+Q36)</f>
        <v>-22399</v>
      </c>
      <c r="R39" s="618">
        <f>-(R6+R33+R35+R36)</f>
        <v>-22818</v>
      </c>
      <c r="S39" s="618">
        <f>-(S6+S33+S35+S36)</f>
        <v>-23835</v>
      </c>
      <c r="T39" s="618">
        <f t="shared" ref="T39:Y39" si="18">-T6+T33+T35+T36</f>
        <v>-11905</v>
      </c>
      <c r="U39" s="618">
        <f t="shared" si="18"/>
        <v>-8364</v>
      </c>
      <c r="V39" s="618">
        <f t="shared" si="18"/>
        <v>-8364</v>
      </c>
      <c r="W39" s="618">
        <f t="shared" si="18"/>
        <v>-67929</v>
      </c>
      <c r="X39" s="618">
        <f t="shared" si="18"/>
        <v>-67989</v>
      </c>
      <c r="Y39" s="618">
        <f t="shared" si="18"/>
        <v>-69861</v>
      </c>
      <c r="Z39" s="618">
        <f>-(Z6+Z33+Z35+Z36)</f>
        <v>-4568</v>
      </c>
      <c r="AA39" s="618">
        <f>-(AA6+AA33+AA35+AA36)</f>
        <v>-4628</v>
      </c>
      <c r="AB39" s="618">
        <f>-(AB6+AB33+AB35+AB36)</f>
        <v>-4737</v>
      </c>
      <c r="AC39" s="618">
        <f t="shared" ref="AC39:AK39" si="19">-AC6+AC33+AC35+AC36</f>
        <v>-10960</v>
      </c>
      <c r="AD39" s="618">
        <f t="shared" si="19"/>
        <v>-10765</v>
      </c>
      <c r="AE39" s="618">
        <f t="shared" si="19"/>
        <v>-10682</v>
      </c>
      <c r="AF39" s="618">
        <f t="shared" si="19"/>
        <v>-7813</v>
      </c>
      <c r="AG39" s="618">
        <f t="shared" si="19"/>
        <v>-7931</v>
      </c>
      <c r="AH39" s="618">
        <f t="shared" si="19"/>
        <v>-8027</v>
      </c>
      <c r="AI39" s="618">
        <f t="shared" si="19"/>
        <v>-14621</v>
      </c>
      <c r="AJ39" s="618">
        <f t="shared" si="19"/>
        <v>-15456</v>
      </c>
      <c r="AK39" s="618">
        <f t="shared" si="19"/>
        <v>-16249</v>
      </c>
    </row>
    <row r="40" spans="1:37" ht="29.25" x14ac:dyDescent="0.25">
      <c r="A40" s="604" t="s">
        <v>1161</v>
      </c>
      <c r="B40" s="618">
        <f t="shared" si="15"/>
        <v>904661.3</v>
      </c>
      <c r="C40" s="618">
        <f t="shared" si="15"/>
        <v>903872.1</v>
      </c>
      <c r="D40" s="618">
        <f t="shared" si="15"/>
        <v>926109.1</v>
      </c>
      <c r="E40" s="618">
        <f>E11-E34</f>
        <v>748641</v>
      </c>
      <c r="F40" s="618">
        <f>F11-F34</f>
        <v>755818</v>
      </c>
      <c r="G40" s="618">
        <f>G11-G34</f>
        <v>776506</v>
      </c>
      <c r="H40" s="618">
        <f t="shared" si="16"/>
        <v>156020.29999999999</v>
      </c>
      <c r="I40" s="618">
        <f t="shared" si="16"/>
        <v>148054.1</v>
      </c>
      <c r="J40" s="618">
        <f t="shared" si="16"/>
        <v>149603.1</v>
      </c>
      <c r="K40" s="618">
        <f>K11+K32+K34-K35</f>
        <v>4712</v>
      </c>
      <c r="L40" s="618">
        <f t="shared" ref="L40:AK40" si="20">L11+L32+L34-L35</f>
        <v>4709</v>
      </c>
      <c r="M40" s="618">
        <f t="shared" si="20"/>
        <v>4709</v>
      </c>
      <c r="N40" s="618">
        <f t="shared" si="20"/>
        <v>5852.3</v>
      </c>
      <c r="O40" s="618">
        <f t="shared" si="20"/>
        <v>5373.1</v>
      </c>
      <c r="P40" s="618">
        <f t="shared" si="20"/>
        <v>5373.1</v>
      </c>
      <c r="Q40" s="618">
        <f t="shared" si="20"/>
        <v>21679</v>
      </c>
      <c r="R40" s="618">
        <f t="shared" si="20"/>
        <v>22098</v>
      </c>
      <c r="S40" s="618">
        <f t="shared" si="20"/>
        <v>20514</v>
      </c>
      <c r="T40" s="618">
        <f t="shared" si="20"/>
        <v>11905</v>
      </c>
      <c r="U40" s="618">
        <f t="shared" si="20"/>
        <v>8364</v>
      </c>
      <c r="V40" s="618">
        <f t="shared" si="20"/>
        <v>8364</v>
      </c>
      <c r="W40" s="618">
        <f t="shared" si="20"/>
        <v>73610</v>
      </c>
      <c r="X40" s="618">
        <f t="shared" si="20"/>
        <v>68323</v>
      </c>
      <c r="Y40" s="618">
        <f t="shared" si="20"/>
        <v>70442</v>
      </c>
      <c r="Z40" s="618">
        <f t="shared" si="20"/>
        <v>4664</v>
      </c>
      <c r="AA40" s="618">
        <f t="shared" si="20"/>
        <v>4728</v>
      </c>
      <c r="AB40" s="618">
        <f t="shared" si="20"/>
        <v>4842</v>
      </c>
      <c r="AC40" s="618">
        <f t="shared" si="20"/>
        <v>10959</v>
      </c>
      <c r="AD40" s="618">
        <f t="shared" si="20"/>
        <v>10675</v>
      </c>
      <c r="AE40" s="618">
        <f t="shared" si="20"/>
        <v>10682</v>
      </c>
      <c r="AF40" s="618">
        <f t="shared" si="20"/>
        <v>8018</v>
      </c>
      <c r="AG40" s="618">
        <f t="shared" si="20"/>
        <v>8328</v>
      </c>
      <c r="AH40" s="618">
        <f t="shared" si="20"/>
        <v>8428</v>
      </c>
      <c r="AI40" s="618">
        <f t="shared" si="20"/>
        <v>14621</v>
      </c>
      <c r="AJ40" s="618">
        <f t="shared" si="20"/>
        <v>15456</v>
      </c>
      <c r="AK40" s="618">
        <f t="shared" si="20"/>
        <v>16249</v>
      </c>
    </row>
  </sheetData>
  <mergeCells count="25">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 ref="E29:G29"/>
    <mergeCell ref="K29:M29"/>
    <mergeCell ref="N29:P29"/>
    <mergeCell ref="Q29:S29"/>
    <mergeCell ref="T29:V29"/>
    <mergeCell ref="W29:Y29"/>
    <mergeCell ref="Z29:AB29"/>
    <mergeCell ref="AC29:AE29"/>
    <mergeCell ref="AF29:AH29"/>
    <mergeCell ref="AI29:AK29"/>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3" customWidth="1"/>
    <col min="9" max="9" width="14.140625" style="283" customWidth="1"/>
    <col min="10" max="10" width="13.42578125" style="283" customWidth="1"/>
    <col min="11" max="11" width="14.5703125" style="283" customWidth="1"/>
    <col min="12" max="12" width="14.28515625" style="283"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619"/>
      <c r="B1" s="619"/>
      <c r="C1" s="1034" t="s">
        <v>1236</v>
      </c>
      <c r="D1" s="1034"/>
      <c r="E1" s="1034"/>
      <c r="F1" s="1034"/>
      <c r="G1" s="1034"/>
      <c r="H1" s="1034"/>
      <c r="I1" s="1034"/>
      <c r="J1" s="1034"/>
      <c r="K1" s="1034"/>
      <c r="L1" s="1034"/>
      <c r="M1" s="1034"/>
      <c r="N1" s="1034"/>
      <c r="O1" s="1034"/>
    </row>
    <row r="2" spans="1:15" x14ac:dyDescent="0.25">
      <c r="A2" s="620"/>
      <c r="B2" s="620"/>
      <c r="C2" s="621"/>
    </row>
    <row r="3" spans="1:15" x14ac:dyDescent="0.25">
      <c r="A3" s="620"/>
      <c r="B3" s="620"/>
      <c r="C3" s="1035" t="s">
        <v>1128</v>
      </c>
      <c r="D3" s="1035"/>
      <c r="E3" s="1035"/>
      <c r="F3" s="1035"/>
      <c r="G3" s="1035"/>
      <c r="H3" s="1035"/>
      <c r="I3" s="1035"/>
      <c r="J3" s="1035"/>
      <c r="K3" s="1035"/>
      <c r="L3" s="1035"/>
      <c r="M3" s="1035"/>
      <c r="N3" s="1035"/>
      <c r="O3" s="1035"/>
    </row>
    <row r="4" spans="1:15" ht="15" customHeight="1" x14ac:dyDescent="0.25">
      <c r="A4" s="1036" t="s">
        <v>121</v>
      </c>
      <c r="B4" s="1037"/>
      <c r="C4" s="1040" t="s">
        <v>1</v>
      </c>
      <c r="D4" s="1040" t="s">
        <v>1232</v>
      </c>
      <c r="E4" s="1040"/>
      <c r="F4" s="1040"/>
      <c r="G4" s="1041" t="s">
        <v>1233</v>
      </c>
      <c r="H4" s="1042"/>
      <c r="I4" s="1043"/>
      <c r="J4" s="1044" t="s">
        <v>1234</v>
      </c>
      <c r="K4" s="1045"/>
      <c r="L4" s="1046"/>
      <c r="M4" s="1040" t="s">
        <v>1235</v>
      </c>
      <c r="N4" s="1040"/>
      <c r="O4" s="1040"/>
    </row>
    <row r="5" spans="1:15" ht="45" x14ac:dyDescent="0.25">
      <c r="A5" s="1038"/>
      <c r="B5" s="1039"/>
      <c r="C5" s="1040"/>
      <c r="D5" s="622" t="s">
        <v>1129</v>
      </c>
      <c r="E5" s="622" t="s">
        <v>1130</v>
      </c>
      <c r="F5" s="622" t="s">
        <v>1131</v>
      </c>
      <c r="G5" s="622" t="s">
        <v>1129</v>
      </c>
      <c r="H5" s="623" t="s">
        <v>1130</v>
      </c>
      <c r="I5" s="623" t="s">
        <v>1131</v>
      </c>
      <c r="J5" s="623" t="s">
        <v>1129</v>
      </c>
      <c r="K5" s="623" t="s">
        <v>1130</v>
      </c>
      <c r="L5" s="623" t="s">
        <v>1131</v>
      </c>
      <c r="M5" s="622" t="s">
        <v>1129</v>
      </c>
      <c r="N5" s="622" t="s">
        <v>1130</v>
      </c>
      <c r="O5" s="622" t="s">
        <v>1131</v>
      </c>
    </row>
    <row r="6" spans="1:15" x14ac:dyDescent="0.25">
      <c r="A6" s="1047" t="s">
        <v>1162</v>
      </c>
      <c r="B6" s="1048"/>
      <c r="C6" s="1048"/>
      <c r="D6" s="1048"/>
      <c r="E6" s="1048"/>
      <c r="F6" s="1048"/>
      <c r="G6" s="1048"/>
      <c r="H6" s="1048"/>
      <c r="I6" s="1048"/>
      <c r="J6" s="1048"/>
      <c r="K6" s="1048"/>
      <c r="L6" s="1048"/>
      <c r="M6" s="1048"/>
      <c r="N6" s="1048"/>
      <c r="O6" s="1049"/>
    </row>
    <row r="7" spans="1:15" x14ac:dyDescent="0.25">
      <c r="A7" s="624" t="s">
        <v>1163</v>
      </c>
      <c r="B7" s="624" t="s">
        <v>1164</v>
      </c>
      <c r="C7" s="624"/>
      <c r="D7" s="624"/>
      <c r="E7" s="624"/>
      <c r="F7" s="624"/>
      <c r="G7" s="624"/>
      <c r="H7" s="624"/>
      <c r="I7" s="624"/>
      <c r="J7" s="624"/>
      <c r="K7" s="624"/>
      <c r="L7" s="624"/>
      <c r="M7" s="624"/>
      <c r="N7" s="624"/>
      <c r="O7" s="624"/>
    </row>
    <row r="8" spans="1:15" x14ac:dyDescent="0.25">
      <c r="A8" s="625" t="s">
        <v>1165</v>
      </c>
      <c r="B8" s="625" t="s">
        <v>122</v>
      </c>
      <c r="C8" s="626" t="s">
        <v>1166</v>
      </c>
      <c r="D8" s="627">
        <f t="shared" ref="D8:D30" si="0">E8+F8</f>
        <v>176658</v>
      </c>
      <c r="E8" s="628">
        <v>100240</v>
      </c>
      <c r="F8" s="628">
        <v>76418</v>
      </c>
      <c r="G8" s="627">
        <f t="shared" ref="G8:G20" si="1">SUM(H8:I8)</f>
        <v>133979</v>
      </c>
      <c r="H8" s="629">
        <v>71541</v>
      </c>
      <c r="I8" s="629">
        <v>62438</v>
      </c>
      <c r="J8" s="630">
        <f>K8+L8</f>
        <v>183290</v>
      </c>
      <c r="K8" s="629">
        <v>100250</v>
      </c>
      <c r="L8" s="629">
        <v>83040</v>
      </c>
      <c r="M8" s="627">
        <f>N8+O8</f>
        <v>178638.66666666669</v>
      </c>
      <c r="N8" s="628">
        <f>H8/9*12</f>
        <v>95388</v>
      </c>
      <c r="O8" s="628">
        <f>I8/9*12</f>
        <v>83250.666666666672</v>
      </c>
    </row>
    <row r="9" spans="1:15" ht="60" x14ac:dyDescent="0.25">
      <c r="A9" s="625" t="s">
        <v>1165</v>
      </c>
      <c r="B9" s="625" t="s">
        <v>123</v>
      </c>
      <c r="C9" s="626" t="s">
        <v>1167</v>
      </c>
      <c r="D9" s="627">
        <f>E9+F9</f>
        <v>25760</v>
      </c>
      <c r="E9" s="628">
        <v>20512</v>
      </c>
      <c r="F9" s="628">
        <v>5248</v>
      </c>
      <c r="G9" s="627">
        <f t="shared" si="1"/>
        <v>22455</v>
      </c>
      <c r="H9" s="629">
        <v>17880</v>
      </c>
      <c r="I9" s="629">
        <v>4575</v>
      </c>
      <c r="J9" s="630">
        <f>K9+L9</f>
        <v>25760</v>
      </c>
      <c r="K9" s="629">
        <v>20512</v>
      </c>
      <c r="L9" s="629">
        <v>5248</v>
      </c>
      <c r="M9" s="627">
        <f>N9+O9</f>
        <v>29940</v>
      </c>
      <c r="N9" s="628">
        <f>H9/9*12</f>
        <v>23840</v>
      </c>
      <c r="O9" s="628">
        <f t="shared" ref="N9:O20" si="2">I9/9*12</f>
        <v>6100</v>
      </c>
    </row>
    <row r="10" spans="1:15" x14ac:dyDescent="0.25">
      <c r="A10" s="625" t="s">
        <v>1165</v>
      </c>
      <c r="B10" s="625" t="s">
        <v>124</v>
      </c>
      <c r="C10" s="626" t="s">
        <v>1168</v>
      </c>
      <c r="D10" s="627">
        <f t="shared" si="0"/>
        <v>22200</v>
      </c>
      <c r="E10" s="628">
        <v>22199</v>
      </c>
      <c r="F10" s="628">
        <v>1</v>
      </c>
      <c r="G10" s="627">
        <f t="shared" si="1"/>
        <v>14989</v>
      </c>
      <c r="H10" s="629">
        <v>14988</v>
      </c>
      <c r="I10" s="629">
        <v>1</v>
      </c>
      <c r="J10" s="630">
        <f t="shared" ref="J10:J31" si="3">K10+L10</f>
        <v>22213</v>
      </c>
      <c r="K10" s="629">
        <v>22212</v>
      </c>
      <c r="L10" s="629">
        <v>1</v>
      </c>
      <c r="M10" s="627">
        <f t="shared" ref="M10:M20" si="4">N10+O10</f>
        <v>19985.333333333332</v>
      </c>
      <c r="N10" s="628">
        <f t="shared" si="2"/>
        <v>19984</v>
      </c>
      <c r="O10" s="628">
        <f t="shared" si="2"/>
        <v>1.3333333333333333</v>
      </c>
    </row>
    <row r="11" spans="1:15" x14ac:dyDescent="0.25">
      <c r="A11" s="631" t="s">
        <v>1165</v>
      </c>
      <c r="B11" s="631" t="s">
        <v>125</v>
      </c>
      <c r="C11" s="632" t="s">
        <v>1169</v>
      </c>
      <c r="D11" s="627">
        <f t="shared" si="0"/>
        <v>37283</v>
      </c>
      <c r="E11" s="633">
        <v>24320</v>
      </c>
      <c r="F11" s="628">
        <v>12963</v>
      </c>
      <c r="G11" s="627">
        <f t="shared" si="1"/>
        <v>32429</v>
      </c>
      <c r="H11" s="629">
        <v>24324</v>
      </c>
      <c r="I11" s="629">
        <v>8105</v>
      </c>
      <c r="J11" s="630">
        <f t="shared" si="3"/>
        <v>38879</v>
      </c>
      <c r="K11" s="629">
        <v>24322</v>
      </c>
      <c r="L11" s="629">
        <v>14557</v>
      </c>
      <c r="M11" s="627">
        <f t="shared" si="4"/>
        <v>43238.666666666664</v>
      </c>
      <c r="N11" s="628">
        <f t="shared" si="2"/>
        <v>32432</v>
      </c>
      <c r="O11" s="628">
        <f t="shared" si="2"/>
        <v>10806.666666666666</v>
      </c>
    </row>
    <row r="12" spans="1:15" x14ac:dyDescent="0.25">
      <c r="A12" s="625" t="s">
        <v>1165</v>
      </c>
      <c r="B12" s="625" t="s">
        <v>126</v>
      </c>
      <c r="C12" s="626" t="s">
        <v>1170</v>
      </c>
      <c r="D12" s="627">
        <f t="shared" si="0"/>
        <v>3166</v>
      </c>
      <c r="E12" s="628">
        <v>3000</v>
      </c>
      <c r="F12" s="628">
        <v>166</v>
      </c>
      <c r="G12" s="627">
        <f t="shared" si="1"/>
        <v>2166</v>
      </c>
      <c r="H12" s="629">
        <v>2041</v>
      </c>
      <c r="I12" s="629">
        <v>125</v>
      </c>
      <c r="J12" s="630">
        <f t="shared" si="3"/>
        <v>3206</v>
      </c>
      <c r="K12" s="629">
        <v>3005</v>
      </c>
      <c r="L12" s="629">
        <v>201</v>
      </c>
      <c r="M12" s="627">
        <f>N12+O12</f>
        <v>2887.9999999999995</v>
      </c>
      <c r="N12" s="628">
        <f t="shared" si="2"/>
        <v>2721.333333333333</v>
      </c>
      <c r="O12" s="628">
        <f t="shared" si="2"/>
        <v>166.66666666666669</v>
      </c>
    </row>
    <row r="13" spans="1:15" ht="51.75" x14ac:dyDescent="0.25">
      <c r="A13" s="631" t="s">
        <v>1165</v>
      </c>
      <c r="B13" s="631" t="s">
        <v>127</v>
      </c>
      <c r="C13" s="632" t="s">
        <v>1171</v>
      </c>
      <c r="D13" s="627">
        <f t="shared" si="0"/>
        <v>0</v>
      </c>
      <c r="E13" s="628">
        <v>0</v>
      </c>
      <c r="F13" s="628">
        <v>0</v>
      </c>
      <c r="G13" s="627">
        <f t="shared" si="1"/>
        <v>0</v>
      </c>
      <c r="H13" s="629">
        <v>0</v>
      </c>
      <c r="I13" s="629">
        <v>0</v>
      </c>
      <c r="J13" s="630">
        <f t="shared" si="3"/>
        <v>0</v>
      </c>
      <c r="K13" s="629">
        <v>0</v>
      </c>
      <c r="L13" s="629">
        <v>0</v>
      </c>
      <c r="M13" s="627">
        <f t="shared" si="4"/>
        <v>0</v>
      </c>
      <c r="N13" s="628">
        <f t="shared" si="2"/>
        <v>0</v>
      </c>
      <c r="O13" s="628">
        <f t="shared" si="2"/>
        <v>0</v>
      </c>
    </row>
    <row r="14" spans="1:15" ht="75" x14ac:dyDescent="0.25">
      <c r="A14" s="625" t="s">
        <v>1165</v>
      </c>
      <c r="B14" s="625" t="s">
        <v>128</v>
      </c>
      <c r="C14" s="626" t="s">
        <v>1172</v>
      </c>
      <c r="D14" s="627">
        <f t="shared" si="0"/>
        <v>43237</v>
      </c>
      <c r="E14" s="628">
        <v>24722</v>
      </c>
      <c r="F14" s="628">
        <v>18515</v>
      </c>
      <c r="G14" s="627">
        <f t="shared" si="1"/>
        <v>39077</v>
      </c>
      <c r="H14" s="629">
        <v>25219</v>
      </c>
      <c r="I14" s="629">
        <v>13858</v>
      </c>
      <c r="J14" s="630">
        <f t="shared" si="3"/>
        <v>46884</v>
      </c>
      <c r="K14" s="629">
        <v>27450</v>
      </c>
      <c r="L14" s="629">
        <v>19434</v>
      </c>
      <c r="M14" s="627">
        <f t="shared" si="4"/>
        <v>52102.666666666672</v>
      </c>
      <c r="N14" s="628">
        <f t="shared" si="2"/>
        <v>33625.333333333336</v>
      </c>
      <c r="O14" s="628">
        <f t="shared" si="2"/>
        <v>18477.333333333336</v>
      </c>
    </row>
    <row r="15" spans="1:15" ht="30" x14ac:dyDescent="0.25">
      <c r="A15" s="625" t="s">
        <v>1165</v>
      </c>
      <c r="B15" s="625" t="s">
        <v>129</v>
      </c>
      <c r="C15" s="626" t="s">
        <v>1173</v>
      </c>
      <c r="D15" s="627">
        <f t="shared" si="0"/>
        <v>949</v>
      </c>
      <c r="E15" s="628">
        <v>949</v>
      </c>
      <c r="F15" s="628">
        <v>0</v>
      </c>
      <c r="G15" s="627">
        <f t="shared" si="1"/>
        <v>19</v>
      </c>
      <c r="H15" s="629">
        <v>19</v>
      </c>
      <c r="I15" s="629">
        <v>0</v>
      </c>
      <c r="J15" s="630">
        <f t="shared" si="3"/>
        <v>1047</v>
      </c>
      <c r="K15" s="629">
        <v>1047</v>
      </c>
      <c r="L15" s="629">
        <v>0</v>
      </c>
      <c r="M15" s="627">
        <f t="shared" si="4"/>
        <v>25.333333333333336</v>
      </c>
      <c r="N15" s="628">
        <f>H15/9*12</f>
        <v>25.333333333333336</v>
      </c>
      <c r="O15" s="628">
        <f t="shared" si="2"/>
        <v>0</v>
      </c>
    </row>
    <row r="16" spans="1:15" ht="39" x14ac:dyDescent="0.25">
      <c r="A16" s="631" t="s">
        <v>1165</v>
      </c>
      <c r="B16" s="631" t="s">
        <v>130</v>
      </c>
      <c r="C16" s="632" t="s">
        <v>1174</v>
      </c>
      <c r="D16" s="627">
        <f t="shared" si="0"/>
        <v>0</v>
      </c>
      <c r="E16" s="628">
        <v>0</v>
      </c>
      <c r="F16" s="628">
        <v>0</v>
      </c>
      <c r="G16" s="627">
        <f t="shared" si="1"/>
        <v>6022</v>
      </c>
      <c r="H16" s="629">
        <v>5970</v>
      </c>
      <c r="I16" s="629">
        <v>52</v>
      </c>
      <c r="J16" s="630">
        <f t="shared" si="3"/>
        <v>66</v>
      </c>
      <c r="K16" s="629">
        <v>14</v>
      </c>
      <c r="L16" s="629">
        <v>52</v>
      </c>
      <c r="M16" s="627">
        <f t="shared" si="4"/>
        <v>7960</v>
      </c>
      <c r="N16" s="628">
        <f t="shared" si="2"/>
        <v>7960</v>
      </c>
      <c r="O16" s="628">
        <v>0</v>
      </c>
    </row>
    <row r="17" spans="1:15" ht="45" x14ac:dyDescent="0.25">
      <c r="A17" s="625" t="s">
        <v>1165</v>
      </c>
      <c r="B17" s="625" t="s">
        <v>131</v>
      </c>
      <c r="C17" s="626" t="s">
        <v>1175</v>
      </c>
      <c r="D17" s="627">
        <f t="shared" si="0"/>
        <v>825</v>
      </c>
      <c r="E17" s="628">
        <v>640</v>
      </c>
      <c r="F17" s="628">
        <v>185</v>
      </c>
      <c r="G17" s="627">
        <f t="shared" si="1"/>
        <v>798</v>
      </c>
      <c r="H17" s="629">
        <v>549</v>
      </c>
      <c r="I17" s="629">
        <v>249</v>
      </c>
      <c r="J17" s="630">
        <f t="shared" si="3"/>
        <v>1353</v>
      </c>
      <c r="K17" s="629">
        <v>669</v>
      </c>
      <c r="L17" s="629">
        <v>684</v>
      </c>
      <c r="M17" s="627">
        <f t="shared" si="4"/>
        <v>1064</v>
      </c>
      <c r="N17" s="628">
        <f t="shared" si="2"/>
        <v>732</v>
      </c>
      <c r="O17" s="628">
        <f t="shared" si="2"/>
        <v>332</v>
      </c>
    </row>
    <row r="18" spans="1:15" ht="30" x14ac:dyDescent="0.25">
      <c r="A18" s="625" t="s">
        <v>1165</v>
      </c>
      <c r="B18" s="625" t="s">
        <v>1176</v>
      </c>
      <c r="C18" s="626" t="s">
        <v>1177</v>
      </c>
      <c r="D18" s="627">
        <f t="shared" si="0"/>
        <v>138</v>
      </c>
      <c r="E18" s="628">
        <v>0</v>
      </c>
      <c r="F18" s="628">
        <v>138</v>
      </c>
      <c r="G18" s="627">
        <f t="shared" si="1"/>
        <v>103</v>
      </c>
      <c r="H18" s="629">
        <v>2</v>
      </c>
      <c r="I18" s="629">
        <v>101</v>
      </c>
      <c r="J18" s="630">
        <f t="shared" si="3"/>
        <v>138</v>
      </c>
      <c r="K18" s="629">
        <v>0</v>
      </c>
      <c r="L18" s="629">
        <v>138</v>
      </c>
      <c r="M18" s="627">
        <f t="shared" si="4"/>
        <v>137.33333333333331</v>
      </c>
      <c r="N18" s="628">
        <f t="shared" si="2"/>
        <v>2.6666666666666665</v>
      </c>
      <c r="O18" s="628">
        <f t="shared" si="2"/>
        <v>134.66666666666666</v>
      </c>
    </row>
    <row r="19" spans="1:15" ht="30" x14ac:dyDescent="0.25">
      <c r="A19" s="625" t="s">
        <v>1165</v>
      </c>
      <c r="B19" s="625" t="s">
        <v>1178</v>
      </c>
      <c r="C19" s="626" t="s">
        <v>1179</v>
      </c>
      <c r="D19" s="627">
        <f t="shared" si="0"/>
        <v>1613</v>
      </c>
      <c r="E19" s="628">
        <v>1601</v>
      </c>
      <c r="F19" s="628">
        <v>12</v>
      </c>
      <c r="G19" s="627">
        <f t="shared" si="1"/>
        <v>2564</v>
      </c>
      <c r="H19" s="629">
        <v>2456</v>
      </c>
      <c r="I19" s="629">
        <v>108</v>
      </c>
      <c r="J19" s="630">
        <f t="shared" si="3"/>
        <v>2499</v>
      </c>
      <c r="K19" s="629">
        <v>2401</v>
      </c>
      <c r="L19" s="629">
        <v>98</v>
      </c>
      <c r="M19" s="627">
        <f t="shared" si="4"/>
        <v>3418.666666666667</v>
      </c>
      <c r="N19" s="628">
        <f t="shared" si="2"/>
        <v>3274.666666666667</v>
      </c>
      <c r="O19" s="628">
        <f t="shared" si="2"/>
        <v>144</v>
      </c>
    </row>
    <row r="20" spans="1:15" x14ac:dyDescent="0.25">
      <c r="A20" s="631" t="s">
        <v>1165</v>
      </c>
      <c r="B20" s="631" t="s">
        <v>1180</v>
      </c>
      <c r="C20" s="632" t="s">
        <v>1181</v>
      </c>
      <c r="D20" s="627">
        <f t="shared" si="0"/>
        <v>3551</v>
      </c>
      <c r="E20" s="628">
        <v>0</v>
      </c>
      <c r="F20" s="628">
        <v>3551</v>
      </c>
      <c r="G20" s="627">
        <f t="shared" si="1"/>
        <v>2321</v>
      </c>
      <c r="H20" s="629">
        <v>117</v>
      </c>
      <c r="I20" s="629">
        <v>2204</v>
      </c>
      <c r="J20" s="630">
        <f t="shared" si="3"/>
        <v>3751</v>
      </c>
      <c r="K20" s="629">
        <v>0</v>
      </c>
      <c r="L20" s="629">
        <v>3751</v>
      </c>
      <c r="M20" s="627">
        <f t="shared" si="4"/>
        <v>3094.6666666666665</v>
      </c>
      <c r="N20" s="628">
        <f t="shared" si="2"/>
        <v>156</v>
      </c>
      <c r="O20" s="628">
        <f t="shared" si="2"/>
        <v>2938.6666666666665</v>
      </c>
    </row>
    <row r="21" spans="1:15" ht="26.25" x14ac:dyDescent="0.25">
      <c r="A21" s="634" t="s">
        <v>132</v>
      </c>
      <c r="B21" s="634" t="s">
        <v>133</v>
      </c>
      <c r="C21" s="635" t="s">
        <v>1113</v>
      </c>
      <c r="D21" s="627">
        <f t="shared" si="0"/>
        <v>417982</v>
      </c>
      <c r="E21" s="627">
        <f>E22+E23+E24+E25+E29</f>
        <v>393980</v>
      </c>
      <c r="F21" s="627">
        <f>F22+F24+F27+F29</f>
        <v>24002</v>
      </c>
      <c r="G21" s="627">
        <f>SUM(H21:I21)</f>
        <v>473258</v>
      </c>
      <c r="H21" s="630">
        <f>H22+H23+H24+H25+H28+H30+H26+H29+H27</f>
        <v>396072</v>
      </c>
      <c r="I21" s="630">
        <f>I22+I23+I24+I25+I28+I30+I26+I29+I27</f>
        <v>77186</v>
      </c>
      <c r="J21" s="630">
        <f t="shared" si="3"/>
        <v>760164</v>
      </c>
      <c r="K21" s="630">
        <f>K22+K23+K24+K25+K26+K29+K28+K30+K27</f>
        <v>588550</v>
      </c>
      <c r="L21" s="630">
        <f>L22+L23+L24+L25+L26+L28+L29+L27</f>
        <v>171614</v>
      </c>
      <c r="M21" s="627">
        <f>N21+O21</f>
        <v>629142</v>
      </c>
      <c r="N21" s="627">
        <f>N22+N23+N24+N25+N26+N28+N30+N29</f>
        <v>479184</v>
      </c>
      <c r="O21" s="627">
        <f>O22+O23+O24+O25+O26+O28+O30+O29</f>
        <v>149958</v>
      </c>
    </row>
    <row r="22" spans="1:15" ht="60" x14ac:dyDescent="0.25">
      <c r="A22" s="624" t="s">
        <v>1073</v>
      </c>
      <c r="B22" s="624" t="s">
        <v>132</v>
      </c>
      <c r="C22" s="636" t="s">
        <v>1182</v>
      </c>
      <c r="D22" s="627">
        <f t="shared" si="0"/>
        <v>213638</v>
      </c>
      <c r="E22" s="637">
        <v>191499</v>
      </c>
      <c r="F22" s="637">
        <v>22139</v>
      </c>
      <c r="G22" s="627">
        <f t="shared" ref="G22:G31" si="5">SUM(H22:I22)</f>
        <v>184807</v>
      </c>
      <c r="H22" s="638">
        <v>168532</v>
      </c>
      <c r="I22" s="638">
        <v>16275</v>
      </c>
      <c r="J22" s="630">
        <f t="shared" si="3"/>
        <v>249157</v>
      </c>
      <c r="K22" s="638">
        <v>227050</v>
      </c>
      <c r="L22" s="638">
        <v>22107</v>
      </c>
      <c r="M22" s="627">
        <f t="shared" ref="M22:M31" si="6">N22+O22</f>
        <v>175398</v>
      </c>
      <c r="N22" s="637">
        <v>156191</v>
      </c>
      <c r="O22" s="637">
        <v>19207</v>
      </c>
    </row>
    <row r="23" spans="1:15" ht="75" x14ac:dyDescent="0.25">
      <c r="A23" s="624" t="s">
        <v>1073</v>
      </c>
      <c r="B23" s="624" t="s">
        <v>132</v>
      </c>
      <c r="C23" s="636" t="s">
        <v>1183</v>
      </c>
      <c r="D23" s="627">
        <f t="shared" si="0"/>
        <v>1851</v>
      </c>
      <c r="E23" s="637">
        <v>1851</v>
      </c>
      <c r="F23" s="637">
        <v>0</v>
      </c>
      <c r="G23" s="627">
        <f t="shared" si="5"/>
        <v>22944</v>
      </c>
      <c r="H23" s="638">
        <v>2709</v>
      </c>
      <c r="I23" s="638">
        <v>20235</v>
      </c>
      <c r="J23" s="630">
        <f t="shared" si="3"/>
        <v>88241</v>
      </c>
      <c r="K23" s="638">
        <v>41852</v>
      </c>
      <c r="L23" s="638">
        <v>46389</v>
      </c>
      <c r="M23" s="627">
        <f t="shared" si="6"/>
        <v>110950</v>
      </c>
      <c r="N23" s="637">
        <v>2373</v>
      </c>
      <c r="O23" s="637">
        <v>108577</v>
      </c>
    </row>
    <row r="24" spans="1:15" ht="60" x14ac:dyDescent="0.25">
      <c r="A24" s="624" t="s">
        <v>1073</v>
      </c>
      <c r="B24" s="624" t="s">
        <v>132</v>
      </c>
      <c r="C24" s="636" t="s">
        <v>1184</v>
      </c>
      <c r="D24" s="627">
        <f t="shared" si="0"/>
        <v>330164</v>
      </c>
      <c r="E24" s="637">
        <v>328351</v>
      </c>
      <c r="F24" s="637">
        <v>1813</v>
      </c>
      <c r="G24" s="627">
        <f t="shared" si="5"/>
        <v>252028</v>
      </c>
      <c r="H24" s="638">
        <v>250901</v>
      </c>
      <c r="I24" s="638">
        <v>1127</v>
      </c>
      <c r="J24" s="630">
        <f t="shared" si="3"/>
        <v>317265</v>
      </c>
      <c r="K24" s="638">
        <v>315321</v>
      </c>
      <c r="L24" s="638">
        <v>1944</v>
      </c>
      <c r="M24" s="627">
        <f t="shared" si="6"/>
        <v>317764</v>
      </c>
      <c r="N24" s="637">
        <v>315955</v>
      </c>
      <c r="O24" s="637">
        <v>1809</v>
      </c>
    </row>
    <row r="25" spans="1:15" ht="30" x14ac:dyDescent="0.25">
      <c r="A25" s="624" t="s">
        <v>1073</v>
      </c>
      <c r="B25" s="624" t="s">
        <v>132</v>
      </c>
      <c r="C25" s="636" t="s">
        <v>1185</v>
      </c>
      <c r="D25" s="627">
        <f t="shared" si="0"/>
        <v>576</v>
      </c>
      <c r="E25" s="637">
        <v>576</v>
      </c>
      <c r="F25" s="637">
        <v>0</v>
      </c>
      <c r="G25" s="627">
        <f t="shared" si="5"/>
        <v>48477</v>
      </c>
      <c r="H25" s="638">
        <v>2551</v>
      </c>
      <c r="I25" s="638">
        <v>45926</v>
      </c>
      <c r="J25" s="630">
        <f t="shared" si="3"/>
        <v>53203</v>
      </c>
      <c r="K25" s="638">
        <v>3494</v>
      </c>
      <c r="L25" s="638">
        <v>49709</v>
      </c>
      <c r="M25" s="627">
        <f t="shared" si="6"/>
        <v>25030</v>
      </c>
      <c r="N25" s="637">
        <v>4665</v>
      </c>
      <c r="O25" s="637">
        <v>20365</v>
      </c>
    </row>
    <row r="26" spans="1:15" ht="30" x14ac:dyDescent="0.25">
      <c r="A26" s="624" t="s">
        <v>1073</v>
      </c>
      <c r="B26" s="624" t="s">
        <v>132</v>
      </c>
      <c r="C26" s="636" t="s">
        <v>1186</v>
      </c>
      <c r="D26" s="627">
        <f t="shared" si="0"/>
        <v>0</v>
      </c>
      <c r="E26" s="637"/>
      <c r="F26" s="637">
        <v>0</v>
      </c>
      <c r="G26" s="627">
        <f t="shared" si="5"/>
        <v>0</v>
      </c>
      <c r="H26" s="638">
        <v>0</v>
      </c>
      <c r="I26" s="638">
        <v>0</v>
      </c>
      <c r="J26" s="630">
        <f t="shared" si="3"/>
        <v>0</v>
      </c>
      <c r="K26" s="638">
        <v>0</v>
      </c>
      <c r="L26" s="638">
        <v>0</v>
      </c>
      <c r="M26" s="627">
        <f t="shared" si="6"/>
        <v>0</v>
      </c>
      <c r="N26" s="637">
        <f>H26/9*12</f>
        <v>0</v>
      </c>
      <c r="O26" s="637">
        <v>0</v>
      </c>
    </row>
    <row r="27" spans="1:15" ht="30" x14ac:dyDescent="0.25">
      <c r="A27" s="624" t="s">
        <v>1073</v>
      </c>
      <c r="B27" s="624" t="s">
        <v>138</v>
      </c>
      <c r="C27" s="636" t="s">
        <v>1187</v>
      </c>
      <c r="D27" s="627">
        <f t="shared" si="0"/>
        <v>50</v>
      </c>
      <c r="E27" s="637"/>
      <c r="F27" s="637">
        <v>50</v>
      </c>
      <c r="G27" s="627">
        <f t="shared" si="5"/>
        <v>53211</v>
      </c>
      <c r="H27" s="638">
        <v>1746</v>
      </c>
      <c r="I27" s="638">
        <v>51465</v>
      </c>
      <c r="J27" s="630">
        <f t="shared" si="3"/>
        <v>53211</v>
      </c>
      <c r="K27" s="638">
        <v>1746</v>
      </c>
      <c r="L27" s="638">
        <v>51465</v>
      </c>
      <c r="M27" s="627"/>
      <c r="N27" s="637"/>
      <c r="O27" s="637">
        <v>250</v>
      </c>
    </row>
    <row r="28" spans="1:15" ht="180" x14ac:dyDescent="0.25">
      <c r="A28" s="624" t="s">
        <v>1073</v>
      </c>
      <c r="B28" s="624" t="s">
        <v>1188</v>
      </c>
      <c r="C28" s="636" t="s">
        <v>1189</v>
      </c>
      <c r="D28" s="627">
        <f t="shared" si="0"/>
        <v>0</v>
      </c>
      <c r="E28" s="637">
        <v>0</v>
      </c>
      <c r="F28" s="637">
        <v>0</v>
      </c>
      <c r="G28" s="627">
        <f t="shared" si="5"/>
        <v>0</v>
      </c>
      <c r="H28" s="638">
        <v>0</v>
      </c>
      <c r="I28" s="638">
        <v>0</v>
      </c>
      <c r="J28" s="630">
        <f t="shared" si="3"/>
        <v>0</v>
      </c>
      <c r="K28" s="638">
        <v>0</v>
      </c>
      <c r="L28" s="638">
        <v>0</v>
      </c>
      <c r="M28" s="627">
        <f t="shared" si="6"/>
        <v>0</v>
      </c>
      <c r="N28" s="637">
        <v>0</v>
      </c>
      <c r="O28" s="637">
        <v>0</v>
      </c>
    </row>
    <row r="29" spans="1:15" ht="75" x14ac:dyDescent="0.25">
      <c r="A29" s="639" t="s">
        <v>1073</v>
      </c>
      <c r="B29" s="639" t="s">
        <v>1190</v>
      </c>
      <c r="C29" s="640" t="s">
        <v>1191</v>
      </c>
      <c r="D29" s="627">
        <f t="shared" si="0"/>
        <v>-128297</v>
      </c>
      <c r="E29" s="637">
        <v>-128297</v>
      </c>
      <c r="F29" s="637">
        <v>0</v>
      </c>
      <c r="G29" s="627">
        <f t="shared" si="5"/>
        <v>-88209</v>
      </c>
      <c r="H29" s="638">
        <v>-30367</v>
      </c>
      <c r="I29" s="638">
        <v>-57842</v>
      </c>
      <c r="J29" s="630">
        <f t="shared" si="3"/>
        <v>-913</v>
      </c>
      <c r="K29" s="638">
        <v>-913</v>
      </c>
      <c r="L29" s="638">
        <v>0</v>
      </c>
      <c r="M29" s="627">
        <f t="shared" si="6"/>
        <v>0</v>
      </c>
      <c r="N29" s="637">
        <v>0</v>
      </c>
      <c r="O29" s="637">
        <v>0</v>
      </c>
    </row>
    <row r="30" spans="1:15" ht="30" x14ac:dyDescent="0.25">
      <c r="A30" s="624" t="s">
        <v>1073</v>
      </c>
      <c r="B30" s="624" t="s">
        <v>132</v>
      </c>
      <c r="C30" s="636" t="s">
        <v>1187</v>
      </c>
      <c r="D30" s="627">
        <f t="shared" si="0"/>
        <v>0</v>
      </c>
      <c r="E30" s="637">
        <v>0</v>
      </c>
      <c r="F30" s="637">
        <v>0</v>
      </c>
      <c r="G30" s="627">
        <f t="shared" si="5"/>
        <v>0</v>
      </c>
      <c r="H30" s="638">
        <v>0</v>
      </c>
      <c r="I30" s="638">
        <v>0</v>
      </c>
      <c r="J30" s="630">
        <f t="shared" si="3"/>
        <v>0</v>
      </c>
      <c r="K30" s="638">
        <v>0</v>
      </c>
      <c r="L30" s="638">
        <v>0</v>
      </c>
      <c r="M30" s="627">
        <f t="shared" si="6"/>
        <v>0</v>
      </c>
      <c r="N30" s="637">
        <f>H30/9*12</f>
        <v>0</v>
      </c>
      <c r="O30" s="637">
        <f>I30/9*12</f>
        <v>0</v>
      </c>
    </row>
    <row r="31" spans="1:15" x14ac:dyDescent="0.25">
      <c r="A31" s="1050" t="s">
        <v>1192</v>
      </c>
      <c r="B31" s="1050"/>
      <c r="C31" s="1050"/>
      <c r="D31" s="627">
        <f>E31+F31</f>
        <v>733362</v>
      </c>
      <c r="E31" s="627">
        <f>E21+E8+E10+E12+E14+E15+E17+E18+E19+E11+E9+E20</f>
        <v>592163</v>
      </c>
      <c r="F31" s="627">
        <f>F21+F8+F10+F12+F14+F15+F17+F18+F19+F11+F20+F9</f>
        <v>141199</v>
      </c>
      <c r="G31" s="627">
        <f t="shared" si="5"/>
        <v>730180</v>
      </c>
      <c r="H31" s="630">
        <f>H21+H8+H10+H12+H14+H15+H17+H18+H19+H11+H20+H16+H13+H9</f>
        <v>561178</v>
      </c>
      <c r="I31" s="630">
        <f>I21+I8+I10+I12+I14+I15+I17+I18+I19+I11+I20+I16+I13+I9</f>
        <v>169002</v>
      </c>
      <c r="J31" s="630">
        <f t="shared" si="3"/>
        <v>1089250</v>
      </c>
      <c r="K31" s="630">
        <f>K8+K9+K10+K11+K12+K14+K15+K16+K17+K18+K19+K20+K21</f>
        <v>790432</v>
      </c>
      <c r="L31" s="630">
        <f>L21+L8+L10+L12+L14+L15+L17+L18+L19+L11+L16+L20+L13+L9</f>
        <v>298818</v>
      </c>
      <c r="M31" s="627">
        <f t="shared" si="6"/>
        <v>941695.33333333349</v>
      </c>
      <c r="N31" s="627">
        <f>N21+N8+N10+N12+N14+N15+N17+N18+N19+N11+N13+N16+N20</f>
        <v>675485.33333333337</v>
      </c>
      <c r="O31" s="627">
        <f>O21+O8+O10+O12+O14+O15+O17+O18+O19+O11+O13+O16+O20</f>
        <v>266210.00000000006</v>
      </c>
    </row>
    <row r="32" spans="1:15" x14ac:dyDescent="0.25">
      <c r="A32" s="1051" t="s">
        <v>1193</v>
      </c>
      <c r="B32" s="1052"/>
      <c r="C32" s="1052"/>
      <c r="D32" s="1052"/>
      <c r="E32" s="1052"/>
      <c r="F32" s="1052"/>
      <c r="G32" s="1052"/>
      <c r="H32" s="1052"/>
      <c r="I32" s="1052"/>
      <c r="J32" s="1052"/>
      <c r="K32" s="1052"/>
      <c r="L32" s="1052"/>
      <c r="M32" s="1052"/>
      <c r="N32" s="1052"/>
      <c r="O32" s="1053"/>
    </row>
    <row r="33" spans="1:15" x14ac:dyDescent="0.25">
      <c r="A33" s="624" t="s">
        <v>134</v>
      </c>
      <c r="B33" s="624" t="s">
        <v>135</v>
      </c>
      <c r="C33" s="624"/>
      <c r="D33" s="641"/>
      <c r="E33" s="642"/>
      <c r="F33" s="642"/>
      <c r="G33" s="642"/>
      <c r="H33" s="643"/>
      <c r="I33" s="643"/>
      <c r="J33" s="643"/>
      <c r="K33" s="643"/>
      <c r="L33" s="643"/>
      <c r="M33" s="642"/>
      <c r="N33" s="642"/>
      <c r="O33" s="642"/>
    </row>
    <row r="34" spans="1:15" ht="26.25" x14ac:dyDescent="0.25">
      <c r="A34" s="634" t="s">
        <v>122</v>
      </c>
      <c r="B34" s="634" t="s">
        <v>133</v>
      </c>
      <c r="C34" s="635" t="s">
        <v>111</v>
      </c>
      <c r="D34" s="627">
        <f>E34+F34</f>
        <v>149004</v>
      </c>
      <c r="E34" s="627">
        <f>E35+E36+E37+E39+E40+E42+E41+E38</f>
        <v>80363</v>
      </c>
      <c r="F34" s="627">
        <f>F35+F37+F40+F41+F42+F36+F39</f>
        <v>68641</v>
      </c>
      <c r="G34" s="627">
        <f>SUM(H34:I34)</f>
        <v>114678</v>
      </c>
      <c r="H34" s="630">
        <f>SUM(H35:H42)</f>
        <v>60341</v>
      </c>
      <c r="I34" s="630">
        <f>SUM(I35:I42)</f>
        <v>54337</v>
      </c>
      <c r="J34" s="630">
        <f>K34+L34</f>
        <v>164758</v>
      </c>
      <c r="K34" s="630">
        <f>K35+K36+K37+K39+K40+K42+K41+K38</f>
        <v>89129</v>
      </c>
      <c r="L34" s="630">
        <f>L35+L36+L37+L39+L40+L42+L41</f>
        <v>75629</v>
      </c>
      <c r="M34" s="627">
        <f>N34+O34</f>
        <v>153446.77777777778</v>
      </c>
      <c r="N34" s="627">
        <f>N35+N36+N37+N39+N40+N42+N41</f>
        <v>80965.444444444438</v>
      </c>
      <c r="O34" s="627">
        <f>O35+O36+O37+O39+O40+O42+O41</f>
        <v>72481.333333333343</v>
      </c>
    </row>
    <row r="35" spans="1:15" ht="45" x14ac:dyDescent="0.25">
      <c r="A35" s="624" t="s">
        <v>122</v>
      </c>
      <c r="B35" s="624" t="s">
        <v>132</v>
      </c>
      <c r="C35" s="636" t="s">
        <v>1194</v>
      </c>
      <c r="D35" s="627">
        <f t="shared" ref="D35:D94" si="7">E35+F35</f>
        <v>9066</v>
      </c>
      <c r="E35" s="637">
        <v>1554</v>
      </c>
      <c r="F35" s="637">
        <v>7512</v>
      </c>
      <c r="G35" s="627">
        <f t="shared" ref="G35:G115" si="8">SUM(H35:I35)</f>
        <v>6756</v>
      </c>
      <c r="H35" s="638">
        <v>1125</v>
      </c>
      <c r="I35" s="638">
        <v>5631</v>
      </c>
      <c r="J35" s="630">
        <f t="shared" ref="J35:J115" si="9">K35+L35</f>
        <v>9021</v>
      </c>
      <c r="K35" s="638">
        <v>1554</v>
      </c>
      <c r="L35" s="638">
        <v>7467</v>
      </c>
      <c r="M35" s="627">
        <f t="shared" ref="M35:M95" si="10">N35+O35</f>
        <v>9003</v>
      </c>
      <c r="N35" s="637">
        <v>1495</v>
      </c>
      <c r="O35" s="637">
        <f>I35/9*12</f>
        <v>7508</v>
      </c>
    </row>
    <row r="36" spans="1:15" ht="45" x14ac:dyDescent="0.25">
      <c r="A36" s="624" t="s">
        <v>122</v>
      </c>
      <c r="B36" s="624" t="s">
        <v>123</v>
      </c>
      <c r="C36" s="636" t="s">
        <v>1195</v>
      </c>
      <c r="D36" s="627">
        <f t="shared" si="7"/>
        <v>3916</v>
      </c>
      <c r="E36" s="637">
        <v>3007</v>
      </c>
      <c r="F36" s="637">
        <v>909</v>
      </c>
      <c r="G36" s="627">
        <f t="shared" si="8"/>
        <v>2906</v>
      </c>
      <c r="H36" s="638">
        <v>2215</v>
      </c>
      <c r="I36" s="638">
        <v>691</v>
      </c>
      <c r="J36" s="630">
        <f t="shared" si="9"/>
        <v>3954</v>
      </c>
      <c r="K36" s="638">
        <v>3045</v>
      </c>
      <c r="L36" s="638">
        <v>909</v>
      </c>
      <c r="M36" s="627">
        <f t="shared" si="10"/>
        <v>3874.666666666667</v>
      </c>
      <c r="N36" s="637">
        <f>H36/9*12</f>
        <v>2953.3333333333335</v>
      </c>
      <c r="O36" s="637">
        <f>I36/9*12</f>
        <v>921.33333333333326</v>
      </c>
    </row>
    <row r="37" spans="1:15" ht="30" x14ac:dyDescent="0.25">
      <c r="A37" s="624" t="s">
        <v>122</v>
      </c>
      <c r="B37" s="624" t="s">
        <v>136</v>
      </c>
      <c r="C37" s="636" t="s">
        <v>1196</v>
      </c>
      <c r="D37" s="627">
        <f t="shared" si="7"/>
        <v>63003</v>
      </c>
      <c r="E37" s="637">
        <v>30418</v>
      </c>
      <c r="F37" s="637">
        <v>32585</v>
      </c>
      <c r="G37" s="627">
        <f t="shared" si="8"/>
        <v>46045</v>
      </c>
      <c r="H37" s="638">
        <v>22648</v>
      </c>
      <c r="I37" s="638">
        <v>23397</v>
      </c>
      <c r="J37" s="630">
        <f t="shared" si="9"/>
        <v>65000</v>
      </c>
      <c r="K37" s="638">
        <v>31238</v>
      </c>
      <c r="L37" s="638">
        <v>33762</v>
      </c>
      <c r="M37" s="627">
        <f t="shared" si="10"/>
        <v>61393.333333333328</v>
      </c>
      <c r="N37" s="637">
        <f>H37/9*12</f>
        <v>30197.333333333332</v>
      </c>
      <c r="O37" s="637">
        <f>I37/9*12</f>
        <v>31196</v>
      </c>
    </row>
    <row r="38" spans="1:15" x14ac:dyDescent="0.25">
      <c r="A38" s="624" t="s">
        <v>122</v>
      </c>
      <c r="B38" s="624" t="s">
        <v>124</v>
      </c>
      <c r="C38" s="636" t="s">
        <v>137</v>
      </c>
      <c r="D38" s="627">
        <f t="shared" si="7"/>
        <v>328</v>
      </c>
      <c r="E38" s="637">
        <v>328</v>
      </c>
      <c r="F38" s="637">
        <v>0</v>
      </c>
      <c r="G38" s="627">
        <f t="shared" si="8"/>
        <v>328</v>
      </c>
      <c r="H38" s="638">
        <v>328</v>
      </c>
      <c r="I38" s="638">
        <v>0</v>
      </c>
      <c r="J38" s="630">
        <f t="shared" si="9"/>
        <v>328</v>
      </c>
      <c r="K38" s="638">
        <v>328</v>
      </c>
      <c r="L38" s="638">
        <v>0</v>
      </c>
      <c r="M38" s="627">
        <f t="shared" si="10"/>
        <v>437.33333333333331</v>
      </c>
      <c r="N38" s="637">
        <f>H38/9*12</f>
        <v>437.33333333333331</v>
      </c>
      <c r="O38" s="637">
        <f>I38/9*12</f>
        <v>0</v>
      </c>
    </row>
    <row r="39" spans="1:15" ht="60" x14ac:dyDescent="0.25">
      <c r="A39" s="624" t="s">
        <v>122</v>
      </c>
      <c r="B39" s="624" t="s">
        <v>125</v>
      </c>
      <c r="C39" s="636" t="s">
        <v>1197</v>
      </c>
      <c r="D39" s="627">
        <f t="shared" si="7"/>
        <v>12922</v>
      </c>
      <c r="E39" s="637">
        <v>12346</v>
      </c>
      <c r="F39" s="637">
        <v>576</v>
      </c>
      <c r="G39" s="627">
        <f t="shared" si="8"/>
        <v>9154</v>
      </c>
      <c r="H39" s="638">
        <v>8578</v>
      </c>
      <c r="I39" s="638">
        <v>576</v>
      </c>
      <c r="J39" s="630">
        <f t="shared" si="9"/>
        <v>13486</v>
      </c>
      <c r="K39" s="638">
        <v>12807</v>
      </c>
      <c r="L39" s="638">
        <v>679</v>
      </c>
      <c r="M39" s="627">
        <f t="shared" si="10"/>
        <v>13190.444444444443</v>
      </c>
      <c r="N39" s="637">
        <f>H39/9*13</f>
        <v>12390.444444444443</v>
      </c>
      <c r="O39" s="637">
        <f>I39/9*12.5</f>
        <v>800</v>
      </c>
    </row>
    <row r="40" spans="1:15" ht="30" x14ac:dyDescent="0.25">
      <c r="A40" s="624" t="s">
        <v>122</v>
      </c>
      <c r="B40" s="624" t="s">
        <v>138</v>
      </c>
      <c r="C40" s="636" t="s">
        <v>139</v>
      </c>
      <c r="D40" s="627">
        <f t="shared" si="7"/>
        <v>100</v>
      </c>
      <c r="E40" s="637">
        <v>0</v>
      </c>
      <c r="F40" s="637">
        <v>100</v>
      </c>
      <c r="G40" s="627">
        <f t="shared" si="8"/>
        <v>0</v>
      </c>
      <c r="H40" s="638">
        <v>0</v>
      </c>
      <c r="I40" s="638">
        <v>0</v>
      </c>
      <c r="J40" s="630">
        <f t="shared" si="9"/>
        <v>100</v>
      </c>
      <c r="K40" s="638">
        <v>0</v>
      </c>
      <c r="L40" s="638">
        <v>100</v>
      </c>
      <c r="M40" s="627">
        <f t="shared" si="10"/>
        <v>0</v>
      </c>
      <c r="N40" s="637">
        <v>0</v>
      </c>
      <c r="O40" s="637">
        <v>0</v>
      </c>
    </row>
    <row r="41" spans="1:15" x14ac:dyDescent="0.25">
      <c r="A41" s="624" t="s">
        <v>122</v>
      </c>
      <c r="B41" s="624" t="s">
        <v>128</v>
      </c>
      <c r="C41" s="644" t="s">
        <v>140</v>
      </c>
      <c r="D41" s="627">
        <f t="shared" si="7"/>
        <v>790</v>
      </c>
      <c r="E41" s="637">
        <v>352</v>
      </c>
      <c r="F41" s="637">
        <v>438</v>
      </c>
      <c r="G41" s="627">
        <f t="shared" si="8"/>
        <v>0</v>
      </c>
      <c r="H41" s="638">
        <v>0</v>
      </c>
      <c r="I41" s="638">
        <v>0</v>
      </c>
      <c r="J41" s="630">
        <f t="shared" si="9"/>
        <v>741</v>
      </c>
      <c r="K41" s="638">
        <v>352</v>
      </c>
      <c r="L41" s="638">
        <v>389</v>
      </c>
      <c r="M41" s="627">
        <f t="shared" si="10"/>
        <v>0</v>
      </c>
      <c r="N41" s="637">
        <f>H41/9*12</f>
        <v>0</v>
      </c>
      <c r="O41" s="637">
        <f>I41/9*12</f>
        <v>0</v>
      </c>
    </row>
    <row r="42" spans="1:15" ht="26.25" x14ac:dyDescent="0.25">
      <c r="A42" s="624" t="s">
        <v>122</v>
      </c>
      <c r="B42" s="639" t="s">
        <v>130</v>
      </c>
      <c r="C42" s="644" t="s">
        <v>141</v>
      </c>
      <c r="D42" s="627">
        <f t="shared" si="7"/>
        <v>58879</v>
      </c>
      <c r="E42" s="637">
        <v>32358</v>
      </c>
      <c r="F42" s="637">
        <v>26521</v>
      </c>
      <c r="G42" s="627">
        <f t="shared" si="8"/>
        <v>49489</v>
      </c>
      <c r="H42" s="638">
        <v>25447</v>
      </c>
      <c r="I42" s="638">
        <v>24042</v>
      </c>
      <c r="J42" s="630">
        <f t="shared" si="9"/>
        <v>72128</v>
      </c>
      <c r="K42" s="638">
        <v>39805</v>
      </c>
      <c r="L42" s="638">
        <v>32323</v>
      </c>
      <c r="M42" s="627">
        <f t="shared" si="10"/>
        <v>65985.333333333328</v>
      </c>
      <c r="N42" s="637">
        <f>H42/9*12</f>
        <v>33929.333333333328</v>
      </c>
      <c r="O42" s="637">
        <f>I42/9*12</f>
        <v>32056</v>
      </c>
    </row>
    <row r="43" spans="1:15" x14ac:dyDescent="0.25">
      <c r="A43" s="634" t="s">
        <v>132</v>
      </c>
      <c r="B43" s="634" t="s">
        <v>133</v>
      </c>
      <c r="C43" s="635" t="s">
        <v>1146</v>
      </c>
      <c r="D43" s="627">
        <f t="shared" si="7"/>
        <v>1594</v>
      </c>
      <c r="E43" s="627">
        <f>E44</f>
        <v>0</v>
      </c>
      <c r="F43" s="627">
        <f>F44</f>
        <v>1594</v>
      </c>
      <c r="G43" s="627">
        <f t="shared" si="8"/>
        <v>999</v>
      </c>
      <c r="H43" s="630">
        <f>H44</f>
        <v>0</v>
      </c>
      <c r="I43" s="630">
        <f>I44</f>
        <v>999</v>
      </c>
      <c r="J43" s="630">
        <f t="shared" si="9"/>
        <v>1727</v>
      </c>
      <c r="K43" s="630">
        <f>K44</f>
        <v>0</v>
      </c>
      <c r="L43" s="630">
        <f>L44</f>
        <v>1727</v>
      </c>
      <c r="M43" s="627">
        <f t="shared" si="10"/>
        <v>1419.8</v>
      </c>
      <c r="N43" s="627">
        <f>N44</f>
        <v>0</v>
      </c>
      <c r="O43" s="627">
        <f>O44</f>
        <v>1419.8</v>
      </c>
    </row>
    <row r="44" spans="1:15" ht="30" x14ac:dyDescent="0.25">
      <c r="A44" s="624" t="s">
        <v>132</v>
      </c>
      <c r="B44" s="624" t="s">
        <v>123</v>
      </c>
      <c r="C44" s="636" t="s">
        <v>1198</v>
      </c>
      <c r="D44" s="627">
        <f t="shared" si="7"/>
        <v>1594</v>
      </c>
      <c r="E44" s="637">
        <v>0</v>
      </c>
      <c r="F44" s="637">
        <v>1594</v>
      </c>
      <c r="G44" s="627">
        <f t="shared" si="8"/>
        <v>999</v>
      </c>
      <c r="H44" s="638">
        <v>0</v>
      </c>
      <c r="I44" s="638">
        <v>999</v>
      </c>
      <c r="J44" s="630">
        <f t="shared" si="9"/>
        <v>1727</v>
      </c>
      <c r="K44" s="638">
        <v>0</v>
      </c>
      <c r="L44" s="638">
        <v>1727</v>
      </c>
      <c r="M44" s="627">
        <f t="shared" si="10"/>
        <v>1419.8</v>
      </c>
      <c r="N44" s="637">
        <f>H44/9*12</f>
        <v>0</v>
      </c>
      <c r="O44" s="637">
        <v>1419.8</v>
      </c>
    </row>
    <row r="45" spans="1:15" ht="51.75" x14ac:dyDescent="0.25">
      <c r="A45" s="634" t="s">
        <v>123</v>
      </c>
      <c r="B45" s="634" t="s">
        <v>133</v>
      </c>
      <c r="C45" s="635" t="s">
        <v>112</v>
      </c>
      <c r="D45" s="627">
        <f t="shared" si="7"/>
        <v>11588</v>
      </c>
      <c r="E45" s="627">
        <f>E46+E47+E48+E49</f>
        <v>9983</v>
      </c>
      <c r="F45" s="627">
        <f>F47+F48+F49</f>
        <v>1605</v>
      </c>
      <c r="G45" s="627">
        <f t="shared" si="8"/>
        <v>3617</v>
      </c>
      <c r="H45" s="630">
        <f>H46+H47+H48+H49</f>
        <v>2612</v>
      </c>
      <c r="I45" s="630">
        <f>I46+I47+I48+I49</f>
        <v>1005</v>
      </c>
      <c r="J45" s="630">
        <f t="shared" si="9"/>
        <v>7207</v>
      </c>
      <c r="K45" s="630">
        <f>K46+K47+K48+K49</f>
        <v>5520</v>
      </c>
      <c r="L45" s="630">
        <f>L46+L47+L48+L49</f>
        <v>1687</v>
      </c>
      <c r="M45" s="627">
        <f t="shared" si="10"/>
        <v>4931.7777777777783</v>
      </c>
      <c r="N45" s="627">
        <f>N46+N47+N48+N49</f>
        <v>3484.666666666667</v>
      </c>
      <c r="O45" s="627">
        <f>O46+O47+O48+O49</f>
        <v>1447.1111111111113</v>
      </c>
    </row>
    <row r="46" spans="1:15" x14ac:dyDescent="0.25">
      <c r="A46" s="624" t="s">
        <v>123</v>
      </c>
      <c r="B46" s="624" t="s">
        <v>132</v>
      </c>
      <c r="C46" s="636" t="s">
        <v>142</v>
      </c>
      <c r="D46" s="627">
        <f t="shared" si="7"/>
        <v>0</v>
      </c>
      <c r="E46" s="637">
        <v>0</v>
      </c>
      <c r="F46" s="637">
        <v>0</v>
      </c>
      <c r="G46" s="627">
        <f t="shared" si="8"/>
        <v>0</v>
      </c>
      <c r="H46" s="638">
        <v>0</v>
      </c>
      <c r="I46" s="638">
        <v>0</v>
      </c>
      <c r="J46" s="630">
        <f t="shared" si="9"/>
        <v>0</v>
      </c>
      <c r="K46" s="638">
        <v>0</v>
      </c>
      <c r="L46" s="638">
        <v>0</v>
      </c>
      <c r="M46" s="627">
        <f t="shared" si="10"/>
        <v>0</v>
      </c>
      <c r="N46" s="637">
        <f>H46/9*12</f>
        <v>0</v>
      </c>
      <c r="O46" s="637">
        <f>I46/9*12</f>
        <v>0</v>
      </c>
    </row>
    <row r="47" spans="1:15" ht="64.5" x14ac:dyDescent="0.25">
      <c r="A47" s="645" t="s">
        <v>123</v>
      </c>
      <c r="B47" s="645" t="s">
        <v>127</v>
      </c>
      <c r="C47" s="646" t="s">
        <v>1199</v>
      </c>
      <c r="D47" s="627">
        <f t="shared" si="7"/>
        <v>10296</v>
      </c>
      <c r="E47" s="637">
        <v>9883</v>
      </c>
      <c r="F47" s="637">
        <v>413</v>
      </c>
      <c r="G47" s="627">
        <f t="shared" si="8"/>
        <v>2850</v>
      </c>
      <c r="H47" s="638">
        <v>2612</v>
      </c>
      <c r="I47" s="638">
        <v>238</v>
      </c>
      <c r="J47" s="630">
        <f t="shared" si="9"/>
        <v>6045</v>
      </c>
      <c r="K47" s="638">
        <v>5520</v>
      </c>
      <c r="L47" s="638">
        <v>525</v>
      </c>
      <c r="M47" s="627">
        <f t="shared" si="10"/>
        <v>3826.4444444444448</v>
      </c>
      <c r="N47" s="637">
        <f>H47/9*12</f>
        <v>3482.666666666667</v>
      </c>
      <c r="O47" s="637">
        <f>I47/9*13</f>
        <v>343.77777777777777</v>
      </c>
    </row>
    <row r="48" spans="1:15" ht="26.25" x14ac:dyDescent="0.25">
      <c r="A48" s="645" t="s">
        <v>123</v>
      </c>
      <c r="B48" s="645" t="s">
        <v>143</v>
      </c>
      <c r="C48" s="646" t="s">
        <v>144</v>
      </c>
      <c r="D48" s="627">
        <f t="shared" si="7"/>
        <v>1102</v>
      </c>
      <c r="E48" s="637">
        <v>100</v>
      </c>
      <c r="F48" s="637">
        <v>1002</v>
      </c>
      <c r="G48" s="627">
        <f t="shared" si="8"/>
        <v>726</v>
      </c>
      <c r="H48" s="638">
        <v>0</v>
      </c>
      <c r="I48" s="638">
        <v>726</v>
      </c>
      <c r="J48" s="630">
        <f t="shared" si="9"/>
        <v>1072</v>
      </c>
      <c r="K48" s="638">
        <v>0</v>
      </c>
      <c r="L48" s="638">
        <v>1072</v>
      </c>
      <c r="M48" s="627">
        <f t="shared" si="10"/>
        <v>1050.6666666666667</v>
      </c>
      <c r="N48" s="637">
        <v>2</v>
      </c>
      <c r="O48" s="637">
        <f>I48/9*13</f>
        <v>1048.6666666666667</v>
      </c>
    </row>
    <row r="49" spans="1:15" ht="51.75" x14ac:dyDescent="0.25">
      <c r="A49" s="645" t="s">
        <v>123</v>
      </c>
      <c r="B49" s="645" t="s">
        <v>131</v>
      </c>
      <c r="C49" s="646" t="s">
        <v>145</v>
      </c>
      <c r="D49" s="627">
        <f t="shared" si="7"/>
        <v>190</v>
      </c>
      <c r="E49" s="637">
        <v>0</v>
      </c>
      <c r="F49" s="637">
        <v>190</v>
      </c>
      <c r="G49" s="627">
        <f t="shared" si="8"/>
        <v>41</v>
      </c>
      <c r="H49" s="638">
        <v>0</v>
      </c>
      <c r="I49" s="638">
        <v>41</v>
      </c>
      <c r="J49" s="630">
        <f t="shared" si="9"/>
        <v>90</v>
      </c>
      <c r="K49" s="638">
        <v>0</v>
      </c>
      <c r="L49" s="638">
        <v>90</v>
      </c>
      <c r="M49" s="627">
        <f t="shared" si="10"/>
        <v>54.666666666666664</v>
      </c>
      <c r="N49" s="637">
        <f>H49/9*12</f>
        <v>0</v>
      </c>
      <c r="O49" s="637">
        <f>I49/9*12</f>
        <v>54.666666666666664</v>
      </c>
    </row>
    <row r="50" spans="1:15" x14ac:dyDescent="0.25">
      <c r="A50" s="647" t="s">
        <v>136</v>
      </c>
      <c r="B50" s="647" t="s">
        <v>133</v>
      </c>
      <c r="C50" s="648" t="s">
        <v>113</v>
      </c>
      <c r="D50" s="627">
        <f t="shared" si="7"/>
        <v>61751</v>
      </c>
      <c r="E50" s="627">
        <f>E51+E52+E53+E54+E55+E56</f>
        <v>50059</v>
      </c>
      <c r="F50" s="627">
        <f>F51+F52+F53+F54+F55+F56</f>
        <v>11692</v>
      </c>
      <c r="G50" s="627">
        <f t="shared" si="8"/>
        <v>35924</v>
      </c>
      <c r="H50" s="630">
        <f>H51+H52+H53+H54+H55+H56</f>
        <v>29140</v>
      </c>
      <c r="I50" s="630">
        <f>I51+I52+I53+I54+I55+I56</f>
        <v>6784</v>
      </c>
      <c r="J50" s="630">
        <f t="shared" si="9"/>
        <v>95364</v>
      </c>
      <c r="K50" s="630">
        <f>K51+K52+K53+K54+K55+K56</f>
        <v>57531</v>
      </c>
      <c r="L50" s="630">
        <f>L51+L52+L53+L54+L55+L56</f>
        <v>37833</v>
      </c>
      <c r="M50" s="627">
        <f t="shared" si="10"/>
        <v>32698.666666666664</v>
      </c>
      <c r="N50" s="627">
        <f>N51+N52+N53+N54+N55+N56</f>
        <v>23653.333333333332</v>
      </c>
      <c r="O50" s="627">
        <f>O51+O52+O53+O54+O55+O56</f>
        <v>9045.3333333333339</v>
      </c>
    </row>
    <row r="51" spans="1:15" x14ac:dyDescent="0.25">
      <c r="A51" s="645" t="s">
        <v>136</v>
      </c>
      <c r="B51" s="645" t="s">
        <v>122</v>
      </c>
      <c r="C51" s="646" t="s">
        <v>146</v>
      </c>
      <c r="D51" s="627">
        <f t="shared" si="7"/>
        <v>0</v>
      </c>
      <c r="E51" s="637">
        <v>0</v>
      </c>
      <c r="F51" s="637">
        <v>0</v>
      </c>
      <c r="G51" s="627">
        <f t="shared" si="8"/>
        <v>0</v>
      </c>
      <c r="H51" s="638"/>
      <c r="I51" s="638">
        <v>0</v>
      </c>
      <c r="J51" s="630">
        <f t="shared" si="9"/>
        <v>0</v>
      </c>
      <c r="K51" s="638">
        <v>0</v>
      </c>
      <c r="L51" s="638">
        <v>0</v>
      </c>
      <c r="M51" s="627">
        <f t="shared" si="10"/>
        <v>0</v>
      </c>
      <c r="N51" s="637">
        <v>0</v>
      </c>
      <c r="O51" s="637">
        <f>I51/9*12</f>
        <v>0</v>
      </c>
    </row>
    <row r="52" spans="1:15" ht="26.25" x14ac:dyDescent="0.25">
      <c r="A52" s="645" t="s">
        <v>136</v>
      </c>
      <c r="B52" s="645" t="s">
        <v>124</v>
      </c>
      <c r="C52" s="646" t="s">
        <v>147</v>
      </c>
      <c r="D52" s="627">
        <f t="shared" si="7"/>
        <v>1997</v>
      </c>
      <c r="E52" s="637">
        <v>1997</v>
      </c>
      <c r="F52" s="637">
        <v>0</v>
      </c>
      <c r="G52" s="627">
        <f t="shared" si="8"/>
        <v>1041</v>
      </c>
      <c r="H52" s="638">
        <v>1041</v>
      </c>
      <c r="I52" s="638">
        <v>0</v>
      </c>
      <c r="J52" s="630">
        <f t="shared" si="9"/>
        <v>1251</v>
      </c>
      <c r="K52" s="638">
        <v>1251</v>
      </c>
      <c r="L52" s="638">
        <v>0</v>
      </c>
      <c r="M52" s="627">
        <f t="shared" si="10"/>
        <v>0</v>
      </c>
      <c r="N52" s="637">
        <v>0</v>
      </c>
      <c r="O52" s="637">
        <f>I52/9*12</f>
        <v>0</v>
      </c>
    </row>
    <row r="53" spans="1:15" x14ac:dyDescent="0.25">
      <c r="A53" s="645" t="s">
        <v>136</v>
      </c>
      <c r="B53" s="645" t="s">
        <v>125</v>
      </c>
      <c r="C53" s="649" t="s">
        <v>1200</v>
      </c>
      <c r="D53" s="627">
        <f t="shared" si="7"/>
        <v>50</v>
      </c>
      <c r="E53" s="637">
        <v>50</v>
      </c>
      <c r="F53" s="637">
        <v>0</v>
      </c>
      <c r="G53" s="627">
        <f t="shared" si="8"/>
        <v>0</v>
      </c>
      <c r="H53" s="638">
        <v>0</v>
      </c>
      <c r="I53" s="638">
        <v>0</v>
      </c>
      <c r="J53" s="630">
        <f t="shared" si="9"/>
        <v>0</v>
      </c>
      <c r="K53" s="638">
        <v>0</v>
      </c>
      <c r="L53" s="638">
        <v>0</v>
      </c>
      <c r="M53" s="627">
        <f t="shared" si="10"/>
        <v>0</v>
      </c>
      <c r="N53" s="637">
        <v>0</v>
      </c>
      <c r="O53" s="637">
        <v>0</v>
      </c>
    </row>
    <row r="54" spans="1:15" x14ac:dyDescent="0.25">
      <c r="A54" s="645" t="s">
        <v>136</v>
      </c>
      <c r="B54" s="645" t="s">
        <v>126</v>
      </c>
      <c r="C54" s="646" t="s">
        <v>148</v>
      </c>
      <c r="D54" s="627">
        <f t="shared" si="7"/>
        <v>3005</v>
      </c>
      <c r="E54" s="637">
        <v>2650</v>
      </c>
      <c r="F54" s="637">
        <v>355</v>
      </c>
      <c r="G54" s="627">
        <f t="shared" si="8"/>
        <v>4257</v>
      </c>
      <c r="H54" s="638">
        <v>2062</v>
      </c>
      <c r="I54" s="638">
        <v>2195</v>
      </c>
      <c r="J54" s="630">
        <f t="shared" si="9"/>
        <v>5836</v>
      </c>
      <c r="K54" s="638">
        <v>2690</v>
      </c>
      <c r="L54" s="638">
        <v>3146</v>
      </c>
      <c r="M54" s="627">
        <f t="shared" si="10"/>
        <v>5676</v>
      </c>
      <c r="N54" s="637">
        <f>H54/9*12</f>
        <v>2749.3333333333335</v>
      </c>
      <c r="O54" s="637">
        <f>I54/9*12</f>
        <v>2926.6666666666665</v>
      </c>
    </row>
    <row r="55" spans="1:15" x14ac:dyDescent="0.25">
      <c r="A55" s="645" t="s">
        <v>136</v>
      </c>
      <c r="B55" s="645" t="s">
        <v>127</v>
      </c>
      <c r="C55" s="646" t="s">
        <v>1201</v>
      </c>
      <c r="D55" s="627">
        <f t="shared" si="7"/>
        <v>53812</v>
      </c>
      <c r="E55" s="637">
        <v>44342</v>
      </c>
      <c r="F55" s="637">
        <v>9470</v>
      </c>
      <c r="G55" s="627">
        <f t="shared" si="8"/>
        <v>30017</v>
      </c>
      <c r="H55" s="638">
        <v>25605</v>
      </c>
      <c r="I55" s="638">
        <v>4412</v>
      </c>
      <c r="J55" s="630">
        <f t="shared" si="9"/>
        <v>86073</v>
      </c>
      <c r="K55" s="638">
        <v>52483</v>
      </c>
      <c r="L55" s="638">
        <v>33590</v>
      </c>
      <c r="M55" s="627">
        <f t="shared" si="10"/>
        <v>26210.666666666668</v>
      </c>
      <c r="N55" s="637">
        <v>20328</v>
      </c>
      <c r="O55" s="637">
        <f t="shared" ref="N55:O56" si="11">I55/9*12</f>
        <v>5882.666666666667</v>
      </c>
    </row>
    <row r="56" spans="1:15" ht="26.25" x14ac:dyDescent="0.25">
      <c r="A56" s="645" t="s">
        <v>136</v>
      </c>
      <c r="B56" s="645" t="s">
        <v>129</v>
      </c>
      <c r="C56" s="646" t="s">
        <v>149</v>
      </c>
      <c r="D56" s="627">
        <f t="shared" si="7"/>
        <v>2887</v>
      </c>
      <c r="E56" s="637">
        <v>1020</v>
      </c>
      <c r="F56" s="637">
        <v>1867</v>
      </c>
      <c r="G56" s="627">
        <f t="shared" si="8"/>
        <v>609</v>
      </c>
      <c r="H56" s="638">
        <v>432</v>
      </c>
      <c r="I56" s="638">
        <v>177</v>
      </c>
      <c r="J56" s="630">
        <f t="shared" si="9"/>
        <v>2204</v>
      </c>
      <c r="K56" s="638">
        <v>1107</v>
      </c>
      <c r="L56" s="638">
        <v>1097</v>
      </c>
      <c r="M56" s="627">
        <f t="shared" si="10"/>
        <v>812</v>
      </c>
      <c r="N56" s="637">
        <f t="shared" si="11"/>
        <v>576</v>
      </c>
      <c r="O56" s="637">
        <f t="shared" si="11"/>
        <v>236</v>
      </c>
    </row>
    <row r="57" spans="1:15" ht="26.25" x14ac:dyDescent="0.25">
      <c r="A57" s="647" t="s">
        <v>124</v>
      </c>
      <c r="B57" s="647" t="s">
        <v>133</v>
      </c>
      <c r="C57" s="648" t="s">
        <v>114</v>
      </c>
      <c r="D57" s="627">
        <f t="shared" si="7"/>
        <v>329355</v>
      </c>
      <c r="E57" s="627">
        <f>E58+E59+E60+E61</f>
        <v>172429</v>
      </c>
      <c r="F57" s="627">
        <f>F58+F59+F60+F61</f>
        <v>156926</v>
      </c>
      <c r="G57" s="627">
        <f t="shared" si="8"/>
        <v>342074</v>
      </c>
      <c r="H57" s="630">
        <f>SUM(H58:H61)</f>
        <v>206277</v>
      </c>
      <c r="I57" s="630">
        <f>SUM(I58:I61)</f>
        <v>135797</v>
      </c>
      <c r="J57" s="630">
        <f t="shared" si="9"/>
        <v>602450</v>
      </c>
      <c r="K57" s="630">
        <f>K58+K59+K60+K61</f>
        <v>322812</v>
      </c>
      <c r="L57" s="630">
        <f>L58+L59+L60+L61</f>
        <v>279638</v>
      </c>
      <c r="M57" s="627">
        <f t="shared" si="10"/>
        <v>444075.33333333337</v>
      </c>
      <c r="N57" s="627">
        <f>N58+N59+N60+N61</f>
        <v>263012.66666666669</v>
      </c>
      <c r="O57" s="627">
        <f>O58+O59+O60+O61</f>
        <v>181062.66666666669</v>
      </c>
    </row>
    <row r="58" spans="1:15" x14ac:dyDescent="0.25">
      <c r="A58" s="645" t="s">
        <v>124</v>
      </c>
      <c r="B58" s="645" t="s">
        <v>122</v>
      </c>
      <c r="C58" s="646" t="s">
        <v>150</v>
      </c>
      <c r="D58" s="627">
        <f t="shared" si="7"/>
        <v>174842</v>
      </c>
      <c r="E58" s="637">
        <v>40759</v>
      </c>
      <c r="F58" s="637">
        <v>134083</v>
      </c>
      <c r="G58" s="627">
        <f t="shared" si="8"/>
        <v>173773</v>
      </c>
      <c r="H58" s="638">
        <v>99652</v>
      </c>
      <c r="I58" s="638">
        <v>74121</v>
      </c>
      <c r="J58" s="630">
        <f t="shared" si="9"/>
        <v>350633</v>
      </c>
      <c r="K58" s="638">
        <v>193953</v>
      </c>
      <c r="L58" s="638">
        <v>156680</v>
      </c>
      <c r="M58" s="627">
        <f t="shared" si="10"/>
        <v>242769.77777777778</v>
      </c>
      <c r="N58" s="637">
        <f>H58/9*13</f>
        <v>143941.77777777778</v>
      </c>
      <c r="O58" s="637">
        <f>I58/9*12</f>
        <v>98828</v>
      </c>
    </row>
    <row r="59" spans="1:15" x14ac:dyDescent="0.25">
      <c r="A59" s="645" t="s">
        <v>124</v>
      </c>
      <c r="B59" s="645" t="s">
        <v>132</v>
      </c>
      <c r="C59" s="646" t="s">
        <v>151</v>
      </c>
      <c r="D59" s="627">
        <f t="shared" si="7"/>
        <v>123551</v>
      </c>
      <c r="E59" s="637">
        <v>119795</v>
      </c>
      <c r="F59" s="637">
        <v>3756</v>
      </c>
      <c r="G59" s="627">
        <f t="shared" si="8"/>
        <v>124698</v>
      </c>
      <c r="H59" s="638">
        <v>95931</v>
      </c>
      <c r="I59" s="638">
        <v>28767</v>
      </c>
      <c r="J59" s="630">
        <f t="shared" si="9"/>
        <v>183609</v>
      </c>
      <c r="K59" s="638">
        <v>110378</v>
      </c>
      <c r="L59" s="638">
        <v>73231</v>
      </c>
      <c r="M59" s="627">
        <f t="shared" si="10"/>
        <v>141980</v>
      </c>
      <c r="N59" s="637">
        <v>103624</v>
      </c>
      <c r="O59" s="637">
        <f>I59/9*12</f>
        <v>38356</v>
      </c>
    </row>
    <row r="60" spans="1:15" x14ac:dyDescent="0.25">
      <c r="A60" s="645" t="s">
        <v>124</v>
      </c>
      <c r="B60" s="645" t="s">
        <v>123</v>
      </c>
      <c r="C60" s="649" t="s">
        <v>152</v>
      </c>
      <c r="D60" s="627">
        <f t="shared" si="7"/>
        <v>22572</v>
      </c>
      <c r="E60" s="637">
        <v>11875</v>
      </c>
      <c r="F60" s="637">
        <v>10697</v>
      </c>
      <c r="G60" s="627">
        <f t="shared" si="8"/>
        <v>24582</v>
      </c>
      <c r="H60" s="638">
        <v>10694</v>
      </c>
      <c r="I60" s="638">
        <v>13888</v>
      </c>
      <c r="J60" s="630">
        <f t="shared" si="9"/>
        <v>43589</v>
      </c>
      <c r="K60" s="638">
        <v>18481</v>
      </c>
      <c r="L60" s="638">
        <v>25108</v>
      </c>
      <c r="M60" s="627">
        <f t="shared" si="10"/>
        <v>33964.222222222219</v>
      </c>
      <c r="N60" s="637">
        <f>H60/9*13</f>
        <v>15446.888888888889</v>
      </c>
      <c r="O60" s="637">
        <f>I60/9*12</f>
        <v>18517.333333333332</v>
      </c>
    </row>
    <row r="61" spans="1:15" ht="39" x14ac:dyDescent="0.25">
      <c r="A61" s="645" t="s">
        <v>124</v>
      </c>
      <c r="B61" s="645" t="s">
        <v>124</v>
      </c>
      <c r="C61" s="646" t="s">
        <v>153</v>
      </c>
      <c r="D61" s="627">
        <f t="shared" si="7"/>
        <v>8390</v>
      </c>
      <c r="E61" s="637">
        <v>0</v>
      </c>
      <c r="F61" s="637">
        <v>8390</v>
      </c>
      <c r="G61" s="627">
        <f t="shared" si="8"/>
        <v>19021</v>
      </c>
      <c r="H61" s="638">
        <v>0</v>
      </c>
      <c r="I61" s="638">
        <v>19021</v>
      </c>
      <c r="J61" s="630">
        <f t="shared" si="9"/>
        <v>24619</v>
      </c>
      <c r="K61" s="638">
        <v>0</v>
      </c>
      <c r="L61" s="638">
        <v>24619</v>
      </c>
      <c r="M61" s="627">
        <f t="shared" si="10"/>
        <v>25361.333333333332</v>
      </c>
      <c r="N61" s="637">
        <f>H61/9*12</f>
        <v>0</v>
      </c>
      <c r="O61" s="637">
        <f>I61/9*12</f>
        <v>25361.333333333332</v>
      </c>
    </row>
    <row r="62" spans="1:15" x14ac:dyDescent="0.25">
      <c r="A62" s="647" t="s">
        <v>125</v>
      </c>
      <c r="B62" s="647" t="s">
        <v>133</v>
      </c>
      <c r="C62" s="648" t="s">
        <v>115</v>
      </c>
      <c r="D62" s="627">
        <f t="shared" si="7"/>
        <v>0</v>
      </c>
      <c r="E62" s="627">
        <f>E63+E64</f>
        <v>0</v>
      </c>
      <c r="F62" s="627">
        <f>F63+F64</f>
        <v>0</v>
      </c>
      <c r="G62" s="627">
        <f t="shared" si="8"/>
        <v>0</v>
      </c>
      <c r="H62" s="630">
        <f>H63+H64</f>
        <v>0</v>
      </c>
      <c r="I62" s="630">
        <f>I63+I64</f>
        <v>0</v>
      </c>
      <c r="J62" s="630">
        <f>K62+L62</f>
        <v>0</v>
      </c>
      <c r="K62" s="630">
        <f>K63+K64</f>
        <v>0</v>
      </c>
      <c r="L62" s="630">
        <f>L63+L64</f>
        <v>0</v>
      </c>
      <c r="M62" s="627">
        <f t="shared" si="10"/>
        <v>0</v>
      </c>
      <c r="N62" s="627">
        <f>N63+N64</f>
        <v>0</v>
      </c>
      <c r="O62" s="627">
        <f>O63+O64</f>
        <v>0</v>
      </c>
    </row>
    <row r="63" spans="1:15" ht="26.25" x14ac:dyDescent="0.25">
      <c r="A63" s="645" t="s">
        <v>125</v>
      </c>
      <c r="B63" s="645" t="s">
        <v>132</v>
      </c>
      <c r="C63" s="649" t="s">
        <v>154</v>
      </c>
      <c r="D63" s="627">
        <f t="shared" si="7"/>
        <v>0</v>
      </c>
      <c r="E63" s="637">
        <v>0</v>
      </c>
      <c r="F63" s="637">
        <v>0</v>
      </c>
      <c r="G63" s="627">
        <f t="shared" si="8"/>
        <v>0</v>
      </c>
      <c r="H63" s="638">
        <v>0</v>
      </c>
      <c r="I63" s="638">
        <v>0</v>
      </c>
      <c r="J63" s="630">
        <f t="shared" si="9"/>
        <v>0</v>
      </c>
      <c r="K63" s="638">
        <v>0</v>
      </c>
      <c r="L63" s="638">
        <v>0</v>
      </c>
      <c r="M63" s="627">
        <f t="shared" si="10"/>
        <v>0</v>
      </c>
      <c r="N63" s="637">
        <f>H63/9*12</f>
        <v>0</v>
      </c>
      <c r="O63" s="637">
        <v>0</v>
      </c>
    </row>
    <row r="64" spans="1:15" ht="26.25" x14ac:dyDescent="0.25">
      <c r="A64" s="645" t="s">
        <v>125</v>
      </c>
      <c r="B64" s="645" t="s">
        <v>124</v>
      </c>
      <c r="C64" s="649" t="s">
        <v>1202</v>
      </c>
      <c r="D64" s="627">
        <f t="shared" si="7"/>
        <v>0</v>
      </c>
      <c r="E64" s="637">
        <v>0</v>
      </c>
      <c r="F64" s="637">
        <v>0</v>
      </c>
      <c r="G64" s="627">
        <f t="shared" si="8"/>
        <v>0</v>
      </c>
      <c r="H64" s="638">
        <v>0</v>
      </c>
      <c r="I64" s="638">
        <v>0</v>
      </c>
      <c r="J64" s="630">
        <f t="shared" si="9"/>
        <v>0</v>
      </c>
      <c r="K64" s="638">
        <v>0</v>
      </c>
      <c r="L64" s="638">
        <v>0</v>
      </c>
      <c r="M64" s="627">
        <f t="shared" si="10"/>
        <v>0</v>
      </c>
      <c r="N64" s="637">
        <f>H64/9*12</f>
        <v>0</v>
      </c>
      <c r="O64" s="637">
        <f>I64/9*12</f>
        <v>0</v>
      </c>
    </row>
    <row r="65" spans="1:15" x14ac:dyDescent="0.25">
      <c r="A65" s="647" t="s">
        <v>138</v>
      </c>
      <c r="B65" s="647" t="s">
        <v>133</v>
      </c>
      <c r="C65" s="648" t="s">
        <v>116</v>
      </c>
      <c r="D65" s="627">
        <f t="shared" si="7"/>
        <v>432648</v>
      </c>
      <c r="E65" s="627">
        <f>E66+E67+E69+E70+E68</f>
        <v>432106</v>
      </c>
      <c r="F65" s="627">
        <f>F66+F67+F69+F70</f>
        <v>542</v>
      </c>
      <c r="G65" s="627">
        <f t="shared" si="8"/>
        <v>320283</v>
      </c>
      <c r="H65" s="630">
        <f>H66+H69+H67+H70+H68</f>
        <v>319824</v>
      </c>
      <c r="I65" s="630">
        <f>I66+I69+I67+I70</f>
        <v>459</v>
      </c>
      <c r="J65" s="630">
        <f t="shared" si="9"/>
        <v>457340</v>
      </c>
      <c r="K65" s="630">
        <f>K66+K67+K69+K70+K68</f>
        <v>456781</v>
      </c>
      <c r="L65" s="630">
        <f>L66+L67+L69+L70</f>
        <v>559</v>
      </c>
      <c r="M65" s="627">
        <f t="shared" si="10"/>
        <v>419116.33333333331</v>
      </c>
      <c r="N65" s="627">
        <f>N66+N67+N69+N70</f>
        <v>418504.33333333331</v>
      </c>
      <c r="O65" s="627">
        <f>O66+O67+O69+O70</f>
        <v>612</v>
      </c>
    </row>
    <row r="66" spans="1:15" x14ac:dyDescent="0.25">
      <c r="A66" s="645" t="s">
        <v>138</v>
      </c>
      <c r="B66" s="645" t="s">
        <v>122</v>
      </c>
      <c r="C66" s="646" t="s">
        <v>155</v>
      </c>
      <c r="D66" s="627">
        <f t="shared" si="7"/>
        <v>107337</v>
      </c>
      <c r="E66" s="637">
        <v>107337</v>
      </c>
      <c r="F66" s="637">
        <v>0</v>
      </c>
      <c r="G66" s="627">
        <f t="shared" si="8"/>
        <v>79936</v>
      </c>
      <c r="H66" s="638">
        <v>79936</v>
      </c>
      <c r="I66" s="638">
        <v>0</v>
      </c>
      <c r="J66" s="630">
        <f t="shared" si="9"/>
        <v>112689</v>
      </c>
      <c r="K66" s="638">
        <v>112689</v>
      </c>
      <c r="L66" s="638">
        <v>0</v>
      </c>
      <c r="M66" s="627">
        <f t="shared" si="10"/>
        <v>106581.33333333333</v>
      </c>
      <c r="N66" s="637">
        <f>H66/9*12</f>
        <v>106581.33333333333</v>
      </c>
      <c r="O66" s="637">
        <f>I66/9*12</f>
        <v>0</v>
      </c>
    </row>
    <row r="67" spans="1:15" x14ac:dyDescent="0.25">
      <c r="A67" s="645" t="s">
        <v>138</v>
      </c>
      <c r="B67" s="645" t="s">
        <v>132</v>
      </c>
      <c r="C67" s="646" t="s">
        <v>156</v>
      </c>
      <c r="D67" s="627">
        <f t="shared" si="7"/>
        <v>288177</v>
      </c>
      <c r="E67" s="637">
        <v>288177</v>
      </c>
      <c r="F67" s="637">
        <v>0</v>
      </c>
      <c r="G67" s="627">
        <f t="shared" si="8"/>
        <v>211953</v>
      </c>
      <c r="H67" s="638">
        <v>211953</v>
      </c>
      <c r="I67" s="638">
        <v>0</v>
      </c>
      <c r="J67" s="630">
        <f t="shared" si="9"/>
        <v>301783</v>
      </c>
      <c r="K67" s="638">
        <v>301783</v>
      </c>
      <c r="L67" s="638">
        <v>0</v>
      </c>
      <c r="M67" s="627">
        <f t="shared" si="10"/>
        <v>282604</v>
      </c>
      <c r="N67" s="637">
        <f>H67/9*12</f>
        <v>282604</v>
      </c>
      <c r="O67" s="637">
        <f>I67/9*12</f>
        <v>0</v>
      </c>
    </row>
    <row r="68" spans="1:15" ht="26.25" x14ac:dyDescent="0.25">
      <c r="A68" s="645" t="s">
        <v>138</v>
      </c>
      <c r="B68" s="645" t="s">
        <v>123</v>
      </c>
      <c r="C68" s="646" t="s">
        <v>1203</v>
      </c>
      <c r="D68" s="627"/>
      <c r="E68" s="637">
        <v>8030</v>
      </c>
      <c r="F68" s="637"/>
      <c r="G68" s="627"/>
      <c r="H68" s="638">
        <v>5112</v>
      </c>
      <c r="I68" s="638"/>
      <c r="J68" s="630"/>
      <c r="K68" s="638">
        <v>8631</v>
      </c>
      <c r="L68" s="638"/>
      <c r="M68" s="627"/>
      <c r="N68" s="637">
        <f>H68/9*12</f>
        <v>6816</v>
      </c>
      <c r="O68" s="637"/>
    </row>
    <row r="69" spans="1:15" ht="26.25" x14ac:dyDescent="0.25">
      <c r="A69" s="645" t="s">
        <v>138</v>
      </c>
      <c r="B69" s="645" t="s">
        <v>138</v>
      </c>
      <c r="C69" s="646" t="s">
        <v>157</v>
      </c>
      <c r="D69" s="627">
        <f t="shared" si="7"/>
        <v>4594</v>
      </c>
      <c r="E69" s="637">
        <v>4052</v>
      </c>
      <c r="F69" s="637">
        <v>542</v>
      </c>
      <c r="G69" s="627">
        <f t="shared" si="8"/>
        <v>4676</v>
      </c>
      <c r="H69" s="638">
        <v>4217</v>
      </c>
      <c r="I69" s="638">
        <v>459</v>
      </c>
      <c r="J69" s="630">
        <f t="shared" si="9"/>
        <v>5042</v>
      </c>
      <c r="K69" s="638">
        <v>4483</v>
      </c>
      <c r="L69" s="638">
        <v>559</v>
      </c>
      <c r="M69" s="627">
        <f t="shared" si="10"/>
        <v>5123</v>
      </c>
      <c r="N69" s="637">
        <v>4511</v>
      </c>
      <c r="O69" s="637">
        <f>I69/9*12</f>
        <v>612</v>
      </c>
    </row>
    <row r="70" spans="1:15" ht="26.25" x14ac:dyDescent="0.25">
      <c r="A70" s="645" t="s">
        <v>138</v>
      </c>
      <c r="B70" s="645" t="s">
        <v>127</v>
      </c>
      <c r="C70" s="646" t="s">
        <v>158</v>
      </c>
      <c r="D70" s="627">
        <f t="shared" si="7"/>
        <v>24510</v>
      </c>
      <c r="E70" s="637">
        <v>24510</v>
      </c>
      <c r="F70" s="637">
        <v>0</v>
      </c>
      <c r="G70" s="627">
        <f t="shared" si="8"/>
        <v>18606</v>
      </c>
      <c r="H70" s="638">
        <v>18606</v>
      </c>
      <c r="I70" s="638">
        <v>0</v>
      </c>
      <c r="J70" s="630">
        <f t="shared" si="9"/>
        <v>29195</v>
      </c>
      <c r="K70" s="638">
        <v>29195</v>
      </c>
      <c r="L70" s="638">
        <v>0</v>
      </c>
      <c r="M70" s="627">
        <f t="shared" si="10"/>
        <v>24808</v>
      </c>
      <c r="N70" s="637">
        <f>H70/9*12</f>
        <v>24808</v>
      </c>
      <c r="O70" s="637">
        <f>I70/9*12</f>
        <v>0</v>
      </c>
    </row>
    <row r="71" spans="1:15" x14ac:dyDescent="0.25">
      <c r="A71" s="647" t="s">
        <v>126</v>
      </c>
      <c r="B71" s="647" t="s">
        <v>133</v>
      </c>
      <c r="C71" s="648" t="s">
        <v>253</v>
      </c>
      <c r="D71" s="627">
        <f t="shared" si="7"/>
        <v>62857</v>
      </c>
      <c r="E71" s="627">
        <f>E72</f>
        <v>36410</v>
      </c>
      <c r="F71" s="627">
        <f>F72+F73</f>
        <v>26447</v>
      </c>
      <c r="G71" s="627">
        <f t="shared" si="8"/>
        <v>40011</v>
      </c>
      <c r="H71" s="630">
        <f>H72</f>
        <v>18959</v>
      </c>
      <c r="I71" s="630">
        <f>I72</f>
        <v>21052</v>
      </c>
      <c r="J71" s="630">
        <f t="shared" si="9"/>
        <v>72024</v>
      </c>
      <c r="K71" s="630">
        <f>K72</f>
        <v>41524</v>
      </c>
      <c r="L71" s="630">
        <f>L72</f>
        <v>30500</v>
      </c>
      <c r="M71" s="627">
        <f t="shared" si="10"/>
        <v>57561.111111111117</v>
      </c>
      <c r="N71" s="627">
        <f>N72</f>
        <v>29491.777777777781</v>
      </c>
      <c r="O71" s="627">
        <f>O72</f>
        <v>28069.333333333336</v>
      </c>
    </row>
    <row r="72" spans="1:15" x14ac:dyDescent="0.25">
      <c r="A72" s="645" t="s">
        <v>126</v>
      </c>
      <c r="B72" s="645" t="s">
        <v>122</v>
      </c>
      <c r="C72" s="646" t="s">
        <v>159</v>
      </c>
      <c r="D72" s="627">
        <f t="shared" si="7"/>
        <v>62857</v>
      </c>
      <c r="E72" s="637">
        <v>36410</v>
      </c>
      <c r="F72" s="637">
        <v>26447</v>
      </c>
      <c r="G72" s="627">
        <f t="shared" si="8"/>
        <v>40011</v>
      </c>
      <c r="H72" s="638">
        <v>18959</v>
      </c>
      <c r="I72" s="638">
        <v>21052</v>
      </c>
      <c r="J72" s="630">
        <f t="shared" si="9"/>
        <v>72024</v>
      </c>
      <c r="K72" s="638">
        <v>41524</v>
      </c>
      <c r="L72" s="638">
        <v>30500</v>
      </c>
      <c r="M72" s="627">
        <f t="shared" si="10"/>
        <v>57561.111111111117</v>
      </c>
      <c r="N72" s="637">
        <f>H72/9*14</f>
        <v>29491.777777777781</v>
      </c>
      <c r="O72" s="637">
        <f>I72/9*12</f>
        <v>28069.333333333336</v>
      </c>
    </row>
    <row r="73" spans="1:15" ht="26.25" x14ac:dyDescent="0.25">
      <c r="A73" s="645" t="s">
        <v>126</v>
      </c>
      <c r="B73" s="645" t="s">
        <v>136</v>
      </c>
      <c r="C73" s="646" t="s">
        <v>1204</v>
      </c>
      <c r="D73" s="627"/>
      <c r="E73" s="637"/>
      <c r="F73" s="637">
        <v>0</v>
      </c>
      <c r="G73" s="627"/>
      <c r="H73" s="638"/>
      <c r="I73" s="638"/>
      <c r="J73" s="630"/>
      <c r="K73" s="638"/>
      <c r="L73" s="638"/>
      <c r="M73" s="627"/>
      <c r="N73" s="637"/>
      <c r="O73" s="637"/>
    </row>
    <row r="74" spans="1:15" x14ac:dyDescent="0.25">
      <c r="A74" s="647" t="s">
        <v>127</v>
      </c>
      <c r="B74" s="647" t="s">
        <v>133</v>
      </c>
      <c r="C74" s="648" t="s">
        <v>117</v>
      </c>
      <c r="D74" s="627">
        <f t="shared" si="7"/>
        <v>0</v>
      </c>
      <c r="E74" s="627">
        <f>E75+E76+E77+E79+E78</f>
        <v>0</v>
      </c>
      <c r="F74" s="627">
        <v>0</v>
      </c>
      <c r="G74" s="627">
        <f t="shared" si="8"/>
        <v>0</v>
      </c>
      <c r="H74" s="630">
        <v>0</v>
      </c>
      <c r="I74" s="630">
        <f>SUM(I75:I79)</f>
        <v>0</v>
      </c>
      <c r="J74" s="630">
        <f t="shared" si="9"/>
        <v>0</v>
      </c>
      <c r="K74" s="630">
        <f>K75+K76+K77+K79+K78</f>
        <v>0</v>
      </c>
      <c r="L74" s="630">
        <f>L75+L76+L77+L79+L78</f>
        <v>0</v>
      </c>
      <c r="M74" s="627">
        <f t="shared" si="10"/>
        <v>0</v>
      </c>
      <c r="N74" s="627">
        <f>N75+N76+N77+N79</f>
        <v>0</v>
      </c>
      <c r="O74" s="627">
        <f>O75+O76+O77+O79</f>
        <v>0</v>
      </c>
    </row>
    <row r="75" spans="1:15" ht="26.25" x14ac:dyDescent="0.25">
      <c r="A75" s="650" t="s">
        <v>127</v>
      </c>
      <c r="B75" s="650" t="s">
        <v>122</v>
      </c>
      <c r="C75" s="644" t="s">
        <v>1205</v>
      </c>
      <c r="D75" s="627">
        <f t="shared" si="7"/>
        <v>0</v>
      </c>
      <c r="E75" s="637">
        <v>0</v>
      </c>
      <c r="F75" s="637">
        <v>0</v>
      </c>
      <c r="G75" s="627">
        <f t="shared" si="8"/>
        <v>0</v>
      </c>
      <c r="H75" s="638">
        <v>0</v>
      </c>
      <c r="I75" s="638">
        <v>0</v>
      </c>
      <c r="J75" s="630">
        <f t="shared" si="9"/>
        <v>0</v>
      </c>
      <c r="K75" s="638">
        <v>0</v>
      </c>
      <c r="L75" s="638">
        <v>0</v>
      </c>
      <c r="M75" s="627">
        <f t="shared" si="10"/>
        <v>0</v>
      </c>
      <c r="N75" s="637">
        <f t="shared" ref="N75:O78" si="12">H75/9*12</f>
        <v>0</v>
      </c>
      <c r="O75" s="637">
        <f t="shared" si="12"/>
        <v>0</v>
      </c>
    </row>
    <row r="76" spans="1:15" x14ac:dyDescent="0.25">
      <c r="A76" s="650" t="s">
        <v>127</v>
      </c>
      <c r="B76" s="650" t="s">
        <v>132</v>
      </c>
      <c r="C76" s="644" t="s">
        <v>1206</v>
      </c>
      <c r="D76" s="627">
        <f t="shared" si="7"/>
        <v>0</v>
      </c>
      <c r="E76" s="637">
        <v>0</v>
      </c>
      <c r="F76" s="637">
        <v>0</v>
      </c>
      <c r="G76" s="627">
        <f t="shared" si="8"/>
        <v>0</v>
      </c>
      <c r="H76" s="638">
        <v>0</v>
      </c>
      <c r="I76" s="638">
        <v>0</v>
      </c>
      <c r="J76" s="630">
        <f t="shared" si="9"/>
        <v>0</v>
      </c>
      <c r="K76" s="638">
        <v>0</v>
      </c>
      <c r="L76" s="638">
        <v>0</v>
      </c>
      <c r="M76" s="627">
        <f t="shared" si="10"/>
        <v>0</v>
      </c>
      <c r="N76" s="637">
        <f t="shared" si="12"/>
        <v>0</v>
      </c>
      <c r="O76" s="637">
        <f t="shared" si="12"/>
        <v>0</v>
      </c>
    </row>
    <row r="77" spans="1:15" x14ac:dyDescent="0.25">
      <c r="A77" s="650" t="s">
        <v>127</v>
      </c>
      <c r="B77" s="650" t="s">
        <v>136</v>
      </c>
      <c r="C77" s="644" t="s">
        <v>1207</v>
      </c>
      <c r="D77" s="627">
        <f t="shared" si="7"/>
        <v>0</v>
      </c>
      <c r="E77" s="637">
        <v>0</v>
      </c>
      <c r="F77" s="637">
        <v>0</v>
      </c>
      <c r="G77" s="627">
        <f t="shared" si="8"/>
        <v>0</v>
      </c>
      <c r="H77" s="638">
        <v>0</v>
      </c>
      <c r="I77" s="638">
        <v>0</v>
      </c>
      <c r="J77" s="630">
        <f t="shared" si="9"/>
        <v>0</v>
      </c>
      <c r="K77" s="638">
        <v>0</v>
      </c>
      <c r="L77" s="638">
        <v>0</v>
      </c>
      <c r="M77" s="627">
        <f t="shared" si="10"/>
        <v>0</v>
      </c>
      <c r="N77" s="637">
        <f t="shared" si="12"/>
        <v>0</v>
      </c>
      <c r="O77" s="637">
        <f t="shared" si="12"/>
        <v>0</v>
      </c>
    </row>
    <row r="78" spans="1:15" ht="39" x14ac:dyDescent="0.25">
      <c r="A78" s="650" t="s">
        <v>127</v>
      </c>
      <c r="B78" s="650" t="s">
        <v>138</v>
      </c>
      <c r="C78" s="644" t="s">
        <v>160</v>
      </c>
      <c r="D78" s="627">
        <f t="shared" si="7"/>
        <v>0</v>
      </c>
      <c r="E78" s="637">
        <v>0</v>
      </c>
      <c r="F78" s="637">
        <v>0</v>
      </c>
      <c r="G78" s="627">
        <f t="shared" si="8"/>
        <v>0</v>
      </c>
      <c r="H78" s="638">
        <v>0</v>
      </c>
      <c r="I78" s="638">
        <v>0</v>
      </c>
      <c r="J78" s="630">
        <f t="shared" si="9"/>
        <v>0</v>
      </c>
      <c r="K78" s="638">
        <v>0</v>
      </c>
      <c r="L78" s="638">
        <v>0</v>
      </c>
      <c r="M78" s="627">
        <f t="shared" si="10"/>
        <v>0</v>
      </c>
      <c r="N78" s="637">
        <f t="shared" si="12"/>
        <v>0</v>
      </c>
      <c r="O78" s="637">
        <f t="shared" si="12"/>
        <v>0</v>
      </c>
    </row>
    <row r="79" spans="1:15" ht="26.25" x14ac:dyDescent="0.25">
      <c r="A79" s="650" t="s">
        <v>127</v>
      </c>
      <c r="B79" s="650" t="s">
        <v>127</v>
      </c>
      <c r="C79" s="644" t="s">
        <v>161</v>
      </c>
      <c r="D79" s="627">
        <f t="shared" si="7"/>
        <v>0</v>
      </c>
      <c r="E79" s="637">
        <v>0</v>
      </c>
      <c r="F79" s="637">
        <v>0</v>
      </c>
      <c r="G79" s="627">
        <f t="shared" si="8"/>
        <v>0</v>
      </c>
      <c r="H79" s="638">
        <v>0</v>
      </c>
      <c r="I79" s="638">
        <v>0</v>
      </c>
      <c r="J79" s="630">
        <f t="shared" si="9"/>
        <v>0</v>
      </c>
      <c r="K79" s="638">
        <v>0</v>
      </c>
      <c r="L79" s="638">
        <v>0</v>
      </c>
      <c r="M79" s="627">
        <f>N79+O79</f>
        <v>0</v>
      </c>
      <c r="N79" s="637">
        <v>0</v>
      </c>
      <c r="O79" s="637">
        <f>I79/9*12</f>
        <v>0</v>
      </c>
    </row>
    <row r="80" spans="1:15" x14ac:dyDescent="0.25">
      <c r="A80" s="651" t="s">
        <v>143</v>
      </c>
      <c r="B80" s="651" t="s">
        <v>133</v>
      </c>
      <c r="C80" s="635" t="s">
        <v>118</v>
      </c>
      <c r="D80" s="627">
        <f t="shared" si="7"/>
        <v>37790</v>
      </c>
      <c r="E80" s="627">
        <f>E81+E82+E83+E84</f>
        <v>36149</v>
      </c>
      <c r="F80" s="627">
        <f>F81+F82+F83+F84</f>
        <v>1641</v>
      </c>
      <c r="G80" s="627">
        <f t="shared" si="8"/>
        <v>25687</v>
      </c>
      <c r="H80" s="630">
        <f>SUM(H81:H84)</f>
        <v>24237</v>
      </c>
      <c r="I80" s="630">
        <f>SUM(I81:I84)</f>
        <v>1450</v>
      </c>
      <c r="J80" s="630">
        <f t="shared" si="9"/>
        <v>35593</v>
      </c>
      <c r="K80" s="630">
        <f>K81+K82+K83+K84</f>
        <v>33329</v>
      </c>
      <c r="L80" s="630">
        <f>L81+L82+L83+L84</f>
        <v>2264</v>
      </c>
      <c r="M80" s="627">
        <f t="shared" si="10"/>
        <v>34249.333333333336</v>
      </c>
      <c r="N80" s="627">
        <f>N81+N82+N83+N84</f>
        <v>32316.000000000004</v>
      </c>
      <c r="O80" s="627">
        <f>O81+O82+O83+O84</f>
        <v>1933.3333333333335</v>
      </c>
    </row>
    <row r="81" spans="1:15" x14ac:dyDescent="0.25">
      <c r="A81" s="650" t="s">
        <v>143</v>
      </c>
      <c r="B81" s="650" t="s">
        <v>122</v>
      </c>
      <c r="C81" s="644" t="s">
        <v>162</v>
      </c>
      <c r="D81" s="627">
        <f t="shared" si="7"/>
        <v>3381</v>
      </c>
      <c r="E81" s="637">
        <v>2096</v>
      </c>
      <c r="F81" s="637">
        <v>1285</v>
      </c>
      <c r="G81" s="627">
        <f t="shared" si="8"/>
        <v>2869</v>
      </c>
      <c r="H81" s="638">
        <v>1860</v>
      </c>
      <c r="I81" s="638">
        <v>1009</v>
      </c>
      <c r="J81" s="630">
        <f t="shared" si="9"/>
        <v>3782</v>
      </c>
      <c r="K81" s="638">
        <v>2099</v>
      </c>
      <c r="L81" s="638">
        <v>1683</v>
      </c>
      <c r="M81" s="627">
        <f t="shared" si="10"/>
        <v>3825.3333333333335</v>
      </c>
      <c r="N81" s="637">
        <f t="shared" ref="N81:O84" si="13">H81/9*12</f>
        <v>2480</v>
      </c>
      <c r="O81" s="637">
        <f t="shared" si="13"/>
        <v>1345.3333333333335</v>
      </c>
    </row>
    <row r="82" spans="1:15" ht="26.25" x14ac:dyDescent="0.25">
      <c r="A82" s="650" t="s">
        <v>143</v>
      </c>
      <c r="B82" s="650" t="s">
        <v>123</v>
      </c>
      <c r="C82" s="644" t="s">
        <v>163</v>
      </c>
      <c r="D82" s="627">
        <f t="shared" si="7"/>
        <v>1894</v>
      </c>
      <c r="E82" s="637">
        <v>1546</v>
      </c>
      <c r="F82" s="637">
        <v>348</v>
      </c>
      <c r="G82" s="627">
        <f t="shared" si="8"/>
        <v>1701</v>
      </c>
      <c r="H82" s="638">
        <v>1264</v>
      </c>
      <c r="I82" s="638">
        <v>437</v>
      </c>
      <c r="J82" s="630">
        <f t="shared" si="9"/>
        <v>2954</v>
      </c>
      <c r="K82" s="638">
        <v>2381</v>
      </c>
      <c r="L82" s="638">
        <v>573</v>
      </c>
      <c r="M82" s="627">
        <f t="shared" si="10"/>
        <v>2268</v>
      </c>
      <c r="N82" s="637">
        <f t="shared" si="13"/>
        <v>1685.3333333333335</v>
      </c>
      <c r="O82" s="637">
        <f t="shared" si="13"/>
        <v>582.66666666666674</v>
      </c>
    </row>
    <row r="83" spans="1:15" x14ac:dyDescent="0.25">
      <c r="A83" s="650" t="s">
        <v>143</v>
      </c>
      <c r="B83" s="650" t="s">
        <v>136</v>
      </c>
      <c r="C83" s="644" t="s">
        <v>164</v>
      </c>
      <c r="D83" s="627">
        <f t="shared" si="7"/>
        <v>30757</v>
      </c>
      <c r="E83" s="637">
        <v>30757</v>
      </c>
      <c r="F83" s="637">
        <v>0</v>
      </c>
      <c r="G83" s="627">
        <f t="shared" si="8"/>
        <v>20116</v>
      </c>
      <c r="H83" s="638">
        <v>20116</v>
      </c>
      <c r="I83" s="638">
        <v>0</v>
      </c>
      <c r="J83" s="630">
        <f t="shared" si="9"/>
        <v>27035</v>
      </c>
      <c r="K83" s="638">
        <v>27035</v>
      </c>
      <c r="L83" s="638">
        <v>0</v>
      </c>
      <c r="M83" s="627">
        <f t="shared" si="10"/>
        <v>26821.333333333336</v>
      </c>
      <c r="N83" s="637">
        <f t="shared" si="13"/>
        <v>26821.333333333336</v>
      </c>
      <c r="O83" s="637">
        <f t="shared" si="13"/>
        <v>0</v>
      </c>
    </row>
    <row r="84" spans="1:15" ht="26.25" x14ac:dyDescent="0.25">
      <c r="A84" s="650" t="s">
        <v>143</v>
      </c>
      <c r="B84" s="650" t="s">
        <v>125</v>
      </c>
      <c r="C84" s="644" t="s">
        <v>1208</v>
      </c>
      <c r="D84" s="627">
        <f t="shared" si="7"/>
        <v>1758</v>
      </c>
      <c r="E84" s="637">
        <v>1750</v>
      </c>
      <c r="F84" s="637">
        <v>8</v>
      </c>
      <c r="G84" s="627">
        <f t="shared" si="8"/>
        <v>1001</v>
      </c>
      <c r="H84" s="638">
        <v>997</v>
      </c>
      <c r="I84" s="638">
        <v>4</v>
      </c>
      <c r="J84" s="630">
        <f t="shared" si="9"/>
        <v>1822</v>
      </c>
      <c r="K84" s="638">
        <v>1814</v>
      </c>
      <c r="L84" s="638">
        <v>8</v>
      </c>
      <c r="M84" s="627">
        <f t="shared" si="10"/>
        <v>1334.6666666666665</v>
      </c>
      <c r="N84" s="637">
        <f t="shared" si="13"/>
        <v>1329.3333333333333</v>
      </c>
      <c r="O84" s="637">
        <f t="shared" si="13"/>
        <v>5.333333333333333</v>
      </c>
    </row>
    <row r="85" spans="1:15" ht="26.25" x14ac:dyDescent="0.25">
      <c r="A85" s="651" t="s">
        <v>128</v>
      </c>
      <c r="B85" s="651" t="s">
        <v>133</v>
      </c>
      <c r="C85" s="635" t="s">
        <v>165</v>
      </c>
      <c r="D85" s="627">
        <f t="shared" si="7"/>
        <v>4074</v>
      </c>
      <c r="E85" s="627">
        <f>E86+E88+E89+E87</f>
        <v>1450</v>
      </c>
      <c r="F85" s="627">
        <f>F86+F88+F89+F87</f>
        <v>2624</v>
      </c>
      <c r="G85" s="627">
        <f t="shared" si="8"/>
        <v>5323</v>
      </c>
      <c r="H85" s="630">
        <f>SUM(H86:H89)</f>
        <v>3102</v>
      </c>
      <c r="I85" s="630">
        <f>SUM(I86:I89)</f>
        <v>2221</v>
      </c>
      <c r="J85" s="630">
        <f t="shared" si="9"/>
        <v>9936</v>
      </c>
      <c r="K85" s="630">
        <f>K86+K88+K89+K87</f>
        <v>6151</v>
      </c>
      <c r="L85" s="630">
        <f>L86+L88+L89</f>
        <v>3785</v>
      </c>
      <c r="M85" s="627">
        <f t="shared" si="10"/>
        <v>7105.4444444444443</v>
      </c>
      <c r="N85" s="627">
        <f>N86+N88+N89+N87</f>
        <v>4136</v>
      </c>
      <c r="O85" s="627">
        <f>O86+O88+O89</f>
        <v>2969.4444444444443</v>
      </c>
    </row>
    <row r="86" spans="1:15" x14ac:dyDescent="0.25">
      <c r="A86" s="650" t="s">
        <v>128</v>
      </c>
      <c r="B86" s="650" t="s">
        <v>122</v>
      </c>
      <c r="C86" s="644" t="s">
        <v>119</v>
      </c>
      <c r="D86" s="627">
        <f t="shared" si="7"/>
        <v>690</v>
      </c>
      <c r="E86" s="637">
        <v>550</v>
      </c>
      <c r="F86" s="637">
        <v>140</v>
      </c>
      <c r="G86" s="627">
        <f t="shared" si="8"/>
        <v>429</v>
      </c>
      <c r="H86" s="638">
        <v>356</v>
      </c>
      <c r="I86" s="638">
        <v>73</v>
      </c>
      <c r="J86" s="630">
        <f t="shared" si="9"/>
        <v>2980</v>
      </c>
      <c r="K86" s="638">
        <v>2780</v>
      </c>
      <c r="L86" s="638">
        <v>200</v>
      </c>
      <c r="M86" s="627">
        <f t="shared" si="10"/>
        <v>580.11111111111109</v>
      </c>
      <c r="N86" s="637">
        <f>H86/9*12</f>
        <v>474.66666666666669</v>
      </c>
      <c r="O86" s="637">
        <f>I86/9*13</f>
        <v>105.44444444444444</v>
      </c>
    </row>
    <row r="87" spans="1:15" x14ac:dyDescent="0.25">
      <c r="A87" s="650" t="s">
        <v>128</v>
      </c>
      <c r="B87" s="650" t="s">
        <v>132</v>
      </c>
      <c r="C87" s="644" t="s">
        <v>166</v>
      </c>
      <c r="D87" s="627">
        <f t="shared" si="7"/>
        <v>900</v>
      </c>
      <c r="E87" s="637">
        <v>900</v>
      </c>
      <c r="F87" s="637">
        <v>0</v>
      </c>
      <c r="G87" s="627">
        <f t="shared" si="8"/>
        <v>2746</v>
      </c>
      <c r="H87" s="638">
        <v>2746</v>
      </c>
      <c r="I87" s="638">
        <v>0</v>
      </c>
      <c r="J87" s="630">
        <f t="shared" si="9"/>
        <v>3371</v>
      </c>
      <c r="K87" s="638">
        <v>3371</v>
      </c>
      <c r="L87" s="638">
        <v>0</v>
      </c>
      <c r="M87" s="627">
        <f t="shared" si="10"/>
        <v>3661.333333333333</v>
      </c>
      <c r="N87" s="637">
        <f>H87/9*12</f>
        <v>3661.333333333333</v>
      </c>
      <c r="O87" s="637">
        <v>0</v>
      </c>
    </row>
    <row r="88" spans="1:15" ht="39" x14ac:dyDescent="0.25">
      <c r="A88" s="650" t="s">
        <v>128</v>
      </c>
      <c r="B88" s="650" t="s">
        <v>136</v>
      </c>
      <c r="C88" s="652" t="s">
        <v>167</v>
      </c>
      <c r="D88" s="627">
        <f t="shared" si="7"/>
        <v>0</v>
      </c>
      <c r="E88" s="637">
        <v>0</v>
      </c>
      <c r="F88" s="637">
        <v>0</v>
      </c>
      <c r="G88" s="627">
        <f t="shared" si="8"/>
        <v>0</v>
      </c>
      <c r="H88" s="638">
        <v>0</v>
      </c>
      <c r="I88" s="638">
        <v>0</v>
      </c>
      <c r="J88" s="630">
        <f t="shared" si="9"/>
        <v>0</v>
      </c>
      <c r="K88" s="638">
        <v>0</v>
      </c>
      <c r="L88" s="638">
        <v>0</v>
      </c>
      <c r="M88" s="627">
        <f t="shared" si="10"/>
        <v>0</v>
      </c>
      <c r="N88" s="637">
        <f>H88/9*12</f>
        <v>0</v>
      </c>
      <c r="O88" s="637"/>
    </row>
    <row r="89" spans="1:15" ht="26.25" x14ac:dyDescent="0.25">
      <c r="A89" s="650" t="s">
        <v>128</v>
      </c>
      <c r="B89" s="650" t="s">
        <v>124</v>
      </c>
      <c r="C89" s="652" t="s">
        <v>168</v>
      </c>
      <c r="D89" s="627">
        <f t="shared" si="7"/>
        <v>2484</v>
      </c>
      <c r="E89" s="637">
        <v>0</v>
      </c>
      <c r="F89" s="637">
        <v>2484</v>
      </c>
      <c r="G89" s="627">
        <f t="shared" si="8"/>
        <v>2148</v>
      </c>
      <c r="H89" s="638">
        <v>0</v>
      </c>
      <c r="I89" s="638">
        <v>2148</v>
      </c>
      <c r="J89" s="630">
        <f t="shared" si="9"/>
        <v>3585</v>
      </c>
      <c r="K89" s="638">
        <v>0</v>
      </c>
      <c r="L89" s="638">
        <v>3585</v>
      </c>
      <c r="M89" s="627">
        <f t="shared" si="10"/>
        <v>2864</v>
      </c>
      <c r="N89" s="637">
        <f>H89/9*12</f>
        <v>0</v>
      </c>
      <c r="O89" s="637">
        <f>I89/9*12</f>
        <v>2864</v>
      </c>
    </row>
    <row r="90" spans="1:15" ht="39" x14ac:dyDescent="0.25">
      <c r="A90" s="651" t="s">
        <v>130</v>
      </c>
      <c r="B90" s="651" t="s">
        <v>133</v>
      </c>
      <c r="C90" s="653" t="s">
        <v>120</v>
      </c>
      <c r="D90" s="627">
        <f t="shared" si="7"/>
        <v>100</v>
      </c>
      <c r="E90" s="627">
        <f>SUM(E91)</f>
        <v>0</v>
      </c>
      <c r="F90" s="627">
        <f>SUM(F91)</f>
        <v>100</v>
      </c>
      <c r="G90" s="627">
        <f t="shared" si="8"/>
        <v>43</v>
      </c>
      <c r="H90" s="630">
        <f>SUM(H91)</f>
        <v>0</v>
      </c>
      <c r="I90" s="630">
        <f>SUM(I91)</f>
        <v>43</v>
      </c>
      <c r="J90" s="630">
        <f t="shared" si="9"/>
        <v>150</v>
      </c>
      <c r="K90" s="630">
        <f>SUM(K91)</f>
        <v>0</v>
      </c>
      <c r="L90" s="630">
        <f>SUM(L91)</f>
        <v>150</v>
      </c>
      <c r="M90" s="627">
        <f t="shared" si="10"/>
        <v>57.333333333333329</v>
      </c>
      <c r="N90" s="627">
        <f>SUM(N91)</f>
        <v>0</v>
      </c>
      <c r="O90" s="627">
        <f>SUM(O91)</f>
        <v>57.333333333333329</v>
      </c>
    </row>
    <row r="91" spans="1:15" ht="39" x14ac:dyDescent="0.25">
      <c r="A91" s="650" t="s">
        <v>130</v>
      </c>
      <c r="B91" s="650" t="s">
        <v>122</v>
      </c>
      <c r="C91" s="652" t="s">
        <v>1209</v>
      </c>
      <c r="D91" s="627">
        <f t="shared" si="7"/>
        <v>100</v>
      </c>
      <c r="E91" s="637">
        <v>0</v>
      </c>
      <c r="F91" s="637">
        <v>100</v>
      </c>
      <c r="G91" s="627">
        <f t="shared" si="8"/>
        <v>43</v>
      </c>
      <c r="H91" s="638">
        <v>0</v>
      </c>
      <c r="I91" s="638">
        <v>43</v>
      </c>
      <c r="J91" s="630">
        <f t="shared" si="9"/>
        <v>150</v>
      </c>
      <c r="K91" s="638">
        <v>0</v>
      </c>
      <c r="L91" s="638">
        <v>150</v>
      </c>
      <c r="M91" s="627">
        <f t="shared" si="10"/>
        <v>57.333333333333329</v>
      </c>
      <c r="N91" s="637">
        <f>H91/9*12</f>
        <v>0</v>
      </c>
      <c r="O91" s="637">
        <f>I91/9*12</f>
        <v>57.333333333333329</v>
      </c>
    </row>
    <row r="92" spans="1:15" ht="90" x14ac:dyDescent="0.25">
      <c r="A92" s="651" t="s">
        <v>131</v>
      </c>
      <c r="B92" s="651" t="s">
        <v>133</v>
      </c>
      <c r="C92" s="653" t="s">
        <v>1210</v>
      </c>
      <c r="D92" s="627">
        <f t="shared" si="7"/>
        <v>20000</v>
      </c>
      <c r="E92" s="627">
        <f>SUM(E93)</f>
        <v>20000</v>
      </c>
      <c r="F92" s="627">
        <f>F93+F94</f>
        <v>0</v>
      </c>
      <c r="G92" s="627">
        <f t="shared" si="8"/>
        <v>15305</v>
      </c>
      <c r="H92" s="630">
        <f>H93+H94</f>
        <v>15205</v>
      </c>
      <c r="I92" s="630">
        <f>I93+I94</f>
        <v>100</v>
      </c>
      <c r="J92" s="630">
        <f t="shared" si="9"/>
        <v>20100</v>
      </c>
      <c r="K92" s="630">
        <f>K93+K94</f>
        <v>20000</v>
      </c>
      <c r="L92" s="630">
        <f>L93+L94</f>
        <v>100</v>
      </c>
      <c r="M92" s="627">
        <f t="shared" si="10"/>
        <v>18100</v>
      </c>
      <c r="N92" s="627">
        <f>N93+N94</f>
        <v>18000</v>
      </c>
      <c r="O92" s="627">
        <f>O93+O94</f>
        <v>100</v>
      </c>
    </row>
    <row r="93" spans="1:15" ht="64.5" x14ac:dyDescent="0.25">
      <c r="A93" s="650" t="s">
        <v>131</v>
      </c>
      <c r="B93" s="650" t="s">
        <v>122</v>
      </c>
      <c r="C93" s="652" t="s">
        <v>169</v>
      </c>
      <c r="D93" s="627">
        <f t="shared" si="7"/>
        <v>20000</v>
      </c>
      <c r="E93" s="637">
        <v>20000</v>
      </c>
      <c r="F93" s="637">
        <v>0</v>
      </c>
      <c r="G93" s="627">
        <f t="shared" si="8"/>
        <v>15205</v>
      </c>
      <c r="H93" s="638">
        <v>15205</v>
      </c>
      <c r="I93" s="638">
        <v>0</v>
      </c>
      <c r="J93" s="630">
        <f t="shared" si="9"/>
        <v>20000</v>
      </c>
      <c r="K93" s="638">
        <v>20000</v>
      </c>
      <c r="L93" s="638">
        <v>0</v>
      </c>
      <c r="M93" s="627">
        <f t="shared" si="10"/>
        <v>18000</v>
      </c>
      <c r="N93" s="637">
        <v>18000</v>
      </c>
      <c r="O93" s="637">
        <f>I93/9*12</f>
        <v>0</v>
      </c>
    </row>
    <row r="94" spans="1:15" ht="39" x14ac:dyDescent="0.25">
      <c r="A94" s="650" t="s">
        <v>131</v>
      </c>
      <c r="B94" s="650" t="s">
        <v>123</v>
      </c>
      <c r="C94" s="652" t="s">
        <v>1211</v>
      </c>
      <c r="D94" s="627">
        <f t="shared" si="7"/>
        <v>0</v>
      </c>
      <c r="E94" s="637">
        <v>0</v>
      </c>
      <c r="F94" s="637">
        <v>0</v>
      </c>
      <c r="G94" s="627">
        <f t="shared" si="8"/>
        <v>100</v>
      </c>
      <c r="H94" s="638">
        <v>0</v>
      </c>
      <c r="I94" s="638">
        <v>100</v>
      </c>
      <c r="J94" s="630">
        <f t="shared" si="9"/>
        <v>100</v>
      </c>
      <c r="K94" s="638">
        <v>0</v>
      </c>
      <c r="L94" s="638">
        <v>100</v>
      </c>
      <c r="M94" s="627">
        <f t="shared" si="10"/>
        <v>100</v>
      </c>
      <c r="N94" s="637">
        <v>0</v>
      </c>
      <c r="O94" s="637">
        <v>100</v>
      </c>
    </row>
    <row r="95" spans="1:15" x14ac:dyDescent="0.25">
      <c r="A95" s="651" t="s">
        <v>170</v>
      </c>
      <c r="B95" s="651" t="s">
        <v>133</v>
      </c>
      <c r="C95" s="635" t="s">
        <v>171</v>
      </c>
      <c r="D95" s="627">
        <f>D34+D43+D45+D50+D57+D62+D65+D71+D74+D80+D85</f>
        <v>1090661</v>
      </c>
      <c r="E95" s="627">
        <f>E34+E43+E45+E50+E57+E62+E65+E71+E74+E80+E85+E90+E92</f>
        <v>838949</v>
      </c>
      <c r="F95" s="627">
        <f>F34+F43+F45+F50+F57+F62+F65+F71+F74+F80+F85+F90+F92</f>
        <v>271812</v>
      </c>
      <c r="G95" s="627">
        <f t="shared" si="8"/>
        <v>903944</v>
      </c>
      <c r="H95" s="630">
        <f>H34+H43+H45+H50+H57+H62+H65+H71+H74+H80+H85+H90+H92</f>
        <v>679697</v>
      </c>
      <c r="I95" s="630">
        <f>I34+I43+I45+I50+I57+I62+I65+I71+I74+I80+I85+I90+I92</f>
        <v>224247</v>
      </c>
      <c r="J95" s="630">
        <f t="shared" si="9"/>
        <v>1466649</v>
      </c>
      <c r="K95" s="630">
        <f>K34+K43+K45+K50+K57+K62+K65+K71+K74+K80+K85+K90+K92</f>
        <v>1032777</v>
      </c>
      <c r="L95" s="630">
        <f>L34+L43+L45+L50+L57+L62+L65+L71+L74+L80+L85+L90+L92</f>
        <v>433872</v>
      </c>
      <c r="M95" s="627">
        <f t="shared" si="10"/>
        <v>1172761.9111111111</v>
      </c>
      <c r="N95" s="627">
        <f>N34+N43+N45+N50+N57+N62+N65+N71+N74+N80+N85+N90+N92</f>
        <v>873564.22222222225</v>
      </c>
      <c r="O95" s="627">
        <f>O34+O43+O45+O50+O57+O62+O65+O71+O74+O80+O85+O90+O92</f>
        <v>299197.68888888886</v>
      </c>
    </row>
    <row r="96" spans="1:15" x14ac:dyDescent="0.25">
      <c r="A96" s="1021" t="s">
        <v>1212</v>
      </c>
      <c r="B96" s="1022"/>
      <c r="C96" s="1023"/>
      <c r="D96" s="627">
        <f>D31-D95</f>
        <v>-357299</v>
      </c>
      <c r="E96" s="627">
        <f>E31-E95</f>
        <v>-246786</v>
      </c>
      <c r="F96" s="627">
        <f>F31-F95</f>
        <v>-130613</v>
      </c>
      <c r="G96" s="627">
        <f t="shared" si="8"/>
        <v>-173764</v>
      </c>
      <c r="H96" s="630">
        <f>H31-H95</f>
        <v>-118519</v>
      </c>
      <c r="I96" s="630">
        <f>I31-I95</f>
        <v>-55245</v>
      </c>
      <c r="J96" s="630">
        <f t="shared" si="9"/>
        <v>-377399</v>
      </c>
      <c r="K96" s="630">
        <f>K31-K95</f>
        <v>-242345</v>
      </c>
      <c r="L96" s="630">
        <f>L31-L95</f>
        <v>-135054</v>
      </c>
      <c r="M96" s="627">
        <f>N96+O96</f>
        <v>352616.42222222243</v>
      </c>
      <c r="N96" s="627">
        <f>K105+N31-N95</f>
        <v>241680.11111111124</v>
      </c>
      <c r="O96" s="627">
        <f>L105+O31-O95</f>
        <v>110936.31111111119</v>
      </c>
    </row>
    <row r="97" spans="1:15" x14ac:dyDescent="0.25">
      <c r="A97" s="1031" t="s">
        <v>1213</v>
      </c>
      <c r="B97" s="1032"/>
      <c r="C97" s="1032"/>
      <c r="D97" s="1032"/>
      <c r="E97" s="1032"/>
      <c r="F97" s="1032"/>
      <c r="G97" s="1032"/>
      <c r="H97" s="1032"/>
      <c r="I97" s="1032"/>
      <c r="J97" s="1032"/>
      <c r="K97" s="1032"/>
      <c r="L97" s="1032"/>
      <c r="M97" s="1032"/>
      <c r="N97" s="1032"/>
      <c r="O97" s="1033"/>
    </row>
    <row r="98" spans="1:15" ht="30.75" customHeight="1" x14ac:dyDescent="0.25">
      <c r="A98" s="1021" t="s">
        <v>1214</v>
      </c>
      <c r="B98" s="1022"/>
      <c r="C98" s="1023"/>
      <c r="D98" s="627">
        <f>SUM(E98:F98)</f>
        <v>377399</v>
      </c>
      <c r="E98" s="627">
        <f>-E96</f>
        <v>246786</v>
      </c>
      <c r="F98" s="627">
        <f>-F96</f>
        <v>130613</v>
      </c>
      <c r="G98" s="627">
        <f>SUM(H98:I98)</f>
        <v>173764</v>
      </c>
      <c r="H98" s="630">
        <f>-H96</f>
        <v>118519</v>
      </c>
      <c r="I98" s="630">
        <f>-I96</f>
        <v>55245</v>
      </c>
      <c r="J98" s="630">
        <f>SUM(K98:L98)</f>
        <v>377399</v>
      </c>
      <c r="K98" s="630">
        <f>-K96</f>
        <v>242345</v>
      </c>
      <c r="L98" s="630">
        <f>-L96</f>
        <v>135054</v>
      </c>
      <c r="M98" s="627">
        <f>N98+O98</f>
        <v>-352616.42222222243</v>
      </c>
      <c r="N98" s="627">
        <f>-N96</f>
        <v>-241680.11111111124</v>
      </c>
      <c r="O98" s="627">
        <f>-O96</f>
        <v>-110936.31111111119</v>
      </c>
    </row>
    <row r="99" spans="1:15" ht="30.75" customHeight="1" x14ac:dyDescent="0.25">
      <c r="A99" s="1021" t="s">
        <v>1215</v>
      </c>
      <c r="B99" s="1022"/>
      <c r="C99" s="1023"/>
      <c r="D99" s="627">
        <f t="shared" ref="D99:D104" si="14">SUM(E99:F99)</f>
        <v>0</v>
      </c>
      <c r="E99" s="654">
        <v>0</v>
      </c>
      <c r="F99" s="654">
        <v>0</v>
      </c>
      <c r="G99" s="627">
        <f t="shared" ref="G99:G105" si="15">SUM(H99:I99)</f>
        <v>0</v>
      </c>
      <c r="H99" s="655">
        <v>0</v>
      </c>
      <c r="I99" s="656">
        <v>0</v>
      </c>
      <c r="J99" s="630">
        <f t="shared" ref="J99:J105" si="16">SUM(K99:L99)</f>
        <v>0</v>
      </c>
      <c r="K99" s="656">
        <v>0</v>
      </c>
      <c r="L99" s="656">
        <v>0</v>
      </c>
      <c r="M99" s="627">
        <f t="shared" ref="M99:M103" si="17">-M97</f>
        <v>0</v>
      </c>
      <c r="N99" s="654">
        <v>0</v>
      </c>
      <c r="O99" s="654">
        <v>0</v>
      </c>
    </row>
    <row r="100" spans="1:15" ht="63.75" customHeight="1" x14ac:dyDescent="0.25">
      <c r="A100" s="1021" t="s">
        <v>1216</v>
      </c>
      <c r="B100" s="1022"/>
      <c r="C100" s="1023"/>
      <c r="D100" s="627">
        <f t="shared" si="14"/>
        <v>0</v>
      </c>
      <c r="E100" s="654">
        <v>0</v>
      </c>
      <c r="F100" s="654">
        <v>0</v>
      </c>
      <c r="G100" s="627">
        <f t="shared" si="15"/>
        <v>0</v>
      </c>
      <c r="H100" s="656">
        <v>0</v>
      </c>
      <c r="I100" s="656">
        <v>0</v>
      </c>
      <c r="J100" s="630">
        <f t="shared" si="16"/>
        <v>0</v>
      </c>
      <c r="K100" s="656">
        <v>0</v>
      </c>
      <c r="L100" s="656">
        <v>0</v>
      </c>
      <c r="M100" s="627">
        <v>0</v>
      </c>
      <c r="N100" s="654">
        <v>0</v>
      </c>
      <c r="O100" s="654">
        <v>0</v>
      </c>
    </row>
    <row r="101" spans="1:15" ht="63.75" customHeight="1" x14ac:dyDescent="0.25">
      <c r="A101" s="1021" t="s">
        <v>1217</v>
      </c>
      <c r="B101" s="1022"/>
      <c r="C101" s="1023"/>
      <c r="D101" s="627">
        <f t="shared" si="14"/>
        <v>0</v>
      </c>
      <c r="E101" s="654">
        <v>0</v>
      </c>
      <c r="F101" s="654">
        <v>0</v>
      </c>
      <c r="G101" s="627">
        <f t="shared" si="15"/>
        <v>5000</v>
      </c>
      <c r="H101" s="656">
        <v>0</v>
      </c>
      <c r="I101" s="656">
        <v>5000</v>
      </c>
      <c r="J101" s="630">
        <f t="shared" si="16"/>
        <v>5000</v>
      </c>
      <c r="K101" s="656">
        <v>0</v>
      </c>
      <c r="L101" s="656">
        <v>5000</v>
      </c>
      <c r="M101" s="627">
        <f t="shared" si="17"/>
        <v>0</v>
      </c>
      <c r="N101" s="654">
        <v>5000</v>
      </c>
      <c r="O101" s="654">
        <v>5000</v>
      </c>
    </row>
    <row r="102" spans="1:15" ht="63.75" customHeight="1" x14ac:dyDescent="0.25">
      <c r="A102" s="1021" t="s">
        <v>1218</v>
      </c>
      <c r="B102" s="1022"/>
      <c r="C102" s="1023"/>
      <c r="D102" s="627">
        <f t="shared" si="14"/>
        <v>-3966</v>
      </c>
      <c r="E102" s="654">
        <v>0</v>
      </c>
      <c r="F102" s="654">
        <v>-3966</v>
      </c>
      <c r="G102" s="627">
        <f t="shared" si="15"/>
        <v>-3053</v>
      </c>
      <c r="H102" s="656">
        <v>0</v>
      </c>
      <c r="I102" s="656">
        <v>-3053</v>
      </c>
      <c r="J102" s="630">
        <f t="shared" si="16"/>
        <v>-4526</v>
      </c>
      <c r="K102" s="656">
        <v>0</v>
      </c>
      <c r="L102" s="656">
        <v>-4526</v>
      </c>
      <c r="M102" s="627">
        <f>-M100</f>
        <v>0</v>
      </c>
      <c r="N102" s="654">
        <v>4526</v>
      </c>
      <c r="O102" s="654">
        <v>4286</v>
      </c>
    </row>
    <row r="103" spans="1:15" ht="46.5" customHeight="1" x14ac:dyDescent="0.25">
      <c r="A103" s="1021" t="s">
        <v>1219</v>
      </c>
      <c r="B103" s="1022"/>
      <c r="C103" s="1023"/>
      <c r="D103" s="627">
        <f t="shared" si="14"/>
        <v>0</v>
      </c>
      <c r="E103" s="654">
        <v>0</v>
      </c>
      <c r="F103" s="654">
        <v>0</v>
      </c>
      <c r="G103" s="627">
        <f t="shared" si="15"/>
        <v>-5000</v>
      </c>
      <c r="H103" s="656">
        <v>-5000</v>
      </c>
      <c r="I103" s="656">
        <v>0</v>
      </c>
      <c r="J103" s="630">
        <f t="shared" si="16"/>
        <v>-5000</v>
      </c>
      <c r="K103" s="656">
        <v>-5000</v>
      </c>
      <c r="L103" s="656">
        <v>0</v>
      </c>
      <c r="M103" s="627">
        <f t="shared" si="17"/>
        <v>0</v>
      </c>
      <c r="N103" s="654">
        <v>0</v>
      </c>
      <c r="O103" s="654">
        <v>-5000</v>
      </c>
    </row>
    <row r="104" spans="1:15" ht="45.75" customHeight="1" x14ac:dyDescent="0.25">
      <c r="A104" s="1028" t="s">
        <v>1220</v>
      </c>
      <c r="B104" s="1029"/>
      <c r="C104" s="1030"/>
      <c r="D104" s="627">
        <f t="shared" si="14"/>
        <v>3966</v>
      </c>
      <c r="E104" s="654">
        <v>3966</v>
      </c>
      <c r="F104" s="654">
        <v>0</v>
      </c>
      <c r="G104" s="627">
        <f t="shared" si="15"/>
        <v>3053</v>
      </c>
      <c r="H104" s="656">
        <v>3053</v>
      </c>
      <c r="I104" s="656">
        <v>0</v>
      </c>
      <c r="J104" s="630">
        <f t="shared" si="16"/>
        <v>4526</v>
      </c>
      <c r="K104" s="656">
        <v>4526</v>
      </c>
      <c r="L104" s="656">
        <v>0</v>
      </c>
      <c r="M104" s="627">
        <f>-M102</f>
        <v>0</v>
      </c>
      <c r="N104" s="654">
        <v>0</v>
      </c>
      <c r="O104" s="654">
        <v>4286</v>
      </c>
    </row>
    <row r="105" spans="1:15" ht="33" customHeight="1" x14ac:dyDescent="0.25">
      <c r="A105" s="1021" t="s">
        <v>172</v>
      </c>
      <c r="B105" s="1022"/>
      <c r="C105" s="1023"/>
      <c r="D105" s="627">
        <f>SUM(E105:F105)</f>
        <v>583683</v>
      </c>
      <c r="E105" s="654">
        <v>439759</v>
      </c>
      <c r="F105" s="654">
        <v>143924</v>
      </c>
      <c r="G105" s="627">
        <f t="shared" si="15"/>
        <v>430845</v>
      </c>
      <c r="H105" s="656">
        <v>301546</v>
      </c>
      <c r="I105" s="656">
        <v>129299</v>
      </c>
      <c r="J105" s="630">
        <f t="shared" si="16"/>
        <v>583683</v>
      </c>
      <c r="K105" s="656">
        <v>439759</v>
      </c>
      <c r="L105" s="656">
        <v>143924</v>
      </c>
      <c r="M105" s="627">
        <f>-M103</f>
        <v>0</v>
      </c>
      <c r="N105" s="654">
        <v>0</v>
      </c>
      <c r="O105" s="654">
        <v>0</v>
      </c>
    </row>
    <row r="106" spans="1:15" ht="15.75" customHeight="1" x14ac:dyDescent="0.25">
      <c r="A106" s="1031" t="s">
        <v>1221</v>
      </c>
      <c r="B106" s="1032"/>
      <c r="C106" s="1032"/>
      <c r="D106" s="1032"/>
      <c r="E106" s="1032"/>
      <c r="F106" s="1032"/>
      <c r="G106" s="1032"/>
      <c r="H106" s="1032"/>
      <c r="I106" s="1032"/>
      <c r="J106" s="1032"/>
      <c r="K106" s="1032"/>
      <c r="L106" s="1032"/>
      <c r="M106" s="1032"/>
      <c r="N106" s="1032"/>
      <c r="O106" s="1033"/>
    </row>
    <row r="107" spans="1:15" x14ac:dyDescent="0.25">
      <c r="A107" s="1021" t="s">
        <v>1222</v>
      </c>
      <c r="B107" s="1022"/>
      <c r="C107" s="1023"/>
      <c r="D107" s="627">
        <f>E107+F107</f>
        <v>102579</v>
      </c>
      <c r="E107" s="637">
        <v>58305</v>
      </c>
      <c r="F107" s="637">
        <v>44274</v>
      </c>
      <c r="G107" s="627">
        <f t="shared" si="8"/>
        <v>80167</v>
      </c>
      <c r="H107" s="638">
        <v>45075</v>
      </c>
      <c r="I107" s="638">
        <v>35092</v>
      </c>
      <c r="J107" s="630">
        <f t="shared" si="9"/>
        <v>114956</v>
      </c>
      <c r="K107" s="638">
        <v>64600</v>
      </c>
      <c r="L107" s="638">
        <v>50356</v>
      </c>
      <c r="M107" s="627">
        <f t="shared" ref="M107:M115" si="18">N107+O107</f>
        <v>106889.33333333334</v>
      </c>
      <c r="N107" s="637">
        <f t="shared" ref="N107:O109" si="19">H107/9*12</f>
        <v>60100</v>
      </c>
      <c r="O107" s="637">
        <f t="shared" si="19"/>
        <v>46789.333333333336</v>
      </c>
    </row>
    <row r="108" spans="1:15" ht="32.25" customHeight="1" x14ac:dyDescent="0.25">
      <c r="A108" s="1021" t="s">
        <v>1223</v>
      </c>
      <c r="B108" s="1022"/>
      <c r="C108" s="1023"/>
      <c r="D108" s="627">
        <f t="shared" ref="D108:D115" si="20">E108+F108</f>
        <v>1176218</v>
      </c>
      <c r="E108" s="637">
        <v>1029766</v>
      </c>
      <c r="F108" s="637">
        <v>146452</v>
      </c>
      <c r="G108" s="627">
        <f t="shared" si="8"/>
        <v>807632</v>
      </c>
      <c r="H108" s="638">
        <v>673479</v>
      </c>
      <c r="I108" s="638">
        <v>134153</v>
      </c>
      <c r="J108" s="630">
        <f t="shared" si="9"/>
        <v>1289803</v>
      </c>
      <c r="K108" s="638">
        <v>1015710</v>
      </c>
      <c r="L108" s="638">
        <v>274093</v>
      </c>
      <c r="M108" s="627">
        <f t="shared" si="18"/>
        <v>1076842.6666666667</v>
      </c>
      <c r="N108" s="637">
        <f t="shared" si="19"/>
        <v>897972</v>
      </c>
      <c r="O108" s="637">
        <f t="shared" si="19"/>
        <v>178870.66666666666</v>
      </c>
    </row>
    <row r="109" spans="1:15" x14ac:dyDescent="0.25">
      <c r="A109" s="1021" t="s">
        <v>1224</v>
      </c>
      <c r="B109" s="1022"/>
      <c r="C109" s="1023"/>
      <c r="D109" s="627">
        <f t="shared" si="20"/>
        <v>349588</v>
      </c>
      <c r="E109" s="637">
        <v>349588</v>
      </c>
      <c r="F109" s="637">
        <v>0</v>
      </c>
      <c r="G109" s="627">
        <f t="shared" si="8"/>
        <v>204967</v>
      </c>
      <c r="H109" s="638">
        <v>115636</v>
      </c>
      <c r="I109" s="638">
        <v>89331</v>
      </c>
      <c r="J109" s="630">
        <f t="shared" si="9"/>
        <v>432851</v>
      </c>
      <c r="K109" s="638">
        <v>223322</v>
      </c>
      <c r="L109" s="638">
        <v>209529</v>
      </c>
      <c r="M109" s="627">
        <f t="shared" si="18"/>
        <v>273289.33333333337</v>
      </c>
      <c r="N109" s="637">
        <f t="shared" si="19"/>
        <v>154181.33333333334</v>
      </c>
      <c r="O109" s="637">
        <f t="shared" si="19"/>
        <v>119108</v>
      </c>
    </row>
    <row r="110" spans="1:15" x14ac:dyDescent="0.25">
      <c r="A110" s="1027" t="s">
        <v>1225</v>
      </c>
      <c r="B110" s="1022"/>
      <c r="C110" s="1023"/>
      <c r="D110" s="627">
        <f>E110+F110</f>
        <v>226530</v>
      </c>
      <c r="E110" s="637">
        <v>218076</v>
      </c>
      <c r="F110" s="637">
        <v>8454</v>
      </c>
      <c r="G110" s="627">
        <f>SUM(H110:I110)</f>
        <v>198627</v>
      </c>
      <c r="H110" s="638">
        <v>188575</v>
      </c>
      <c r="I110" s="638">
        <v>10052</v>
      </c>
      <c r="J110" s="630">
        <f t="shared" si="9"/>
        <v>272845</v>
      </c>
      <c r="K110" s="638">
        <v>256895</v>
      </c>
      <c r="L110" s="638">
        <v>15950</v>
      </c>
      <c r="M110" s="627">
        <f t="shared" si="18"/>
        <v>272845</v>
      </c>
      <c r="N110" s="637">
        <f>K110</f>
        <v>256895</v>
      </c>
      <c r="O110" s="637">
        <f>L110</f>
        <v>15950</v>
      </c>
    </row>
    <row r="111" spans="1:15" x14ac:dyDescent="0.25">
      <c r="A111" s="1021" t="s">
        <v>1226</v>
      </c>
      <c r="B111" s="1022"/>
      <c r="C111" s="1023"/>
      <c r="D111" s="627">
        <f>E111+F111</f>
        <v>64242</v>
      </c>
      <c r="E111" s="657">
        <v>57655</v>
      </c>
      <c r="F111" s="657">
        <v>6587</v>
      </c>
      <c r="G111" s="627">
        <f>SUM(H111:I111)</f>
        <v>34750</v>
      </c>
      <c r="H111" s="658">
        <v>28449</v>
      </c>
      <c r="I111" s="658">
        <v>6301</v>
      </c>
      <c r="J111" s="630">
        <f t="shared" si="9"/>
        <v>67720</v>
      </c>
      <c r="K111" s="658">
        <v>58076</v>
      </c>
      <c r="L111" s="658">
        <v>9644</v>
      </c>
      <c r="M111" s="627">
        <f t="shared" si="18"/>
        <v>67720</v>
      </c>
      <c r="N111" s="637">
        <f>K111</f>
        <v>58076</v>
      </c>
      <c r="O111" s="637">
        <f>L111</f>
        <v>9644</v>
      </c>
    </row>
    <row r="112" spans="1:15" ht="51.75" customHeight="1" x14ac:dyDescent="0.25">
      <c r="A112" s="1021" t="s">
        <v>1227</v>
      </c>
      <c r="B112" s="1022"/>
      <c r="C112" s="1023"/>
      <c r="D112" s="627">
        <f t="shared" si="20"/>
        <v>3966</v>
      </c>
      <c r="E112" s="637">
        <v>3966</v>
      </c>
      <c r="F112" s="637">
        <v>0</v>
      </c>
      <c r="G112" s="627">
        <v>0</v>
      </c>
      <c r="H112" s="638">
        <v>-5000</v>
      </c>
      <c r="I112" s="638">
        <v>0</v>
      </c>
      <c r="J112" s="630">
        <v>0</v>
      </c>
      <c r="K112" s="638">
        <v>-4526</v>
      </c>
      <c r="L112" s="638">
        <v>0</v>
      </c>
      <c r="M112" s="627">
        <f t="shared" si="18"/>
        <v>-5000</v>
      </c>
      <c r="N112" s="637">
        <v>0</v>
      </c>
      <c r="O112" s="637">
        <v>-5000</v>
      </c>
    </row>
    <row r="113" spans="1:15" ht="48.75" customHeight="1" x14ac:dyDescent="0.25">
      <c r="A113" s="1021" t="s">
        <v>1228</v>
      </c>
      <c r="B113" s="1022"/>
      <c r="C113" s="1023"/>
      <c r="D113" s="627">
        <f t="shared" si="20"/>
        <v>-3966</v>
      </c>
      <c r="E113" s="637">
        <v>0</v>
      </c>
      <c r="F113" s="637">
        <v>-3966</v>
      </c>
      <c r="G113" s="627">
        <v>0</v>
      </c>
      <c r="H113" s="638">
        <v>0</v>
      </c>
      <c r="I113" s="638">
        <v>-5000</v>
      </c>
      <c r="J113" s="630">
        <v>0</v>
      </c>
      <c r="K113" s="638">
        <v>0</v>
      </c>
      <c r="L113" s="638">
        <v>-4526</v>
      </c>
      <c r="M113" s="627">
        <f t="shared" si="18"/>
        <v>4286</v>
      </c>
      <c r="N113" s="637">
        <v>0</v>
      </c>
      <c r="O113" s="637">
        <v>4286</v>
      </c>
    </row>
    <row r="114" spans="1:15" ht="49.5" customHeight="1" x14ac:dyDescent="0.25">
      <c r="A114" s="1021" t="s">
        <v>1229</v>
      </c>
      <c r="B114" s="1022"/>
      <c r="C114" s="1023"/>
      <c r="D114" s="627">
        <f>E114+F114</f>
        <v>780597</v>
      </c>
      <c r="E114" s="637">
        <f>E95-E24</f>
        <v>510598</v>
      </c>
      <c r="F114" s="637">
        <f>F95-F24</f>
        <v>269999</v>
      </c>
      <c r="G114" s="627">
        <f t="shared" si="8"/>
        <v>651916</v>
      </c>
      <c r="H114" s="638">
        <f>H95-H24</f>
        <v>428796</v>
      </c>
      <c r="I114" s="638">
        <f>I95-I24</f>
        <v>223120</v>
      </c>
      <c r="J114" s="630">
        <f t="shared" si="9"/>
        <v>1149384</v>
      </c>
      <c r="K114" s="638">
        <f>K95-K24</f>
        <v>717456</v>
      </c>
      <c r="L114" s="638">
        <f>L95-L24</f>
        <v>431928</v>
      </c>
      <c r="M114" s="627">
        <f t="shared" si="18"/>
        <v>854997.91111111105</v>
      </c>
      <c r="N114" s="637">
        <f>N95-N24</f>
        <v>557609.22222222225</v>
      </c>
      <c r="O114" s="637">
        <f>O95-O24</f>
        <v>297388.68888888886</v>
      </c>
    </row>
    <row r="115" spans="1:15" x14ac:dyDescent="0.25">
      <c r="A115" s="1024" t="s">
        <v>1230</v>
      </c>
      <c r="B115" s="1025"/>
      <c r="C115" s="1026"/>
      <c r="D115" s="627">
        <f t="shared" si="20"/>
        <v>206284</v>
      </c>
      <c r="E115" s="637">
        <f>E105+E31-E95</f>
        <v>192973</v>
      </c>
      <c r="F115" s="637">
        <f>F105+F31-F95</f>
        <v>13311</v>
      </c>
      <c r="G115" s="627">
        <f t="shared" si="8"/>
        <v>257081</v>
      </c>
      <c r="H115" s="638">
        <f>H105+H31-H95</f>
        <v>183027</v>
      </c>
      <c r="I115" s="638">
        <f>I105+I31-I95</f>
        <v>74054</v>
      </c>
      <c r="J115" s="630">
        <f t="shared" si="9"/>
        <v>206284</v>
      </c>
      <c r="K115" s="638">
        <f>K105+K31-K95</f>
        <v>197414</v>
      </c>
      <c r="L115" s="638">
        <f>L105+L31-L95</f>
        <v>8870</v>
      </c>
      <c r="M115" s="627">
        <f t="shared" si="18"/>
        <v>371428.42222222243</v>
      </c>
      <c r="N115" s="637">
        <f>(K105+N31+N101+N104)-(N95-N100-N102-N103)</f>
        <v>251206.11111111124</v>
      </c>
      <c r="O115" s="637">
        <f>(L105+O31+O101+O99)-(O95-O100-O102)</f>
        <v>120222.31111111119</v>
      </c>
    </row>
    <row r="124" spans="1:15" x14ac:dyDescent="0.25">
      <c r="D124" s="659"/>
      <c r="E124" s="659"/>
      <c r="G124" s="659"/>
    </row>
  </sheetData>
  <mergeCells count="31">
    <mergeCell ref="A98:C98"/>
    <mergeCell ref="C1:O1"/>
    <mergeCell ref="C3:O3"/>
    <mergeCell ref="A4:B5"/>
    <mergeCell ref="C4:C5"/>
    <mergeCell ref="D4:F4"/>
    <mergeCell ref="G4:I4"/>
    <mergeCell ref="J4:L4"/>
    <mergeCell ref="M4:O4"/>
    <mergeCell ref="A6:O6"/>
    <mergeCell ref="A31:C31"/>
    <mergeCell ref="A32:O32"/>
    <mergeCell ref="A96:C96"/>
    <mergeCell ref="A97:O97"/>
    <mergeCell ref="A110:C110"/>
    <mergeCell ref="A99:C99"/>
    <mergeCell ref="A100:C100"/>
    <mergeCell ref="A101:C101"/>
    <mergeCell ref="A102:C102"/>
    <mergeCell ref="A103:C103"/>
    <mergeCell ref="A104:C104"/>
    <mergeCell ref="A105:C105"/>
    <mergeCell ref="A106:O106"/>
    <mergeCell ref="A107:C107"/>
    <mergeCell ref="A108:C108"/>
    <mergeCell ref="A109:C109"/>
    <mergeCell ref="A111:C111"/>
    <mergeCell ref="A112:C112"/>
    <mergeCell ref="A113:C113"/>
    <mergeCell ref="A114:C114"/>
    <mergeCell ref="A115:C115"/>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595" customWidth="1"/>
    <col min="2" max="2" width="34" style="595" customWidth="1"/>
    <col min="3" max="3" width="23" style="595" customWidth="1"/>
    <col min="4" max="4" width="20.42578125" style="595" customWidth="1"/>
    <col min="5" max="5" width="18.5703125" style="595" customWidth="1"/>
    <col min="6" max="6" width="22.140625" style="595" customWidth="1"/>
    <col min="7" max="7" width="17.7109375" style="595" customWidth="1"/>
    <col min="8" max="8" width="18.5703125" style="595" customWidth="1"/>
    <col min="9" max="9" width="18.85546875" style="595" customWidth="1"/>
    <col min="10" max="11" width="15.7109375" style="595" customWidth="1"/>
    <col min="12" max="12" width="18.85546875" style="595" customWidth="1"/>
    <col min="13" max="13" width="14.7109375" style="595" customWidth="1"/>
    <col min="14" max="15" width="18.42578125" style="595" customWidth="1"/>
    <col min="16" max="16384" width="9.140625" style="595"/>
  </cols>
  <sheetData>
    <row r="1" spans="1:15" x14ac:dyDescent="0.25">
      <c r="C1" s="1054"/>
      <c r="D1" s="1054"/>
      <c r="E1" s="1054"/>
      <c r="F1" s="1054"/>
    </row>
    <row r="2" spans="1:15" ht="18.75" customHeight="1" x14ac:dyDescent="0.3">
      <c r="A2" s="1055" t="s">
        <v>1362</v>
      </c>
      <c r="B2" s="1055"/>
      <c r="C2" s="1055"/>
      <c r="D2" s="1055"/>
      <c r="E2" s="1055"/>
      <c r="F2" s="1055"/>
      <c r="G2" s="1055"/>
      <c r="H2" s="1055"/>
      <c r="I2" s="1055"/>
      <c r="J2" s="1055"/>
      <c r="K2" s="1055"/>
      <c r="L2" s="1055"/>
      <c r="M2" s="1055"/>
      <c r="N2" s="1055"/>
      <c r="O2" s="1055"/>
    </row>
    <row r="3" spans="1:15" x14ac:dyDescent="0.25">
      <c r="C3" s="1056"/>
      <c r="D3" s="1056"/>
      <c r="E3" s="1056"/>
      <c r="F3" s="1056"/>
      <c r="G3" s="662"/>
      <c r="H3" s="662"/>
    </row>
    <row r="5" spans="1:15" x14ac:dyDescent="0.25">
      <c r="O5" s="663" t="s">
        <v>1363</v>
      </c>
    </row>
    <row r="6" spans="1:15" s="664" customFormat="1" ht="157.5" x14ac:dyDescent="0.25">
      <c r="A6" s="660" t="s">
        <v>945</v>
      </c>
      <c r="B6" s="660" t="s">
        <v>1364</v>
      </c>
      <c r="C6" s="660" t="s">
        <v>1369</v>
      </c>
      <c r="D6" s="660" t="s">
        <v>1370</v>
      </c>
      <c r="E6" s="660" t="s">
        <v>1371</v>
      </c>
      <c r="F6" s="660" t="s">
        <v>1372</v>
      </c>
      <c r="G6" s="660" t="s">
        <v>1373</v>
      </c>
      <c r="H6" s="660" t="s">
        <v>1374</v>
      </c>
      <c r="I6" s="660" t="s">
        <v>1375</v>
      </c>
      <c r="J6" s="660" t="s">
        <v>1376</v>
      </c>
      <c r="K6" s="660" t="s">
        <v>1377</v>
      </c>
      <c r="L6" s="660" t="s">
        <v>1378</v>
      </c>
      <c r="M6" s="660" t="s">
        <v>1379</v>
      </c>
      <c r="N6" s="660" t="s">
        <v>1380</v>
      </c>
      <c r="O6" s="660" t="s">
        <v>1381</v>
      </c>
    </row>
    <row r="7" spans="1:15" s="664" customFormat="1" x14ac:dyDescent="0.25">
      <c r="A7" s="665">
        <v>1</v>
      </c>
      <c r="B7" s="19" t="s">
        <v>1365</v>
      </c>
      <c r="C7" s="666">
        <v>0</v>
      </c>
      <c r="D7" s="666">
        <v>0</v>
      </c>
      <c r="E7" s="666">
        <v>0</v>
      </c>
      <c r="F7" s="666">
        <f>C7+D7-E7</f>
        <v>0</v>
      </c>
      <c r="G7" s="666">
        <v>0</v>
      </c>
      <c r="H7" s="666">
        <v>0</v>
      </c>
      <c r="I7" s="666">
        <f>F7+G7-H7</f>
        <v>0</v>
      </c>
      <c r="J7" s="666">
        <v>0</v>
      </c>
      <c r="K7" s="666">
        <v>0</v>
      </c>
      <c r="L7" s="666">
        <f>I7+J7-K7</f>
        <v>0</v>
      </c>
      <c r="M7" s="666">
        <v>0</v>
      </c>
      <c r="N7" s="666">
        <v>0</v>
      </c>
      <c r="O7" s="666">
        <f>L7+M7-N7</f>
        <v>0</v>
      </c>
    </row>
    <row r="8" spans="1:15" s="664" customFormat="1" ht="47.25" x14ac:dyDescent="0.25">
      <c r="A8" s="665">
        <f>A7+1</f>
        <v>2</v>
      </c>
      <c r="B8" s="19" t="s">
        <v>173</v>
      </c>
      <c r="C8" s="666">
        <v>0</v>
      </c>
      <c r="D8" s="666">
        <v>0</v>
      </c>
      <c r="E8" s="666">
        <v>0</v>
      </c>
      <c r="F8" s="666">
        <f t="shared" ref="F8:F11" si="0">C8+D8-E8</f>
        <v>0</v>
      </c>
      <c r="G8" s="666">
        <v>0</v>
      </c>
      <c r="H8" s="666">
        <v>0</v>
      </c>
      <c r="I8" s="666">
        <f t="shared" ref="I8:I11" si="1">F8+G8-H8</f>
        <v>0</v>
      </c>
      <c r="J8" s="666">
        <v>0</v>
      </c>
      <c r="K8" s="666">
        <v>0</v>
      </c>
      <c r="L8" s="666">
        <f t="shared" ref="L8:L11" si="2">I8+J8-K8</f>
        <v>0</v>
      </c>
      <c r="M8" s="666">
        <v>0</v>
      </c>
      <c r="N8" s="666">
        <v>0</v>
      </c>
      <c r="O8" s="666">
        <f t="shared" ref="O8:O11" si="3">L8+M8-N8</f>
        <v>0</v>
      </c>
    </row>
    <row r="9" spans="1:15" ht="47.25" x14ac:dyDescent="0.25">
      <c r="A9" s="665">
        <f t="shared" ref="A9:A10" si="4">A8+1</f>
        <v>3</v>
      </c>
      <c r="B9" s="19" t="s">
        <v>1366</v>
      </c>
      <c r="C9" s="667">
        <v>0</v>
      </c>
      <c r="D9" s="667">
        <v>0</v>
      </c>
      <c r="E9" s="667">
        <v>0</v>
      </c>
      <c r="F9" s="666">
        <v>0</v>
      </c>
      <c r="G9" s="667">
        <v>0</v>
      </c>
      <c r="H9" s="667">
        <v>0</v>
      </c>
      <c r="I9" s="666">
        <f t="shared" si="1"/>
        <v>0</v>
      </c>
      <c r="J9" s="667">
        <v>0</v>
      </c>
      <c r="K9" s="667">
        <v>0</v>
      </c>
      <c r="L9" s="666">
        <f>I9+J9-K9</f>
        <v>0</v>
      </c>
      <c r="M9" s="667">
        <v>0</v>
      </c>
      <c r="N9" s="667">
        <v>0</v>
      </c>
      <c r="O9" s="666">
        <f t="shared" si="3"/>
        <v>0</v>
      </c>
    </row>
    <row r="10" spans="1:15" x14ac:dyDescent="0.25">
      <c r="A10" s="665">
        <f t="shared" si="4"/>
        <v>4</v>
      </c>
      <c r="B10" s="19" t="s">
        <v>1367</v>
      </c>
      <c r="C10" s="667">
        <v>0</v>
      </c>
      <c r="D10" s="667">
        <v>0</v>
      </c>
      <c r="E10" s="667">
        <v>0</v>
      </c>
      <c r="F10" s="666">
        <f t="shared" si="0"/>
        <v>0</v>
      </c>
      <c r="G10" s="667">
        <v>0</v>
      </c>
      <c r="H10" s="667">
        <v>0</v>
      </c>
      <c r="I10" s="666">
        <f t="shared" si="1"/>
        <v>0</v>
      </c>
      <c r="J10" s="667">
        <v>0</v>
      </c>
      <c r="K10" s="667">
        <v>0</v>
      </c>
      <c r="L10" s="666">
        <f t="shared" si="2"/>
        <v>0</v>
      </c>
      <c r="M10" s="667">
        <v>0</v>
      </c>
      <c r="N10" s="667">
        <v>0</v>
      </c>
      <c r="O10" s="666">
        <f t="shared" si="3"/>
        <v>0</v>
      </c>
    </row>
    <row r="11" spans="1:15" ht="31.5" x14ac:dyDescent="0.25">
      <c r="A11" s="665"/>
      <c r="B11" s="19" t="s">
        <v>1368</v>
      </c>
      <c r="C11" s="667">
        <f>SUM(C7:C10)</f>
        <v>0</v>
      </c>
      <c r="D11" s="667">
        <f t="shared" ref="D11:N11" si="5">SUM(D7:D10)</f>
        <v>0</v>
      </c>
      <c r="E11" s="667">
        <f t="shared" si="5"/>
        <v>0</v>
      </c>
      <c r="F11" s="666">
        <f t="shared" si="0"/>
        <v>0</v>
      </c>
      <c r="G11" s="667">
        <f t="shared" si="5"/>
        <v>0</v>
      </c>
      <c r="H11" s="667">
        <f t="shared" si="5"/>
        <v>0</v>
      </c>
      <c r="I11" s="666">
        <f t="shared" si="1"/>
        <v>0</v>
      </c>
      <c r="J11" s="667">
        <f t="shared" si="5"/>
        <v>0</v>
      </c>
      <c r="K11" s="667">
        <f t="shared" si="5"/>
        <v>0</v>
      </c>
      <c r="L11" s="666">
        <f t="shared" si="2"/>
        <v>0</v>
      </c>
      <c r="M11" s="667">
        <f t="shared" si="5"/>
        <v>0</v>
      </c>
      <c r="N11" s="667">
        <f t="shared" si="5"/>
        <v>0</v>
      </c>
      <c r="O11" s="666">
        <f t="shared" si="3"/>
        <v>0</v>
      </c>
    </row>
    <row r="12" spans="1:15" x14ac:dyDescent="0.25">
      <c r="B12" s="284"/>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opLeftCell="A87" workbookViewId="0">
      <selection activeCell="I104" sqref="I104"/>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82" t="s">
        <v>943</v>
      </c>
      <c r="B1" s="1082"/>
      <c r="C1" s="1082"/>
      <c r="D1" s="1082"/>
      <c r="E1" s="1082"/>
      <c r="F1" s="1082"/>
      <c r="G1" s="1082"/>
      <c r="H1" s="1082"/>
      <c r="I1" s="1082"/>
      <c r="J1" s="1082"/>
      <c r="K1" s="1082"/>
      <c r="L1" s="1082"/>
    </row>
    <row r="2" spans="1:12" x14ac:dyDescent="0.25">
      <c r="A2" s="915" t="s">
        <v>1413</v>
      </c>
      <c r="B2" s="915"/>
      <c r="C2" s="915"/>
      <c r="D2" s="915"/>
      <c r="E2" s="915"/>
      <c r="F2" s="915"/>
      <c r="G2" s="915"/>
      <c r="H2" s="915"/>
      <c r="I2" s="915"/>
      <c r="J2" s="915"/>
      <c r="K2" s="915"/>
      <c r="L2" s="915"/>
    </row>
    <row r="4" spans="1:12" x14ac:dyDescent="0.25">
      <c r="A4" s="1083" t="s">
        <v>944</v>
      </c>
      <c r="B4" s="1083"/>
      <c r="C4" s="1083"/>
      <c r="D4" s="1083"/>
      <c r="E4" s="1083"/>
      <c r="F4" s="1083"/>
      <c r="G4" s="1083"/>
      <c r="H4" s="1083"/>
      <c r="I4" s="1083"/>
      <c r="J4" s="1083"/>
      <c r="K4" s="1083"/>
      <c r="L4" s="1083"/>
    </row>
    <row r="5" spans="1:12" x14ac:dyDescent="0.25">
      <c r="A5" s="1084" t="s">
        <v>945</v>
      </c>
      <c r="B5" s="1086" t="s">
        <v>121</v>
      </c>
      <c r="C5" s="1087"/>
      <c r="D5" s="1087"/>
      <c r="E5" s="1087"/>
      <c r="F5" s="1087"/>
      <c r="G5" s="1087"/>
      <c r="H5" s="1088"/>
      <c r="I5" s="916" t="s">
        <v>1</v>
      </c>
      <c r="J5" s="920" t="s">
        <v>946</v>
      </c>
      <c r="K5" s="921"/>
      <c r="L5" s="922"/>
    </row>
    <row r="6" spans="1:12" x14ac:dyDescent="0.25">
      <c r="A6" s="1085"/>
      <c r="B6" s="1089"/>
      <c r="C6" s="1090"/>
      <c r="D6" s="1090"/>
      <c r="E6" s="1090"/>
      <c r="F6" s="1090"/>
      <c r="G6" s="1090"/>
      <c r="H6" s="1091"/>
      <c r="I6" s="917"/>
      <c r="J6" s="345">
        <v>2019</v>
      </c>
      <c r="K6" s="78">
        <v>2020</v>
      </c>
      <c r="L6" s="78">
        <v>2021</v>
      </c>
    </row>
    <row r="7" spans="1:12" ht="29.25" customHeight="1" x14ac:dyDescent="0.25">
      <c r="A7" s="348"/>
      <c r="B7" s="391"/>
      <c r="C7" s="391"/>
      <c r="D7" s="391"/>
      <c r="E7" s="391"/>
      <c r="F7" s="391"/>
      <c r="G7" s="391"/>
      <c r="H7" s="391"/>
      <c r="I7" s="806"/>
      <c r="J7" s="351"/>
      <c r="K7" s="41">
        <v>0</v>
      </c>
      <c r="L7" s="41">
        <v>0</v>
      </c>
    </row>
    <row r="8" spans="1:12" ht="67.5" hidden="1" customHeight="1" x14ac:dyDescent="0.25">
      <c r="A8" s="348"/>
      <c r="B8" s="391"/>
      <c r="C8" s="391"/>
      <c r="D8" s="391"/>
      <c r="E8" s="391"/>
      <c r="F8" s="391"/>
      <c r="G8" s="391"/>
      <c r="H8" s="391"/>
      <c r="I8" s="511"/>
      <c r="J8" s="351"/>
      <c r="K8" s="41">
        <v>0</v>
      </c>
      <c r="L8" s="41">
        <v>0</v>
      </c>
    </row>
    <row r="9" spans="1:12" ht="41.25" hidden="1" customHeight="1" x14ac:dyDescent="0.25">
      <c r="A9" s="348"/>
      <c r="B9" s="708"/>
      <c r="C9" s="708"/>
      <c r="D9" s="708"/>
      <c r="E9" s="708"/>
      <c r="F9" s="708"/>
      <c r="G9" s="708"/>
      <c r="H9" s="708"/>
      <c r="I9" s="511"/>
      <c r="J9" s="353"/>
      <c r="K9" s="110">
        <v>0</v>
      </c>
      <c r="L9" s="110">
        <v>0</v>
      </c>
    </row>
    <row r="10" spans="1:12" ht="13.5" hidden="1" customHeight="1" x14ac:dyDescent="0.25">
      <c r="A10" s="348"/>
      <c r="B10" s="354"/>
      <c r="C10" s="354"/>
      <c r="D10" s="354"/>
      <c r="E10" s="354"/>
      <c r="F10" s="354"/>
      <c r="G10" s="354"/>
      <c r="H10" s="354"/>
      <c r="I10" s="356"/>
      <c r="J10" s="355"/>
      <c r="K10" s="110"/>
      <c r="L10" s="110"/>
    </row>
    <row r="11" spans="1:12" hidden="1" x14ac:dyDescent="0.25">
      <c r="A11" s="348"/>
      <c r="B11" s="354"/>
      <c r="C11" s="354"/>
      <c r="D11" s="354"/>
      <c r="E11" s="354"/>
      <c r="F11" s="354"/>
      <c r="G11" s="354"/>
      <c r="H11" s="354"/>
      <c r="I11" s="350"/>
      <c r="J11" s="355"/>
      <c r="K11" s="110"/>
      <c r="L11" s="110"/>
    </row>
    <row r="12" spans="1:12" hidden="1" x14ac:dyDescent="0.25">
      <c r="A12" s="348"/>
      <c r="B12" s="354"/>
      <c r="C12" s="354"/>
      <c r="D12" s="354"/>
      <c r="E12" s="354"/>
      <c r="F12" s="354"/>
      <c r="G12" s="354"/>
      <c r="H12" s="354"/>
      <c r="I12" s="350"/>
      <c r="J12" s="355"/>
      <c r="K12" s="110"/>
      <c r="L12" s="110"/>
    </row>
    <row r="13" spans="1:12" hidden="1" x14ac:dyDescent="0.25">
      <c r="A13" s="348"/>
      <c r="B13" s="354"/>
      <c r="C13" s="354"/>
      <c r="D13" s="354"/>
      <c r="E13" s="354"/>
      <c r="F13" s="354"/>
      <c r="G13" s="354"/>
      <c r="H13" s="354"/>
      <c r="I13" s="350"/>
      <c r="J13" s="355"/>
      <c r="K13" s="110"/>
      <c r="L13" s="110"/>
    </row>
    <row r="14" spans="1:12" hidden="1" x14ac:dyDescent="0.25">
      <c r="A14" s="348"/>
      <c r="B14" s="354"/>
      <c r="C14" s="354"/>
      <c r="D14" s="354"/>
      <c r="E14" s="354"/>
      <c r="F14" s="354"/>
      <c r="G14" s="354"/>
      <c r="H14" s="354"/>
      <c r="I14" s="350"/>
      <c r="J14" s="355"/>
      <c r="K14" s="110"/>
      <c r="L14" s="110"/>
    </row>
    <row r="15" spans="1:12" hidden="1" x14ac:dyDescent="0.25">
      <c r="A15" s="348"/>
      <c r="B15" s="354"/>
      <c r="C15" s="354"/>
      <c r="D15" s="354"/>
      <c r="E15" s="354"/>
      <c r="F15" s="354"/>
      <c r="G15" s="354"/>
      <c r="H15" s="354"/>
      <c r="I15" s="359"/>
      <c r="J15" s="355"/>
      <c r="K15" s="110"/>
      <c r="L15" s="110"/>
    </row>
    <row r="16" spans="1:12" hidden="1" x14ac:dyDescent="0.25">
      <c r="A16" s="348"/>
      <c r="B16" s="354"/>
      <c r="C16" s="354"/>
      <c r="D16" s="354"/>
      <c r="E16" s="354"/>
      <c r="F16" s="354"/>
      <c r="G16" s="354"/>
      <c r="H16" s="354"/>
      <c r="I16" s="350"/>
      <c r="J16" s="355"/>
      <c r="K16" s="110"/>
      <c r="L16" s="110"/>
    </row>
    <row r="17" spans="1:12" hidden="1" x14ac:dyDescent="0.25">
      <c r="A17" s="348"/>
      <c r="B17" s="354"/>
      <c r="C17" s="354"/>
      <c r="D17" s="354"/>
      <c r="E17" s="354"/>
      <c r="F17" s="354"/>
      <c r="G17" s="354"/>
      <c r="H17" s="354"/>
      <c r="I17" s="350"/>
      <c r="J17" s="355"/>
      <c r="K17" s="110"/>
      <c r="L17" s="110"/>
    </row>
    <row r="18" spans="1:12" hidden="1" x14ac:dyDescent="0.25">
      <c r="A18" s="348"/>
      <c r="B18" s="354"/>
      <c r="C18" s="354"/>
      <c r="D18" s="354"/>
      <c r="E18" s="354"/>
      <c r="F18" s="354"/>
      <c r="G18" s="354"/>
      <c r="H18" s="354"/>
      <c r="I18" s="350"/>
      <c r="J18" s="355"/>
      <c r="K18" s="110"/>
      <c r="L18" s="110"/>
    </row>
    <row r="19" spans="1:12" hidden="1" x14ac:dyDescent="0.25">
      <c r="A19" s="348"/>
      <c r="B19" s="354"/>
      <c r="C19" s="354"/>
      <c r="D19" s="354"/>
      <c r="E19" s="354"/>
      <c r="F19" s="354"/>
      <c r="G19" s="354"/>
      <c r="H19" s="354"/>
      <c r="I19" s="350"/>
      <c r="J19" s="355"/>
      <c r="K19" s="110"/>
      <c r="L19" s="110"/>
    </row>
    <row r="20" spans="1:12" ht="15" hidden="1" customHeight="1" x14ac:dyDescent="0.25">
      <c r="A20" s="348"/>
      <c r="B20" s="354"/>
      <c r="C20" s="354"/>
      <c r="D20" s="354"/>
      <c r="E20" s="354"/>
      <c r="F20" s="354"/>
      <c r="G20" s="354"/>
      <c r="H20" s="354"/>
      <c r="I20" s="360"/>
      <c r="J20" s="355"/>
      <c r="K20" s="110"/>
      <c r="L20" s="110"/>
    </row>
    <row r="21" spans="1:12" ht="0.75" hidden="1" customHeight="1" x14ac:dyDescent="0.25">
      <c r="A21" s="348"/>
      <c r="B21" s="354"/>
      <c r="C21" s="354"/>
      <c r="D21" s="354"/>
      <c r="E21" s="354"/>
      <c r="F21" s="354"/>
      <c r="G21" s="354"/>
      <c r="H21" s="354"/>
      <c r="I21" s="358"/>
      <c r="J21" s="355"/>
      <c r="K21" s="110"/>
      <c r="L21" s="110"/>
    </row>
    <row r="22" spans="1:12" ht="18" hidden="1" customHeight="1" x14ac:dyDescent="0.25">
      <c r="A22" s="348"/>
      <c r="B22" s="354"/>
      <c r="C22" s="354"/>
      <c r="D22" s="354"/>
      <c r="E22" s="354"/>
      <c r="F22" s="354"/>
      <c r="G22" s="354"/>
      <c r="H22" s="354"/>
      <c r="I22" s="440"/>
      <c r="J22" s="355"/>
      <c r="K22" s="369"/>
      <c r="L22" s="110"/>
    </row>
    <row r="23" spans="1:12" ht="23.25" hidden="1" customHeight="1" x14ac:dyDescent="0.25">
      <c r="A23" s="348"/>
      <c r="B23" s="354"/>
      <c r="C23" s="354"/>
      <c r="D23" s="354"/>
      <c r="E23" s="354"/>
      <c r="F23" s="354"/>
      <c r="G23" s="354"/>
      <c r="H23" s="354"/>
      <c r="I23" s="440"/>
      <c r="J23" s="355"/>
      <c r="K23" s="369"/>
      <c r="L23" s="369"/>
    </row>
    <row r="24" spans="1:12" ht="33.75" hidden="1" customHeight="1" x14ac:dyDescent="0.25">
      <c r="A24" s="348"/>
      <c r="B24" s="354"/>
      <c r="C24" s="354"/>
      <c r="D24" s="354"/>
      <c r="E24" s="354"/>
      <c r="F24" s="354"/>
      <c r="G24" s="354"/>
      <c r="H24" s="354"/>
      <c r="I24" s="440"/>
      <c r="J24" s="355"/>
      <c r="K24" s="369"/>
      <c r="L24" s="369"/>
    </row>
    <row r="25" spans="1:12" ht="48.75" hidden="1" customHeight="1" x14ac:dyDescent="0.25">
      <c r="A25" s="348"/>
      <c r="B25" s="354"/>
      <c r="C25" s="354"/>
      <c r="D25" s="354"/>
      <c r="E25" s="354"/>
      <c r="F25" s="354"/>
      <c r="G25" s="354"/>
      <c r="H25" s="354"/>
      <c r="I25" s="440"/>
      <c r="J25" s="355"/>
      <c r="K25" s="369"/>
      <c r="L25" s="369"/>
    </row>
    <row r="26" spans="1:12" ht="34.5" hidden="1" customHeight="1" x14ac:dyDescent="0.25">
      <c r="A26" s="348"/>
      <c r="B26" s="354"/>
      <c r="C26" s="354"/>
      <c r="D26" s="354"/>
      <c r="E26" s="354"/>
      <c r="F26" s="354"/>
      <c r="G26" s="354"/>
      <c r="H26" s="354"/>
      <c r="I26" s="440"/>
      <c r="J26" s="355"/>
      <c r="K26" s="369"/>
      <c r="L26" s="369"/>
    </row>
    <row r="27" spans="1:12" ht="77.25" hidden="1" customHeight="1" x14ac:dyDescent="0.25">
      <c r="A27" s="348"/>
      <c r="B27" s="354"/>
      <c r="C27" s="354"/>
      <c r="D27" s="354"/>
      <c r="E27" s="354"/>
      <c r="F27" s="354"/>
      <c r="G27" s="354"/>
      <c r="H27" s="354"/>
      <c r="I27" s="511"/>
      <c r="J27" s="355"/>
      <c r="K27" s="369"/>
      <c r="L27" s="369"/>
    </row>
    <row r="28" spans="1:12" ht="76.5" hidden="1" customHeight="1" x14ac:dyDescent="0.25">
      <c r="A28" s="348"/>
      <c r="B28" s="354"/>
      <c r="C28" s="354"/>
      <c r="D28" s="354"/>
      <c r="E28" s="354"/>
      <c r="F28" s="354"/>
      <c r="G28" s="354"/>
      <c r="H28" s="354"/>
      <c r="I28" s="511"/>
      <c r="J28" s="355"/>
      <c r="K28" s="369"/>
      <c r="L28" s="369"/>
    </row>
    <row r="29" spans="1:12" ht="84.75" hidden="1" customHeight="1" x14ac:dyDescent="0.25">
      <c r="A29" s="348"/>
      <c r="B29" s="354"/>
      <c r="C29" s="354"/>
      <c r="D29" s="354"/>
      <c r="E29" s="354"/>
      <c r="F29" s="354"/>
      <c r="G29" s="354"/>
      <c r="H29" s="354"/>
      <c r="I29" s="511"/>
      <c r="J29" s="355"/>
      <c r="K29" s="369"/>
      <c r="L29" s="369"/>
    </row>
    <row r="30" spans="1:12" ht="83.25" hidden="1" customHeight="1" x14ac:dyDescent="0.25">
      <c r="A30" s="348"/>
      <c r="B30" s="354"/>
      <c r="C30" s="354"/>
      <c r="D30" s="354"/>
      <c r="E30" s="354"/>
      <c r="F30" s="354"/>
      <c r="G30" s="354"/>
      <c r="H30" s="354"/>
      <c r="I30" s="511"/>
      <c r="J30" s="355"/>
      <c r="K30" s="369"/>
      <c r="L30" s="369"/>
    </row>
    <row r="31" spans="1:12" ht="71.25" hidden="1" customHeight="1" x14ac:dyDescent="0.25">
      <c r="A31" s="348"/>
      <c r="B31" s="354"/>
      <c r="C31" s="354"/>
      <c r="D31" s="354"/>
      <c r="E31" s="354"/>
      <c r="F31" s="354"/>
      <c r="G31" s="354"/>
      <c r="H31" s="354"/>
      <c r="I31" s="440"/>
      <c r="J31" s="355"/>
      <c r="K31" s="369"/>
      <c r="L31" s="369"/>
    </row>
    <row r="32" spans="1:12" ht="34.5" hidden="1" customHeight="1" x14ac:dyDescent="0.25">
      <c r="A32" s="348"/>
      <c r="B32" s="354"/>
      <c r="C32" s="354"/>
      <c r="D32" s="354"/>
      <c r="E32" s="354"/>
      <c r="F32" s="354"/>
      <c r="G32" s="354"/>
      <c r="H32" s="354"/>
      <c r="I32" s="523"/>
      <c r="J32" s="355"/>
      <c r="K32" s="369"/>
      <c r="L32" s="369"/>
    </row>
    <row r="33" spans="1:12" ht="48" hidden="1" customHeight="1" x14ac:dyDescent="0.25">
      <c r="A33" s="348"/>
      <c r="B33" s="354"/>
      <c r="C33" s="354"/>
      <c r="D33" s="354"/>
      <c r="E33" s="354"/>
      <c r="F33" s="354"/>
      <c r="G33" s="354"/>
      <c r="H33" s="354"/>
      <c r="I33" s="440"/>
      <c r="J33" s="355"/>
      <c r="K33" s="369"/>
      <c r="L33" s="369"/>
    </row>
    <row r="34" spans="1:12" ht="45" hidden="1" customHeight="1" x14ac:dyDescent="0.25">
      <c r="A34" s="348"/>
      <c r="B34" s="354"/>
      <c r="C34" s="354"/>
      <c r="D34" s="354"/>
      <c r="E34" s="354"/>
      <c r="F34" s="354"/>
      <c r="G34" s="354"/>
      <c r="H34" s="354"/>
      <c r="I34" s="440"/>
      <c r="J34" s="355"/>
      <c r="K34" s="369"/>
      <c r="L34" s="369"/>
    </row>
    <row r="35" spans="1:12" ht="53.25" hidden="1" customHeight="1" x14ac:dyDescent="0.25">
      <c r="A35" s="348"/>
      <c r="B35" s="354"/>
      <c r="C35" s="354"/>
      <c r="D35" s="354"/>
      <c r="E35" s="354"/>
      <c r="F35" s="354"/>
      <c r="G35" s="354"/>
      <c r="H35" s="354"/>
      <c r="I35" s="440"/>
      <c r="J35" s="355"/>
      <c r="K35" s="369"/>
      <c r="L35" s="369"/>
    </row>
    <row r="36" spans="1:12" ht="81" hidden="1" customHeight="1" x14ac:dyDescent="0.25">
      <c r="A36" s="348"/>
      <c r="B36" s="354"/>
      <c r="C36" s="354"/>
      <c r="D36" s="354"/>
      <c r="E36" s="354"/>
      <c r="F36" s="354"/>
      <c r="G36" s="354"/>
      <c r="H36" s="354"/>
      <c r="I36" s="440"/>
      <c r="J36" s="355"/>
      <c r="K36" s="369"/>
      <c r="L36" s="369"/>
    </row>
    <row r="37" spans="1:12" ht="50.25" hidden="1" customHeight="1" x14ac:dyDescent="0.25">
      <c r="A37" s="348"/>
      <c r="B37" s="354"/>
      <c r="C37" s="354"/>
      <c r="D37" s="354"/>
      <c r="E37" s="354"/>
      <c r="F37" s="354"/>
      <c r="G37" s="354"/>
      <c r="H37" s="354"/>
      <c r="I37" s="511"/>
      <c r="J37" s="355"/>
      <c r="K37" s="369"/>
      <c r="L37" s="369"/>
    </row>
    <row r="38" spans="1:12" ht="49.5" hidden="1" customHeight="1" x14ac:dyDescent="0.25">
      <c r="A38" s="348"/>
      <c r="B38" s="354"/>
      <c r="C38" s="354"/>
      <c r="D38" s="354"/>
      <c r="E38" s="354"/>
      <c r="F38" s="354"/>
      <c r="G38" s="354"/>
      <c r="H38" s="354"/>
      <c r="I38" s="511"/>
      <c r="J38" s="355"/>
      <c r="K38" s="369"/>
      <c r="L38" s="369"/>
    </row>
    <row r="39" spans="1:12" ht="63.75" hidden="1" customHeight="1" x14ac:dyDescent="0.25">
      <c r="A39" s="348"/>
      <c r="B39" s="354"/>
      <c r="C39" s="354"/>
      <c r="D39" s="354"/>
      <c r="E39" s="354"/>
      <c r="F39" s="354"/>
      <c r="G39" s="354"/>
      <c r="H39" s="354"/>
      <c r="I39" s="440"/>
      <c r="J39" s="355"/>
      <c r="K39" s="369"/>
      <c r="L39" s="369"/>
    </row>
    <row r="40" spans="1:12" ht="63.75" hidden="1" customHeight="1" x14ac:dyDescent="0.25">
      <c r="A40" s="348"/>
      <c r="B40" s="354"/>
      <c r="C40" s="354"/>
      <c r="D40" s="354"/>
      <c r="E40" s="354"/>
      <c r="F40" s="354"/>
      <c r="G40" s="354"/>
      <c r="H40" s="354"/>
      <c r="I40" s="440"/>
      <c r="J40" s="355"/>
      <c r="K40" s="369"/>
      <c r="L40" s="369"/>
    </row>
    <row r="41" spans="1:12" ht="48.75" hidden="1" customHeight="1" x14ac:dyDescent="0.25">
      <c r="A41" s="348"/>
      <c r="B41" s="354"/>
      <c r="C41" s="354"/>
      <c r="D41" s="354"/>
      <c r="E41" s="354"/>
      <c r="F41" s="354"/>
      <c r="G41" s="354"/>
      <c r="H41" s="354"/>
      <c r="I41" s="511"/>
      <c r="J41" s="355"/>
      <c r="K41" s="110"/>
      <c r="L41" s="110"/>
    </row>
    <row r="42" spans="1:12" ht="20.25" hidden="1" customHeight="1" x14ac:dyDescent="0.25">
      <c r="A42" s="348"/>
      <c r="B42" s="354"/>
      <c r="C42" s="354"/>
      <c r="D42" s="354"/>
      <c r="E42" s="354"/>
      <c r="F42" s="354"/>
      <c r="G42" s="354"/>
      <c r="H42" s="354"/>
      <c r="I42" s="356"/>
      <c r="J42" s="355"/>
      <c r="K42" s="110"/>
      <c r="L42" s="110"/>
    </row>
    <row r="43" spans="1:12" hidden="1" x14ac:dyDescent="0.25">
      <c r="A43" s="348"/>
      <c r="B43" s="354"/>
      <c r="C43" s="354"/>
      <c r="D43" s="354"/>
      <c r="E43" s="354"/>
      <c r="F43" s="354"/>
      <c r="G43" s="354"/>
      <c r="H43" s="354"/>
      <c r="I43" s="350"/>
      <c r="J43" s="355"/>
      <c r="K43" s="110"/>
      <c r="L43" s="110"/>
    </row>
    <row r="44" spans="1:12" hidden="1" x14ac:dyDescent="0.25">
      <c r="A44" s="348"/>
      <c r="B44" s="354"/>
      <c r="C44" s="354"/>
      <c r="D44" s="354"/>
      <c r="E44" s="354"/>
      <c r="F44" s="354"/>
      <c r="G44" s="354"/>
      <c r="H44" s="354"/>
      <c r="I44" s="350"/>
      <c r="J44" s="355"/>
      <c r="K44" s="110"/>
      <c r="L44" s="110"/>
    </row>
    <row r="45" spans="1:12" hidden="1" x14ac:dyDescent="0.25">
      <c r="A45" s="348"/>
      <c r="B45" s="354"/>
      <c r="C45" s="354"/>
      <c r="D45" s="354"/>
      <c r="E45" s="354"/>
      <c r="F45" s="354"/>
      <c r="G45" s="354"/>
      <c r="H45" s="354"/>
      <c r="I45" s="359"/>
      <c r="J45" s="355"/>
      <c r="K45" s="110"/>
      <c r="L45" s="110"/>
    </row>
    <row r="46" spans="1:12" hidden="1" x14ac:dyDescent="0.25">
      <c r="A46" s="348"/>
      <c r="B46" s="354"/>
      <c r="C46" s="354"/>
      <c r="D46" s="354"/>
      <c r="E46" s="354"/>
      <c r="F46" s="354"/>
      <c r="G46" s="354"/>
      <c r="H46" s="354"/>
      <c r="I46" s="356"/>
      <c r="J46" s="355"/>
      <c r="K46" s="110"/>
      <c r="L46" s="110"/>
    </row>
    <row r="47" spans="1:12" hidden="1" x14ac:dyDescent="0.25">
      <c r="A47" s="348"/>
      <c r="B47" s="354"/>
      <c r="C47" s="354"/>
      <c r="D47" s="354"/>
      <c r="E47" s="354"/>
      <c r="F47" s="354"/>
      <c r="G47" s="354"/>
      <c r="H47" s="354"/>
      <c r="I47" s="361"/>
      <c r="J47" s="355"/>
      <c r="K47" s="110"/>
      <c r="L47" s="110"/>
    </row>
    <row r="48" spans="1:12" hidden="1" x14ac:dyDescent="0.25">
      <c r="A48" s="348"/>
      <c r="B48" s="354"/>
      <c r="C48" s="354"/>
      <c r="D48" s="354"/>
      <c r="E48" s="354"/>
      <c r="F48" s="354"/>
      <c r="G48" s="354"/>
      <c r="H48" s="354"/>
      <c r="I48" s="361"/>
      <c r="J48" s="355"/>
      <c r="K48" s="110"/>
      <c r="L48" s="110"/>
    </row>
    <row r="49" spans="1:12" hidden="1" x14ac:dyDescent="0.25">
      <c r="A49" s="348"/>
      <c r="B49" s="354"/>
      <c r="C49" s="354"/>
      <c r="D49" s="354"/>
      <c r="E49" s="354"/>
      <c r="F49" s="354"/>
      <c r="G49" s="354"/>
      <c r="H49" s="354"/>
      <c r="I49" s="356"/>
      <c r="J49" s="355"/>
      <c r="K49" s="110"/>
      <c r="L49" s="110"/>
    </row>
    <row r="50" spans="1:12" hidden="1" x14ac:dyDescent="0.25">
      <c r="A50" s="348"/>
      <c r="B50" s="354"/>
      <c r="C50" s="354"/>
      <c r="D50" s="354"/>
      <c r="E50" s="354"/>
      <c r="F50" s="354"/>
      <c r="G50" s="354"/>
      <c r="H50" s="354"/>
      <c r="I50" s="356"/>
      <c r="J50" s="355"/>
      <c r="K50" s="110"/>
      <c r="L50" s="110"/>
    </row>
    <row r="51" spans="1:12" hidden="1" x14ac:dyDescent="0.25">
      <c r="A51" s="348"/>
      <c r="B51" s="354"/>
      <c r="C51" s="354"/>
      <c r="D51" s="354"/>
      <c r="E51" s="354"/>
      <c r="F51" s="354"/>
      <c r="G51" s="354"/>
      <c r="H51" s="354"/>
      <c r="I51" s="350"/>
      <c r="J51" s="355"/>
      <c r="K51" s="110"/>
      <c r="L51" s="110"/>
    </row>
    <row r="52" spans="1:12" hidden="1" x14ac:dyDescent="0.25">
      <c r="A52" s="348"/>
      <c r="B52" s="354"/>
      <c r="C52" s="354"/>
      <c r="D52" s="354"/>
      <c r="E52" s="354"/>
      <c r="F52" s="354"/>
      <c r="G52" s="354"/>
      <c r="H52" s="354"/>
      <c r="I52" s="359"/>
      <c r="J52" s="355"/>
      <c r="K52" s="110"/>
      <c r="L52" s="110"/>
    </row>
    <row r="53" spans="1:12" hidden="1" x14ac:dyDescent="0.25">
      <c r="A53" s="348"/>
      <c r="B53" s="354"/>
      <c r="C53" s="354"/>
      <c r="D53" s="354"/>
      <c r="E53" s="354"/>
      <c r="F53" s="354"/>
      <c r="G53" s="354"/>
      <c r="H53" s="354"/>
      <c r="I53" s="357"/>
      <c r="J53" s="355"/>
      <c r="K53" s="110"/>
      <c r="L53" s="110"/>
    </row>
    <row r="54" spans="1:12" hidden="1" x14ac:dyDescent="0.25">
      <c r="A54" s="348"/>
      <c r="B54" s="354"/>
      <c r="C54" s="354"/>
      <c r="D54" s="354"/>
      <c r="E54" s="354"/>
      <c r="F54" s="354"/>
      <c r="G54" s="354"/>
      <c r="H54" s="354"/>
      <c r="I54" s="362"/>
      <c r="J54" s="355"/>
      <c r="K54" s="110"/>
      <c r="L54" s="110"/>
    </row>
    <row r="55" spans="1:12" hidden="1" x14ac:dyDescent="0.25">
      <c r="A55" s="348"/>
      <c r="B55" s="354"/>
      <c r="C55" s="354"/>
      <c r="D55" s="354"/>
      <c r="E55" s="354"/>
      <c r="F55" s="354"/>
      <c r="G55" s="354"/>
      <c r="H55" s="354"/>
      <c r="I55" s="360"/>
      <c r="J55" s="355"/>
      <c r="K55" s="110"/>
      <c r="L55" s="110"/>
    </row>
    <row r="56" spans="1:12" hidden="1" x14ac:dyDescent="0.25">
      <c r="A56" s="348"/>
      <c r="B56" s="354"/>
      <c r="C56" s="354"/>
      <c r="D56" s="354"/>
      <c r="E56" s="354"/>
      <c r="F56" s="354"/>
      <c r="G56" s="354"/>
      <c r="H56" s="354"/>
      <c r="I56" s="360"/>
      <c r="J56" s="355"/>
      <c r="K56" s="110"/>
      <c r="L56" s="110"/>
    </row>
    <row r="57" spans="1:12" hidden="1" x14ac:dyDescent="0.25">
      <c r="A57" s="348"/>
      <c r="B57" s="354"/>
      <c r="C57" s="354"/>
      <c r="D57" s="354"/>
      <c r="E57" s="354"/>
      <c r="F57" s="354"/>
      <c r="G57" s="354"/>
      <c r="H57" s="354"/>
      <c r="I57" s="360"/>
      <c r="J57" s="355"/>
      <c r="K57" s="110"/>
      <c r="L57" s="110"/>
    </row>
    <row r="58" spans="1:12" hidden="1" x14ac:dyDescent="0.25">
      <c r="A58" s="348"/>
      <c r="B58" s="354"/>
      <c r="C58" s="354"/>
      <c r="D58" s="354"/>
      <c r="E58" s="354"/>
      <c r="F58" s="354"/>
      <c r="G58" s="354"/>
      <c r="H58" s="354"/>
      <c r="I58" s="359"/>
      <c r="J58" s="355"/>
      <c r="K58" s="110"/>
      <c r="L58" s="110"/>
    </row>
    <row r="59" spans="1:12" hidden="1" x14ac:dyDescent="0.25">
      <c r="A59" s="348"/>
      <c r="B59" s="354"/>
      <c r="C59" s="354"/>
      <c r="D59" s="354"/>
      <c r="E59" s="354"/>
      <c r="F59" s="354"/>
      <c r="G59" s="354"/>
      <c r="H59" s="354"/>
      <c r="I59" s="362"/>
      <c r="J59" s="355"/>
      <c r="K59" s="110"/>
      <c r="L59" s="110"/>
    </row>
    <row r="60" spans="1:12" ht="0.75" hidden="1" customHeight="1" x14ac:dyDescent="0.25">
      <c r="A60" s="348"/>
      <c r="B60" s="354"/>
      <c r="C60" s="354"/>
      <c r="D60" s="354"/>
      <c r="E60" s="354"/>
      <c r="F60" s="354"/>
      <c r="G60" s="354"/>
      <c r="H60" s="354"/>
      <c r="I60" s="362"/>
      <c r="J60" s="355"/>
      <c r="K60" s="110"/>
      <c r="L60" s="110"/>
    </row>
    <row r="61" spans="1:12" ht="0.75" hidden="1" customHeight="1" x14ac:dyDescent="0.25">
      <c r="A61" s="348"/>
      <c r="B61" s="354"/>
      <c r="C61" s="354"/>
      <c r="D61" s="354"/>
      <c r="E61" s="354"/>
      <c r="F61" s="354"/>
      <c r="G61" s="354"/>
      <c r="H61" s="354"/>
      <c r="I61" s="362"/>
      <c r="J61" s="355"/>
      <c r="K61" s="110"/>
      <c r="L61" s="110"/>
    </row>
    <row r="62" spans="1:12" ht="27" hidden="1" customHeight="1" x14ac:dyDescent="0.25">
      <c r="A62" s="348"/>
      <c r="B62" s="354"/>
      <c r="C62" s="354"/>
      <c r="D62" s="354"/>
      <c r="E62" s="354"/>
      <c r="F62" s="354"/>
      <c r="G62" s="354"/>
      <c r="H62" s="354"/>
      <c r="I62" s="511"/>
      <c r="J62" s="355"/>
      <c r="K62" s="110"/>
      <c r="L62" s="110"/>
    </row>
    <row r="63" spans="1:12" ht="18.75" hidden="1" customHeight="1" x14ac:dyDescent="0.25">
      <c r="A63" s="348"/>
      <c r="B63" s="354"/>
      <c r="C63" s="354"/>
      <c r="D63" s="354"/>
      <c r="E63" s="354"/>
      <c r="F63" s="354"/>
      <c r="G63" s="354"/>
      <c r="H63" s="354"/>
      <c r="I63" s="511"/>
      <c r="J63" s="355"/>
      <c r="K63" s="110"/>
      <c r="L63" s="110"/>
    </row>
    <row r="64" spans="1:12" ht="21.75" hidden="1" customHeight="1" x14ac:dyDescent="0.25">
      <c r="A64" s="348"/>
      <c r="B64" s="354"/>
      <c r="C64" s="354"/>
      <c r="D64" s="354"/>
      <c r="E64" s="354"/>
      <c r="F64" s="354"/>
      <c r="G64" s="354"/>
      <c r="H64" s="354"/>
      <c r="I64" s="360"/>
      <c r="J64" s="355"/>
      <c r="K64" s="110"/>
      <c r="L64" s="110"/>
    </row>
    <row r="65" spans="1:14" ht="25.5" hidden="1" customHeight="1" x14ac:dyDescent="0.25">
      <c r="A65" s="348"/>
      <c r="B65" s="354"/>
      <c r="C65" s="354"/>
      <c r="D65" s="354"/>
      <c r="E65" s="354"/>
      <c r="F65" s="354"/>
      <c r="G65" s="354"/>
      <c r="H65" s="354"/>
      <c r="I65" s="440"/>
      <c r="J65" s="355"/>
      <c r="K65" s="110"/>
      <c r="L65" s="110"/>
      <c r="N65" s="364"/>
    </row>
    <row r="66" spans="1:14" ht="21" hidden="1" customHeight="1" x14ac:dyDescent="0.25">
      <c r="A66" s="348"/>
      <c r="B66" s="354"/>
      <c r="C66" s="354"/>
      <c r="D66" s="354"/>
      <c r="E66" s="354"/>
      <c r="F66" s="354"/>
      <c r="G66" s="354"/>
      <c r="H66" s="354"/>
      <c r="I66" s="357"/>
      <c r="J66" s="355"/>
      <c r="K66" s="110"/>
      <c r="L66" s="110"/>
      <c r="N66" s="364"/>
    </row>
    <row r="67" spans="1:14" ht="21" hidden="1" customHeight="1" x14ac:dyDescent="0.25">
      <c r="A67" s="348"/>
      <c r="B67" s="354"/>
      <c r="C67" s="354"/>
      <c r="D67" s="354"/>
      <c r="E67" s="354"/>
      <c r="F67" s="354"/>
      <c r="G67" s="354"/>
      <c r="H67" s="354"/>
      <c r="I67" s="511"/>
      <c r="J67" s="355"/>
      <c r="K67" s="110"/>
      <c r="L67" s="110"/>
      <c r="N67" s="364"/>
    </row>
    <row r="68" spans="1:14" ht="20.25" hidden="1" customHeight="1" x14ac:dyDescent="0.25">
      <c r="A68" s="348"/>
      <c r="B68" s="354"/>
      <c r="C68" s="354"/>
      <c r="D68" s="354"/>
      <c r="E68" s="354"/>
      <c r="F68" s="354"/>
      <c r="G68" s="354"/>
      <c r="H68" s="354"/>
      <c r="I68" s="357"/>
      <c r="J68" s="355"/>
      <c r="K68" s="110"/>
      <c r="L68" s="110"/>
      <c r="N68" s="364"/>
    </row>
    <row r="69" spans="1:14" ht="30.75" hidden="1" customHeight="1" x14ac:dyDescent="0.25">
      <c r="A69" s="348"/>
      <c r="B69" s="354"/>
      <c r="C69" s="354"/>
      <c r="D69" s="354"/>
      <c r="E69" s="354"/>
      <c r="F69" s="354"/>
      <c r="G69" s="354"/>
      <c r="H69" s="354"/>
      <c r="I69" s="511"/>
      <c r="J69" s="355"/>
      <c r="K69" s="110"/>
      <c r="L69" s="110"/>
      <c r="N69" s="364"/>
    </row>
    <row r="70" spans="1:14" ht="71.25" hidden="1" customHeight="1" x14ac:dyDescent="0.25">
      <c r="A70" s="348"/>
      <c r="B70" s="354"/>
      <c r="C70" s="354"/>
      <c r="D70" s="354"/>
      <c r="E70" s="354"/>
      <c r="F70" s="354"/>
      <c r="G70" s="354"/>
      <c r="H70" s="354"/>
      <c r="I70" s="731"/>
      <c r="J70" s="355"/>
      <c r="K70" s="369"/>
      <c r="L70" s="369"/>
      <c r="N70" s="364"/>
    </row>
    <row r="71" spans="1:14" ht="0.75" hidden="1" customHeight="1" x14ac:dyDescent="0.25">
      <c r="A71" s="348"/>
      <c r="B71" s="354"/>
      <c r="C71" s="354"/>
      <c r="D71" s="354"/>
      <c r="E71" s="354"/>
      <c r="F71" s="354"/>
      <c r="G71" s="354"/>
      <c r="H71" s="354"/>
      <c r="I71" s="731"/>
      <c r="J71" s="355"/>
      <c r="K71" s="369"/>
      <c r="L71" s="369"/>
      <c r="N71" s="364"/>
    </row>
    <row r="72" spans="1:14" ht="58.5" hidden="1" customHeight="1" x14ac:dyDescent="0.25">
      <c r="A72" s="348"/>
      <c r="B72" s="354"/>
      <c r="C72" s="354"/>
      <c r="D72" s="354"/>
      <c r="E72" s="354"/>
      <c r="F72" s="354"/>
      <c r="G72" s="354"/>
      <c r="H72" s="354"/>
      <c r="I72" s="458"/>
      <c r="J72" s="355"/>
      <c r="K72" s="369">
        <v>0</v>
      </c>
      <c r="L72" s="369">
        <v>0</v>
      </c>
      <c r="N72" s="364"/>
    </row>
    <row r="73" spans="1:14" ht="21" hidden="1" customHeight="1" x14ac:dyDescent="0.25">
      <c r="A73" s="348"/>
      <c r="B73" s="354"/>
      <c r="C73" s="354"/>
      <c r="D73" s="354"/>
      <c r="E73" s="354"/>
      <c r="F73" s="354"/>
      <c r="G73" s="354"/>
      <c r="H73" s="354"/>
      <c r="I73" s="740"/>
      <c r="J73" s="355"/>
      <c r="K73" s="369"/>
      <c r="L73" s="369"/>
      <c r="N73" s="364"/>
    </row>
    <row r="74" spans="1:14" ht="23.25" customHeight="1" x14ac:dyDescent="0.25">
      <c r="A74" s="82"/>
      <c r="B74" s="1100" t="s">
        <v>947</v>
      </c>
      <c r="C74" s="1100"/>
      <c r="D74" s="1100"/>
      <c r="E74" s="1100"/>
      <c r="F74" s="1100"/>
      <c r="G74" s="1100"/>
      <c r="H74" s="1100"/>
      <c r="I74" s="1100"/>
      <c r="J74" s="46">
        <f>SUM(J7:J56)+J57+J58+J61+J62+J63+J59+J60+J65+J64+J66+J67+J68+J69+J70+J71+J72+J73</f>
        <v>0</v>
      </c>
      <c r="K74" s="46">
        <f t="shared" ref="K74:L74" si="0">SUM(K7:K56)</f>
        <v>0</v>
      </c>
      <c r="L74" s="46">
        <f t="shared" si="0"/>
        <v>0</v>
      </c>
    </row>
    <row r="75" spans="1:14" x14ac:dyDescent="0.25">
      <c r="B75" s="365"/>
      <c r="C75" s="365"/>
      <c r="D75" s="365"/>
      <c r="E75" s="365"/>
      <c r="F75" s="365"/>
      <c r="G75" s="365"/>
    </row>
    <row r="76" spans="1:14" x14ac:dyDescent="0.25">
      <c r="B76" s="1083" t="s">
        <v>948</v>
      </c>
      <c r="C76" s="1083"/>
      <c r="D76" s="1083"/>
      <c r="E76" s="1083"/>
      <c r="F76" s="1083"/>
      <c r="G76" s="1083"/>
      <c r="H76" s="1083"/>
      <c r="I76" s="1083"/>
      <c r="J76" s="1083"/>
    </row>
    <row r="77" spans="1:14" x14ac:dyDescent="0.25">
      <c r="A77" s="1101" t="s">
        <v>945</v>
      </c>
      <c r="B77" s="1086" t="s">
        <v>121</v>
      </c>
      <c r="C77" s="1087"/>
      <c r="D77" s="1087"/>
      <c r="E77" s="1087"/>
      <c r="F77" s="1087"/>
      <c r="G77" s="1087"/>
      <c r="H77" s="1088"/>
      <c r="I77" s="916" t="s">
        <v>1</v>
      </c>
      <c r="J77" s="920" t="s">
        <v>946</v>
      </c>
      <c r="K77" s="921"/>
      <c r="L77" s="922"/>
    </row>
    <row r="78" spans="1:14" x14ac:dyDescent="0.25">
      <c r="A78" s="1102"/>
      <c r="B78" s="1089"/>
      <c r="C78" s="1090"/>
      <c r="D78" s="1090"/>
      <c r="E78" s="1090"/>
      <c r="F78" s="1090"/>
      <c r="G78" s="1090"/>
      <c r="H78" s="1091"/>
      <c r="I78" s="917"/>
      <c r="J78" s="705">
        <v>2019</v>
      </c>
      <c r="K78" s="78">
        <v>2020</v>
      </c>
      <c r="L78" s="78">
        <v>2021</v>
      </c>
    </row>
    <row r="79" spans="1:14" ht="21.75" hidden="1" customHeight="1" x14ac:dyDescent="0.25">
      <c r="A79" s="366"/>
      <c r="B79" s="1092"/>
      <c r="C79" s="1092"/>
      <c r="D79" s="1092"/>
      <c r="E79" s="1092"/>
      <c r="F79" s="1092"/>
      <c r="G79" s="1092"/>
      <c r="H79" s="1092"/>
      <c r="I79" s="367"/>
      <c r="J79" s="368"/>
      <c r="K79" s="110">
        <v>0</v>
      </c>
      <c r="L79" s="84">
        <v>0</v>
      </c>
      <c r="N79" s="364"/>
    </row>
    <row r="80" spans="1:14" hidden="1" x14ac:dyDescent="0.25">
      <c r="A80" s="348"/>
      <c r="B80" s="1067"/>
      <c r="C80" s="1093"/>
      <c r="D80" s="1093"/>
      <c r="E80" s="1093"/>
      <c r="F80" s="1093"/>
      <c r="G80" s="1093"/>
      <c r="H80" s="1068"/>
      <c r="I80" s="367"/>
      <c r="J80" s="368"/>
      <c r="K80" s="84"/>
      <c r="L80" s="84">
        <v>0</v>
      </c>
    </row>
    <row r="81" spans="1:14" hidden="1" x14ac:dyDescent="0.25">
      <c r="A81" s="370"/>
      <c r="B81" s="1094"/>
      <c r="C81" s="1095"/>
      <c r="D81" s="1095"/>
      <c r="E81" s="1095"/>
      <c r="F81" s="1095"/>
      <c r="G81" s="1095"/>
      <c r="H81" s="1096"/>
      <c r="I81" s="371"/>
      <c r="J81" s="41"/>
      <c r="K81" s="84"/>
      <c r="L81" s="84"/>
    </row>
    <row r="82" spans="1:14" ht="0.75" hidden="1" customHeight="1" x14ac:dyDescent="0.25">
      <c r="A82" s="370"/>
      <c r="B82" s="1094"/>
      <c r="C82" s="1095"/>
      <c r="D82" s="1095"/>
      <c r="E82" s="1095"/>
      <c r="F82" s="1095"/>
      <c r="G82" s="1095"/>
      <c r="H82" s="1096"/>
      <c r="I82" s="371"/>
      <c r="J82" s="41"/>
      <c r="K82" s="82"/>
      <c r="L82" s="82"/>
    </row>
    <row r="83" spans="1:14" hidden="1" x14ac:dyDescent="0.25">
      <c r="A83" s="82"/>
      <c r="B83" s="1094"/>
      <c r="C83" s="1095"/>
      <c r="D83" s="1095"/>
      <c r="E83" s="1095"/>
      <c r="F83" s="1095"/>
      <c r="G83" s="1095"/>
      <c r="H83" s="1095"/>
      <c r="I83" s="21"/>
      <c r="J83" s="41"/>
      <c r="K83" s="82"/>
      <c r="L83" s="82"/>
    </row>
    <row r="84" spans="1:14" x14ac:dyDescent="0.25">
      <c r="A84" s="82"/>
      <c r="B84" s="1097" t="s">
        <v>949</v>
      </c>
      <c r="C84" s="1098"/>
      <c r="D84" s="1098"/>
      <c r="E84" s="1098"/>
      <c r="F84" s="1098"/>
      <c r="G84" s="1098"/>
      <c r="H84" s="1098"/>
      <c r="I84" s="1099"/>
      <c r="J84" s="46">
        <f>SUM(J79:J83)</f>
        <v>0</v>
      </c>
      <c r="K84" s="46">
        <f>SUM(K79:K83)</f>
        <v>0</v>
      </c>
      <c r="L84" s="46">
        <f>SUM(L79:L83)</f>
        <v>0</v>
      </c>
    </row>
    <row r="85" spans="1:14" x14ac:dyDescent="0.25">
      <c r="B85" s="365"/>
      <c r="C85" s="365"/>
      <c r="D85" s="365"/>
      <c r="E85" s="365"/>
      <c r="F85" s="365"/>
      <c r="G85" s="365"/>
    </row>
    <row r="86" spans="1:14" ht="0.75" customHeight="1" x14ac:dyDescent="0.25">
      <c r="B86" s="365"/>
      <c r="C86" s="365"/>
      <c r="D86" s="365"/>
      <c r="E86" s="365"/>
      <c r="F86" s="365"/>
      <c r="G86" s="365"/>
    </row>
    <row r="87" spans="1:14" x14ac:dyDescent="0.25">
      <c r="B87" s="1083" t="s">
        <v>950</v>
      </c>
      <c r="C87" s="1083"/>
      <c r="D87" s="1083"/>
      <c r="E87" s="1083"/>
      <c r="F87" s="1083"/>
      <c r="G87" s="1083"/>
      <c r="H87" s="1083"/>
      <c r="I87" s="1083"/>
      <c r="J87" s="1083"/>
    </row>
    <row r="88" spans="1:14" x14ac:dyDescent="0.25">
      <c r="A88" s="1084" t="s">
        <v>945</v>
      </c>
      <c r="B88" s="1105" t="s">
        <v>951</v>
      </c>
      <c r="C88" s="1105" t="s">
        <v>134</v>
      </c>
      <c r="D88" s="1105" t="s">
        <v>264</v>
      </c>
      <c r="E88" s="1086" t="s">
        <v>197</v>
      </c>
      <c r="F88" s="1087"/>
      <c r="G88" s="1088"/>
      <c r="H88" s="1105" t="s">
        <v>225</v>
      </c>
      <c r="I88" s="1106" t="s">
        <v>1</v>
      </c>
      <c r="J88" s="920" t="s">
        <v>946</v>
      </c>
      <c r="K88" s="921"/>
      <c r="L88" s="922"/>
    </row>
    <row r="89" spans="1:14" x14ac:dyDescent="0.25">
      <c r="A89" s="1085"/>
      <c r="B89" s="1105"/>
      <c r="C89" s="1105"/>
      <c r="D89" s="1105"/>
      <c r="E89" s="1089"/>
      <c r="F89" s="1090"/>
      <c r="G89" s="1091"/>
      <c r="H89" s="1105"/>
      <c r="I89" s="1106"/>
      <c r="J89" s="705">
        <v>2019</v>
      </c>
      <c r="K89" s="78">
        <v>2020</v>
      </c>
      <c r="L89" s="78">
        <v>2021</v>
      </c>
    </row>
    <row r="90" spans="1:14" x14ac:dyDescent="0.25">
      <c r="A90" s="372"/>
      <c r="B90" s="1103" t="s">
        <v>952</v>
      </c>
      <c r="C90" s="1103"/>
      <c r="D90" s="1103"/>
      <c r="E90" s="1103"/>
      <c r="F90" s="1103"/>
      <c r="G90" s="1103"/>
      <c r="H90" s="1103"/>
      <c r="I90" s="1104"/>
      <c r="J90" s="373">
        <f>SUM(J91:J96)</f>
        <v>0</v>
      </c>
      <c r="K90" s="373">
        <f t="shared" ref="K90:L90" si="1">SUM(K91:K93)</f>
        <v>0</v>
      </c>
      <c r="L90" s="373">
        <f t="shared" si="1"/>
        <v>0</v>
      </c>
    </row>
    <row r="91" spans="1:14" ht="56.25" customHeight="1" x14ac:dyDescent="0.25">
      <c r="A91" s="1071">
        <v>1</v>
      </c>
      <c r="B91" s="1136" t="s">
        <v>19</v>
      </c>
      <c r="C91" s="1136" t="s">
        <v>122</v>
      </c>
      <c r="D91" s="1136" t="s">
        <v>130</v>
      </c>
      <c r="E91" s="1136" t="s">
        <v>1532</v>
      </c>
      <c r="F91" s="1138" t="s">
        <v>1533</v>
      </c>
      <c r="G91" s="1139"/>
      <c r="H91" s="399" t="s">
        <v>38</v>
      </c>
      <c r="I91" s="1081" t="s">
        <v>1534</v>
      </c>
      <c r="J91" s="368">
        <v>-78000</v>
      </c>
      <c r="K91" s="84">
        <v>0</v>
      </c>
      <c r="L91" s="84">
        <v>0</v>
      </c>
      <c r="N91" s="364"/>
    </row>
    <row r="92" spans="1:14" s="1" customFormat="1" ht="61.5" customHeight="1" x14ac:dyDescent="0.25">
      <c r="A92" s="1072"/>
      <c r="B92" s="1137"/>
      <c r="C92" s="1137"/>
      <c r="D92" s="1137"/>
      <c r="E92" s="1137"/>
      <c r="F92" s="1140"/>
      <c r="G92" s="1141"/>
      <c r="H92" s="399" t="s">
        <v>275</v>
      </c>
      <c r="I92" s="1074"/>
      <c r="J92" s="368">
        <v>78000</v>
      </c>
      <c r="K92" s="110">
        <v>0</v>
      </c>
      <c r="L92" s="110">
        <v>0</v>
      </c>
    </row>
    <row r="93" spans="1:14" s="1" customFormat="1" ht="24.75" customHeight="1" x14ac:dyDescent="0.25">
      <c r="A93" s="713"/>
      <c r="B93" s="391"/>
      <c r="C93" s="391"/>
      <c r="D93" s="391"/>
      <c r="E93" s="391"/>
      <c r="F93" s="1065"/>
      <c r="G93" s="1066"/>
      <c r="H93" s="564"/>
      <c r="I93" s="386"/>
      <c r="J93" s="407"/>
      <c r="K93" s="110">
        <v>0</v>
      </c>
      <c r="L93" s="110">
        <v>0</v>
      </c>
    </row>
    <row r="94" spans="1:14" s="1" customFormat="1" ht="21.75" hidden="1" customHeight="1" x14ac:dyDescent="0.25">
      <c r="A94" s="713"/>
      <c r="B94" s="391"/>
      <c r="C94" s="391"/>
      <c r="D94" s="391"/>
      <c r="E94" s="391"/>
      <c r="F94" s="1065"/>
      <c r="G94" s="1066"/>
      <c r="H94" s="399"/>
      <c r="I94" s="270"/>
      <c r="J94" s="368"/>
      <c r="K94" s="110">
        <v>0</v>
      </c>
      <c r="L94" s="110">
        <v>0</v>
      </c>
    </row>
    <row r="95" spans="1:14" s="1" customFormat="1" ht="95.25" hidden="1" customHeight="1" x14ac:dyDescent="0.25">
      <c r="A95" s="713"/>
      <c r="B95" s="391"/>
      <c r="C95" s="391"/>
      <c r="D95" s="391"/>
      <c r="E95" s="391"/>
      <c r="F95" s="1065"/>
      <c r="G95" s="1066"/>
      <c r="H95" s="391"/>
      <c r="I95" s="797"/>
      <c r="J95" s="368"/>
      <c r="K95" s="369">
        <v>0</v>
      </c>
      <c r="L95" s="369">
        <v>0</v>
      </c>
    </row>
    <row r="96" spans="1:14" s="1" customFormat="1" ht="30" hidden="1" customHeight="1" x14ac:dyDescent="0.25">
      <c r="A96" s="713"/>
      <c r="B96" s="391"/>
      <c r="C96" s="391"/>
      <c r="D96" s="391"/>
      <c r="E96" s="391"/>
      <c r="F96" s="1065"/>
      <c r="G96" s="1066"/>
      <c r="H96" s="564"/>
      <c r="I96" s="270"/>
      <c r="J96" s="407"/>
      <c r="K96" s="369">
        <v>0</v>
      </c>
      <c r="L96" s="369">
        <v>0</v>
      </c>
    </row>
    <row r="97" spans="1:12" s="1" customFormat="1" ht="13.5" customHeight="1" x14ac:dyDescent="0.25">
      <c r="A97" s="241"/>
      <c r="B97" s="1123" t="s">
        <v>953</v>
      </c>
      <c r="C97" s="1124"/>
      <c r="D97" s="1124"/>
      <c r="E97" s="1124"/>
      <c r="F97" s="1124"/>
      <c r="G97" s="1124"/>
      <c r="H97" s="1124"/>
      <c r="I97" s="1148"/>
      <c r="J97" s="46">
        <f>J98+J99</f>
        <v>0</v>
      </c>
      <c r="K97" s="46">
        <f>K98+K99</f>
        <v>0</v>
      </c>
      <c r="L97" s="46">
        <f>L98+L99</f>
        <v>0</v>
      </c>
    </row>
    <row r="98" spans="1:12" s="1" customFormat="1" ht="127.5" hidden="1" customHeight="1" x14ac:dyDescent="0.3">
      <c r="A98" s="380"/>
      <c r="B98" s="376"/>
      <c r="C98" s="376"/>
      <c r="D98" s="376"/>
      <c r="E98" s="376"/>
      <c r="F98" s="1143"/>
      <c r="G98" s="1144"/>
      <c r="H98" s="376"/>
      <c r="I98" s="228"/>
      <c r="J98" s="368"/>
      <c r="K98" s="110">
        <v>0</v>
      </c>
      <c r="L98" s="110">
        <v>0</v>
      </c>
    </row>
    <row r="99" spans="1:12" s="1" customFormat="1" ht="66" hidden="1" customHeight="1" x14ac:dyDescent="0.3">
      <c r="A99" s="241"/>
      <c r="B99" s="376"/>
      <c r="C99" s="376"/>
      <c r="D99" s="376"/>
      <c r="E99" s="376"/>
      <c r="F99" s="1143"/>
      <c r="G99" s="1144"/>
      <c r="H99" s="376"/>
      <c r="I99" s="420"/>
      <c r="J99" s="368"/>
      <c r="K99" s="369">
        <v>0</v>
      </c>
      <c r="L99" s="369">
        <v>0</v>
      </c>
    </row>
    <row r="100" spans="1:12" s="1" customFormat="1" x14ac:dyDescent="0.25">
      <c r="A100" s="382"/>
      <c r="B100" s="1145" t="s">
        <v>954</v>
      </c>
      <c r="C100" s="1146"/>
      <c r="D100" s="1146"/>
      <c r="E100" s="1146"/>
      <c r="F100" s="1146"/>
      <c r="G100" s="1146"/>
      <c r="H100" s="1146"/>
      <c r="I100" s="1147"/>
      <c r="J100" s="373">
        <f>SUM(J101:J102)</f>
        <v>0</v>
      </c>
      <c r="K100" s="373">
        <f t="shared" ref="K100:L100" si="2">SUM(K101:K102)</f>
        <v>0</v>
      </c>
      <c r="L100" s="373">
        <f t="shared" si="2"/>
        <v>0</v>
      </c>
    </row>
    <row r="101" spans="1:12" s="1" customFormat="1" ht="74.25" customHeight="1" x14ac:dyDescent="0.3">
      <c r="A101" s="1057">
        <v>1</v>
      </c>
      <c r="B101" s="453" t="s">
        <v>16</v>
      </c>
      <c r="C101" s="1059" t="s">
        <v>136</v>
      </c>
      <c r="D101" s="1059" t="s">
        <v>127</v>
      </c>
      <c r="E101" s="1059" t="s">
        <v>1523</v>
      </c>
      <c r="F101" s="1061" t="s">
        <v>1524</v>
      </c>
      <c r="G101" s="1062"/>
      <c r="H101" s="904" t="s">
        <v>427</v>
      </c>
      <c r="I101" s="1081" t="s">
        <v>1530</v>
      </c>
      <c r="J101" s="388">
        <v>5693000</v>
      </c>
      <c r="K101" s="389">
        <v>0</v>
      </c>
      <c r="L101" s="389">
        <v>0</v>
      </c>
    </row>
    <row r="102" spans="1:12" s="1" customFormat="1" ht="42" customHeight="1" x14ac:dyDescent="0.3">
      <c r="A102" s="1058"/>
      <c r="B102" s="376" t="s">
        <v>15</v>
      </c>
      <c r="C102" s="1060"/>
      <c r="D102" s="1060"/>
      <c r="E102" s="1060"/>
      <c r="F102" s="1063"/>
      <c r="G102" s="1064"/>
      <c r="H102" s="810" t="s">
        <v>275</v>
      </c>
      <c r="I102" s="1074"/>
      <c r="J102" s="809">
        <v>-5693000</v>
      </c>
      <c r="K102" s="389">
        <v>0</v>
      </c>
      <c r="L102" s="389">
        <v>0</v>
      </c>
    </row>
    <row r="103" spans="1:12" s="1" customFormat="1" x14ac:dyDescent="0.25">
      <c r="A103" s="382"/>
      <c r="B103" s="1149" t="s">
        <v>955</v>
      </c>
      <c r="C103" s="1150"/>
      <c r="D103" s="1150"/>
      <c r="E103" s="1150"/>
      <c r="F103" s="1150"/>
      <c r="G103" s="1150"/>
      <c r="H103" s="1150"/>
      <c r="I103" s="1151"/>
      <c r="J103" s="373">
        <f>SUM(J104:J109)</f>
        <v>0</v>
      </c>
      <c r="K103" s="373">
        <f t="shared" ref="K103:L103" si="3">SUM(K104:K109)</f>
        <v>0</v>
      </c>
      <c r="L103" s="373">
        <f t="shared" si="3"/>
        <v>0</v>
      </c>
    </row>
    <row r="104" spans="1:12" s="394" customFormat="1" ht="48.75" customHeight="1" x14ac:dyDescent="0.25">
      <c r="A104" s="879">
        <v>1</v>
      </c>
      <c r="B104" s="391" t="s">
        <v>15</v>
      </c>
      <c r="C104" s="560" t="s">
        <v>124</v>
      </c>
      <c r="D104" s="560" t="s">
        <v>123</v>
      </c>
      <c r="E104" s="560" t="s">
        <v>1081</v>
      </c>
      <c r="F104" s="1065" t="s">
        <v>1535</v>
      </c>
      <c r="G104" s="1066"/>
      <c r="H104" s="392">
        <v>200</v>
      </c>
      <c r="I104" s="228" t="s">
        <v>1536</v>
      </c>
      <c r="J104" s="368">
        <v>-118000</v>
      </c>
      <c r="K104" s="41">
        <v>0</v>
      </c>
      <c r="L104" s="41">
        <v>0</v>
      </c>
    </row>
    <row r="105" spans="1:12" s="394" customFormat="1" ht="130.5" customHeight="1" x14ac:dyDescent="0.25">
      <c r="A105" s="879">
        <v>2</v>
      </c>
      <c r="B105" s="391" t="s">
        <v>16</v>
      </c>
      <c r="C105" s="560" t="s">
        <v>124</v>
      </c>
      <c r="D105" s="560" t="s">
        <v>122</v>
      </c>
      <c r="E105" s="560" t="s">
        <v>1528</v>
      </c>
      <c r="F105" s="1065" t="s">
        <v>1529</v>
      </c>
      <c r="G105" s="1066"/>
      <c r="H105" s="392">
        <v>500</v>
      </c>
      <c r="I105" s="228" t="s">
        <v>1531</v>
      </c>
      <c r="J105" s="368">
        <v>118000</v>
      </c>
      <c r="K105" s="41">
        <v>0</v>
      </c>
      <c r="L105" s="393">
        <v>0</v>
      </c>
    </row>
    <row r="106" spans="1:12" s="394" customFormat="1" ht="122.25" hidden="1" customHeight="1" x14ac:dyDescent="0.25">
      <c r="A106" s="390"/>
      <c r="B106" s="560"/>
      <c r="C106" s="811"/>
      <c r="D106" s="811"/>
      <c r="E106" s="811"/>
      <c r="F106" s="560"/>
      <c r="G106" s="560"/>
      <c r="H106" s="839"/>
      <c r="I106" s="455"/>
      <c r="J106" s="368"/>
      <c r="K106" s="41">
        <v>0</v>
      </c>
      <c r="L106" s="393">
        <v>0</v>
      </c>
    </row>
    <row r="107" spans="1:12" s="394" customFormat="1" ht="148.5" hidden="1" customHeight="1" x14ac:dyDescent="0.25">
      <c r="A107" s="390"/>
      <c r="B107" s="560"/>
      <c r="C107" s="811"/>
      <c r="D107" s="811"/>
      <c r="E107" s="811"/>
      <c r="F107" s="560"/>
      <c r="G107" s="560"/>
      <c r="H107" s="839"/>
      <c r="I107" s="455"/>
      <c r="J107" s="368"/>
      <c r="K107" s="41">
        <v>0</v>
      </c>
      <c r="L107" s="393">
        <v>0</v>
      </c>
    </row>
    <row r="108" spans="1:12" s="394" customFormat="1" ht="112.5" customHeight="1" x14ac:dyDescent="0.25">
      <c r="A108" s="820">
        <v>3</v>
      </c>
      <c r="B108" s="758" t="s">
        <v>15</v>
      </c>
      <c r="C108" s="838" t="s">
        <v>124</v>
      </c>
      <c r="D108" s="838" t="s">
        <v>132</v>
      </c>
      <c r="E108" s="838" t="s">
        <v>1528</v>
      </c>
      <c r="F108" s="1069" t="s">
        <v>1529</v>
      </c>
      <c r="G108" s="1070"/>
      <c r="H108" s="878">
        <v>200</v>
      </c>
      <c r="I108" s="228" t="s">
        <v>1537</v>
      </c>
      <c r="J108" s="368">
        <v>2000000</v>
      </c>
      <c r="K108" s="41">
        <v>0</v>
      </c>
      <c r="L108" s="393">
        <v>0</v>
      </c>
    </row>
    <row r="109" spans="1:12" ht="87" customHeight="1" x14ac:dyDescent="0.25">
      <c r="A109" s="348">
        <v>4</v>
      </c>
      <c r="B109" s="391" t="s">
        <v>15</v>
      </c>
      <c r="C109" s="391" t="s">
        <v>124</v>
      </c>
      <c r="D109" s="391" t="s">
        <v>122</v>
      </c>
      <c r="E109" s="391" t="s">
        <v>1060</v>
      </c>
      <c r="F109" s="1065" t="s">
        <v>1061</v>
      </c>
      <c r="G109" s="1066"/>
      <c r="H109" s="399" t="s">
        <v>275</v>
      </c>
      <c r="I109" s="228" t="s">
        <v>1538</v>
      </c>
      <c r="J109" s="368">
        <v>-2000000</v>
      </c>
      <c r="K109" s="84">
        <v>0</v>
      </c>
      <c r="L109" s="84">
        <v>0</v>
      </c>
    </row>
    <row r="110" spans="1:12" x14ac:dyDescent="0.25">
      <c r="A110" s="240"/>
      <c r="B110" s="1123" t="s">
        <v>956</v>
      </c>
      <c r="C110" s="1124"/>
      <c r="D110" s="1124"/>
      <c r="E110" s="1124"/>
      <c r="F110" s="1124"/>
      <c r="G110" s="1124"/>
      <c r="H110" s="1124"/>
      <c r="I110" s="1125"/>
      <c r="J110" s="46">
        <f>J111</f>
        <v>0</v>
      </c>
      <c r="K110" s="46">
        <f>K111</f>
        <v>0</v>
      </c>
      <c r="L110" s="46">
        <f>L111</f>
        <v>0</v>
      </c>
    </row>
    <row r="111" spans="1:12" ht="15" hidden="1" customHeight="1" x14ac:dyDescent="0.25">
      <c r="A111" s="348"/>
      <c r="B111" s="349"/>
      <c r="C111" s="349"/>
      <c r="D111" s="349"/>
      <c r="E111" s="349"/>
      <c r="F111" s="349"/>
      <c r="G111" s="349"/>
      <c r="H111" s="395"/>
      <c r="I111" s="400"/>
      <c r="J111" s="401"/>
      <c r="K111" s="393"/>
      <c r="L111" s="393"/>
    </row>
    <row r="112" spans="1:12" hidden="1" x14ac:dyDescent="0.25">
      <c r="A112" s="240"/>
      <c r="B112" s="402"/>
      <c r="C112" s="26"/>
      <c r="D112" s="26"/>
      <c r="E112" s="26"/>
      <c r="F112" s="26"/>
      <c r="G112" s="26"/>
      <c r="H112" s="103"/>
      <c r="I112" s="26"/>
      <c r="J112" s="41"/>
      <c r="K112" s="84"/>
      <c r="L112" s="84"/>
    </row>
    <row r="113" spans="1:12" x14ac:dyDescent="0.25">
      <c r="A113" s="403"/>
      <c r="B113" s="1142" t="s">
        <v>957</v>
      </c>
      <c r="C113" s="1142"/>
      <c r="D113" s="1142"/>
      <c r="E113" s="1142"/>
      <c r="F113" s="1142"/>
      <c r="G113" s="1142"/>
      <c r="H113" s="1142"/>
      <c r="I113" s="1142"/>
      <c r="J113" s="373">
        <f>SUM(J114:J153)+J154+J155+J156+J157+J158+J159</f>
        <v>0</v>
      </c>
      <c r="K113" s="373">
        <f>SUM(K115:K153)</f>
        <v>0</v>
      </c>
      <c r="L113" s="373">
        <f>SUM(L115:L153)</f>
        <v>0</v>
      </c>
    </row>
    <row r="114" spans="1:12" ht="0.75" customHeight="1" x14ac:dyDescent="0.25">
      <c r="A114" s="374"/>
      <c r="B114" s="391"/>
      <c r="C114" s="391"/>
      <c r="D114" s="391"/>
      <c r="E114" s="391"/>
      <c r="F114" s="1065"/>
      <c r="G114" s="1066"/>
      <c r="H114" s="564"/>
      <c r="I114" s="228"/>
      <c r="J114" s="407"/>
      <c r="K114" s="404">
        <v>0</v>
      </c>
      <c r="L114" s="404">
        <v>0</v>
      </c>
    </row>
    <row r="115" spans="1:12" ht="45.75" hidden="1" customHeight="1" x14ac:dyDescent="0.25">
      <c r="A115" s="711"/>
      <c r="B115" s="391"/>
      <c r="C115" s="391"/>
      <c r="D115" s="391"/>
      <c r="E115" s="391"/>
      <c r="F115" s="1065"/>
      <c r="G115" s="1066"/>
      <c r="H115" s="565"/>
      <c r="I115" s="409"/>
      <c r="J115" s="407"/>
      <c r="K115" s="84"/>
      <c r="L115" s="84"/>
    </row>
    <row r="116" spans="1:12" ht="81.75" hidden="1" customHeight="1" x14ac:dyDescent="0.25">
      <c r="A116" s="711"/>
      <c r="B116" s="391"/>
      <c r="C116" s="391"/>
      <c r="D116" s="391"/>
      <c r="E116" s="391"/>
      <c r="F116" s="1065"/>
      <c r="G116" s="1066"/>
      <c r="H116" s="564"/>
      <c r="I116" s="409"/>
      <c r="J116" s="407"/>
      <c r="K116" s="84"/>
      <c r="L116" s="84"/>
    </row>
    <row r="117" spans="1:12" ht="96.75" hidden="1" customHeight="1" x14ac:dyDescent="0.25">
      <c r="A117" s="711"/>
      <c r="B117" s="391"/>
      <c r="C117" s="391"/>
      <c r="D117" s="391"/>
      <c r="E117" s="391"/>
      <c r="F117" s="1065"/>
      <c r="G117" s="1066"/>
      <c r="H117" s="564"/>
      <c r="I117" s="409"/>
      <c r="J117" s="407"/>
      <c r="K117" s="41"/>
      <c r="L117" s="41"/>
    </row>
    <row r="118" spans="1:12" ht="96.75" hidden="1" customHeight="1" x14ac:dyDescent="0.25">
      <c r="A118" s="711"/>
      <c r="B118" s="391"/>
      <c r="C118" s="391"/>
      <c r="D118" s="391"/>
      <c r="E118" s="391"/>
      <c r="F118" s="1065"/>
      <c r="G118" s="1066"/>
      <c r="H118" s="564"/>
      <c r="I118" s="409"/>
      <c r="J118" s="407"/>
      <c r="K118" s="41"/>
      <c r="L118" s="41"/>
    </row>
    <row r="119" spans="1:12" ht="71.25" hidden="1" customHeight="1" x14ac:dyDescent="0.25">
      <c r="A119" s="711"/>
      <c r="B119" s="391"/>
      <c r="C119" s="391"/>
      <c r="D119" s="391"/>
      <c r="E119" s="391"/>
      <c r="F119" s="1065"/>
      <c r="G119" s="1066"/>
      <c r="H119" s="564"/>
      <c r="I119" s="409"/>
      <c r="J119" s="407"/>
      <c r="K119" s="41"/>
      <c r="L119" s="41"/>
    </row>
    <row r="120" spans="1:12" ht="15.75" hidden="1" customHeight="1" x14ac:dyDescent="0.25">
      <c r="A120" s="711"/>
      <c r="B120" s="391"/>
      <c r="C120" s="391"/>
      <c r="D120" s="391"/>
      <c r="E120" s="391"/>
      <c r="F120" s="1065"/>
      <c r="G120" s="1066"/>
      <c r="H120" s="564"/>
      <c r="I120" s="409"/>
      <c r="J120" s="407"/>
      <c r="K120" s="41"/>
      <c r="L120" s="41"/>
    </row>
    <row r="121" spans="1:12" ht="0.75" hidden="1" customHeight="1" x14ac:dyDescent="0.25">
      <c r="A121" s="711"/>
      <c r="B121" s="391"/>
      <c r="C121" s="391"/>
      <c r="D121" s="391"/>
      <c r="E121" s="391"/>
      <c r="F121" s="1065"/>
      <c r="G121" s="1066"/>
      <c r="H121" s="564"/>
      <c r="I121" s="409"/>
      <c r="J121" s="407"/>
      <c r="K121" s="84"/>
      <c r="L121" s="84"/>
    </row>
    <row r="122" spans="1:12" ht="15.75" hidden="1" customHeight="1" x14ac:dyDescent="0.25">
      <c r="A122" s="711"/>
      <c r="B122" s="391"/>
      <c r="C122" s="391"/>
      <c r="D122" s="391"/>
      <c r="E122" s="391"/>
      <c r="F122" s="1065"/>
      <c r="G122" s="1066"/>
      <c r="H122" s="564"/>
      <c r="I122" s="409"/>
      <c r="J122" s="407"/>
      <c r="K122" s="84"/>
      <c r="L122" s="84"/>
    </row>
    <row r="123" spans="1:12" ht="15.75" hidden="1" customHeight="1" x14ac:dyDescent="0.25">
      <c r="A123" s="711"/>
      <c r="B123" s="391"/>
      <c r="C123" s="391"/>
      <c r="D123" s="391"/>
      <c r="E123" s="391"/>
      <c r="F123" s="1065"/>
      <c r="G123" s="1066"/>
      <c r="H123" s="564"/>
      <c r="I123" s="409"/>
      <c r="J123" s="407"/>
      <c r="K123" s="84"/>
      <c r="L123" s="84"/>
    </row>
    <row r="124" spans="1:12" ht="15.75" hidden="1" customHeight="1" x14ac:dyDescent="0.25">
      <c r="A124" s="711"/>
      <c r="B124" s="391"/>
      <c r="C124" s="391"/>
      <c r="D124" s="391"/>
      <c r="E124" s="391"/>
      <c r="F124" s="391"/>
      <c r="G124" s="391"/>
      <c r="H124" s="564"/>
      <c r="I124" s="409"/>
      <c r="J124" s="407"/>
      <c r="K124" s="393"/>
      <c r="L124" s="393"/>
    </row>
    <row r="125" spans="1:12" ht="15.75" hidden="1" customHeight="1" x14ac:dyDescent="0.25">
      <c r="A125" s="711"/>
      <c r="B125" s="391"/>
      <c r="C125" s="391"/>
      <c r="D125" s="391"/>
      <c r="E125" s="391"/>
      <c r="F125" s="391"/>
      <c r="G125" s="391"/>
      <c r="H125" s="564"/>
      <c r="I125" s="409"/>
      <c r="J125" s="407"/>
      <c r="K125" s="84"/>
      <c r="L125" s="84"/>
    </row>
    <row r="126" spans="1:12" ht="15.75" hidden="1" customHeight="1" x14ac:dyDescent="0.25">
      <c r="A126" s="711"/>
      <c r="B126" s="391"/>
      <c r="C126" s="391"/>
      <c r="D126" s="391"/>
      <c r="E126" s="391"/>
      <c r="F126" s="391"/>
      <c r="G126" s="391"/>
      <c r="H126" s="564"/>
      <c r="I126" s="409"/>
      <c r="J126" s="407"/>
      <c r="K126" s="393"/>
      <c r="L126" s="393"/>
    </row>
    <row r="127" spans="1:12" ht="15.75" hidden="1" customHeight="1" x14ac:dyDescent="0.25">
      <c r="A127" s="711"/>
      <c r="B127" s="391"/>
      <c r="C127" s="391"/>
      <c r="D127" s="391"/>
      <c r="E127" s="391"/>
      <c r="F127" s="391"/>
      <c r="G127" s="391"/>
      <c r="H127" s="564"/>
      <c r="I127" s="409"/>
      <c r="J127" s="407"/>
      <c r="K127" s="393"/>
      <c r="L127" s="393"/>
    </row>
    <row r="128" spans="1:12" ht="15.75" hidden="1" customHeight="1" x14ac:dyDescent="0.25">
      <c r="A128" s="711"/>
      <c r="B128" s="391"/>
      <c r="C128" s="391"/>
      <c r="D128" s="391"/>
      <c r="E128" s="391"/>
      <c r="F128" s="391"/>
      <c r="G128" s="391"/>
      <c r="H128" s="565"/>
      <c r="I128" s="409"/>
      <c r="J128" s="407"/>
      <c r="K128" s="84"/>
      <c r="L128" s="84"/>
    </row>
    <row r="129" spans="1:12" ht="15.75" hidden="1" customHeight="1" x14ac:dyDescent="0.25">
      <c r="A129" s="711"/>
      <c r="B129" s="391"/>
      <c r="C129" s="391"/>
      <c r="D129" s="391"/>
      <c r="E129" s="391"/>
      <c r="F129" s="391"/>
      <c r="G129" s="391"/>
      <c r="H129" s="564"/>
      <c r="I129" s="409"/>
      <c r="J129" s="407"/>
      <c r="K129" s="84"/>
      <c r="L129" s="84"/>
    </row>
    <row r="130" spans="1:12" ht="15.75" hidden="1" customHeight="1" x14ac:dyDescent="0.25">
      <c r="A130" s="711"/>
      <c r="B130" s="391"/>
      <c r="C130" s="391"/>
      <c r="D130" s="391"/>
      <c r="E130" s="391"/>
      <c r="F130" s="391"/>
      <c r="G130" s="391"/>
      <c r="H130" s="565"/>
      <c r="I130" s="409"/>
      <c r="J130" s="407"/>
      <c r="K130" s="84"/>
      <c r="L130" s="84"/>
    </row>
    <row r="131" spans="1:12" ht="15.75" hidden="1" customHeight="1" x14ac:dyDescent="0.25">
      <c r="A131" s="711"/>
      <c r="B131" s="391"/>
      <c r="C131" s="391"/>
      <c r="D131" s="391"/>
      <c r="E131" s="391"/>
      <c r="F131" s="391"/>
      <c r="G131" s="391"/>
      <c r="H131" s="564"/>
      <c r="I131" s="409"/>
      <c r="J131" s="407"/>
      <c r="K131" s="84"/>
      <c r="L131" s="84"/>
    </row>
    <row r="132" spans="1:12" ht="15.75" hidden="1" customHeight="1" x14ac:dyDescent="0.25">
      <c r="A132" s="711"/>
      <c r="B132" s="391"/>
      <c r="C132" s="391"/>
      <c r="D132" s="391"/>
      <c r="E132" s="391"/>
      <c r="F132" s="391"/>
      <c r="G132" s="391"/>
      <c r="H132" s="564"/>
      <c r="I132" s="409"/>
      <c r="J132" s="407"/>
      <c r="K132" s="84"/>
      <c r="L132" s="84"/>
    </row>
    <row r="133" spans="1:12" ht="15.75" hidden="1" customHeight="1" x14ac:dyDescent="0.25">
      <c r="A133" s="711"/>
      <c r="B133" s="391"/>
      <c r="C133" s="391"/>
      <c r="D133" s="391"/>
      <c r="E133" s="391"/>
      <c r="F133" s="391"/>
      <c r="G133" s="391"/>
      <c r="H133" s="564"/>
      <c r="I133" s="409"/>
      <c r="J133" s="407"/>
      <c r="K133" s="84"/>
      <c r="L133" s="84"/>
    </row>
    <row r="134" spans="1:12" ht="15.75" hidden="1" customHeight="1" x14ac:dyDescent="0.25">
      <c r="A134" s="711"/>
      <c r="B134" s="391"/>
      <c r="C134" s="391"/>
      <c r="D134" s="391"/>
      <c r="E134" s="391"/>
      <c r="F134" s="391"/>
      <c r="G134" s="391"/>
      <c r="H134" s="564"/>
      <c r="I134" s="409"/>
      <c r="J134" s="407"/>
      <c r="K134" s="84"/>
      <c r="L134" s="84"/>
    </row>
    <row r="135" spans="1:12" ht="15.75" hidden="1" customHeight="1" x14ac:dyDescent="0.25">
      <c r="A135" s="711"/>
      <c r="B135" s="391"/>
      <c r="C135" s="391"/>
      <c r="D135" s="391"/>
      <c r="E135" s="391"/>
      <c r="F135" s="1065"/>
      <c r="G135" s="1066"/>
      <c r="H135" s="564"/>
      <c r="I135" s="409"/>
      <c r="J135" s="407"/>
      <c r="K135" s="84"/>
      <c r="L135" s="84"/>
    </row>
    <row r="136" spans="1:12" ht="15.75" hidden="1" customHeight="1" x14ac:dyDescent="0.25">
      <c r="A136" s="711"/>
      <c r="B136" s="391"/>
      <c r="C136" s="391"/>
      <c r="D136" s="391"/>
      <c r="E136" s="391"/>
      <c r="F136" s="1065"/>
      <c r="G136" s="1066"/>
      <c r="H136" s="564"/>
      <c r="I136" s="409"/>
      <c r="J136" s="407"/>
      <c r="K136" s="84"/>
      <c r="L136" s="84"/>
    </row>
    <row r="137" spans="1:12" ht="15.75" hidden="1" customHeight="1" x14ac:dyDescent="0.25">
      <c r="A137" s="711"/>
      <c r="B137" s="391"/>
      <c r="C137" s="391"/>
      <c r="D137" s="391"/>
      <c r="E137" s="391"/>
      <c r="F137" s="1065"/>
      <c r="G137" s="1066"/>
      <c r="H137" s="564"/>
      <c r="I137" s="409"/>
      <c r="J137" s="407"/>
      <c r="K137" s="84"/>
      <c r="L137" s="84"/>
    </row>
    <row r="138" spans="1:12" ht="15.75" hidden="1" customHeight="1" x14ac:dyDescent="0.25">
      <c r="A138" s="711"/>
      <c r="B138" s="718"/>
      <c r="C138" s="717"/>
      <c r="D138" s="717"/>
      <c r="E138" s="717"/>
      <c r="F138" s="1067"/>
      <c r="G138" s="1068"/>
      <c r="H138" s="564"/>
      <c r="I138" s="409"/>
      <c r="J138" s="407"/>
      <c r="K138" s="84"/>
      <c r="L138" s="84"/>
    </row>
    <row r="139" spans="1:12" ht="15.75" hidden="1" customHeight="1" x14ac:dyDescent="0.25">
      <c r="A139" s="711"/>
      <c r="B139" s="391"/>
      <c r="C139" s="391"/>
      <c r="D139" s="391"/>
      <c r="E139" s="391"/>
      <c r="F139" s="1065"/>
      <c r="G139" s="1066"/>
      <c r="H139" s="564"/>
      <c r="I139" s="409"/>
      <c r="J139" s="407"/>
      <c r="K139" s="84"/>
      <c r="L139" s="84"/>
    </row>
    <row r="140" spans="1:12" ht="15.75" hidden="1" customHeight="1" x14ac:dyDescent="0.25">
      <c r="A140" s="711"/>
      <c r="B140" s="391"/>
      <c r="C140" s="391"/>
      <c r="D140" s="391"/>
      <c r="E140" s="391"/>
      <c r="F140" s="1065"/>
      <c r="G140" s="1066"/>
      <c r="H140" s="564"/>
      <c r="I140" s="409"/>
      <c r="J140" s="407"/>
      <c r="K140" s="84"/>
      <c r="L140" s="84"/>
    </row>
    <row r="141" spans="1:12" ht="15.75" hidden="1" customHeight="1" x14ac:dyDescent="0.25">
      <c r="A141" s="711"/>
      <c r="B141" s="391"/>
      <c r="C141" s="391"/>
      <c r="D141" s="391"/>
      <c r="E141" s="391"/>
      <c r="F141" s="1065"/>
      <c r="G141" s="1066"/>
      <c r="H141" s="564"/>
      <c r="I141" s="409"/>
      <c r="J141" s="407"/>
      <c r="K141" s="84"/>
      <c r="L141" s="84"/>
    </row>
    <row r="142" spans="1:12" ht="15.75" hidden="1" customHeight="1" x14ac:dyDescent="0.25">
      <c r="A142" s="711"/>
      <c r="B142" s="391"/>
      <c r="C142" s="391"/>
      <c r="D142" s="391"/>
      <c r="E142" s="391"/>
      <c r="F142" s="1065"/>
      <c r="G142" s="1066"/>
      <c r="H142" s="564"/>
      <c r="I142" s="409"/>
      <c r="J142" s="407"/>
      <c r="K142" s="84"/>
      <c r="L142" s="84"/>
    </row>
    <row r="143" spans="1:12" ht="95.25" hidden="1" customHeight="1" x14ac:dyDescent="0.25">
      <c r="A143" s="374"/>
      <c r="B143" s="391"/>
      <c r="C143" s="391"/>
      <c r="D143" s="391"/>
      <c r="E143" s="391"/>
      <c r="F143" s="1065"/>
      <c r="G143" s="1066"/>
      <c r="H143" s="564"/>
      <c r="I143" s="228"/>
      <c r="J143" s="726"/>
      <c r="K143" s="233"/>
      <c r="L143" s="233"/>
    </row>
    <row r="144" spans="1:12" ht="97.5" hidden="1" customHeight="1" x14ac:dyDescent="0.25">
      <c r="A144" s="374"/>
      <c r="B144" s="391"/>
      <c r="C144" s="391"/>
      <c r="D144" s="391"/>
      <c r="E144" s="391"/>
      <c r="F144" s="1065"/>
      <c r="G144" s="1066"/>
      <c r="H144" s="565"/>
      <c r="I144" s="228"/>
      <c r="J144" s="726"/>
      <c r="K144" s="233"/>
      <c r="L144" s="233"/>
    </row>
    <row r="145" spans="1:14" ht="95.25" hidden="1" customHeight="1" x14ac:dyDescent="0.25">
      <c r="A145" s="374"/>
      <c r="B145" s="391"/>
      <c r="C145" s="391"/>
      <c r="D145" s="391"/>
      <c r="E145" s="391"/>
      <c r="F145" s="1065"/>
      <c r="G145" s="1066"/>
      <c r="H145" s="564"/>
      <c r="I145" s="228"/>
      <c r="J145" s="407"/>
      <c r="K145" s="84"/>
      <c r="L145" s="84"/>
    </row>
    <row r="146" spans="1:14" ht="84.75" hidden="1" customHeight="1" x14ac:dyDescent="0.25">
      <c r="A146" s="374"/>
      <c r="B146" s="391"/>
      <c r="C146" s="391"/>
      <c r="D146" s="391"/>
      <c r="E146" s="391"/>
      <c r="F146" s="1065"/>
      <c r="G146" s="1066"/>
      <c r="H146" s="564"/>
      <c r="I146" s="454"/>
      <c r="J146" s="407"/>
      <c r="K146" s="84"/>
      <c r="L146" s="84"/>
    </row>
    <row r="147" spans="1:14" ht="160.5" hidden="1" customHeight="1" x14ac:dyDescent="0.25">
      <c r="A147" s="374"/>
      <c r="B147" s="391"/>
      <c r="C147" s="391"/>
      <c r="D147" s="391"/>
      <c r="E147" s="391"/>
      <c r="F147" s="1065"/>
      <c r="G147" s="1066"/>
      <c r="H147" s="399"/>
      <c r="I147" s="501"/>
      <c r="J147" s="407"/>
      <c r="K147" s="369"/>
      <c r="L147" s="369"/>
    </row>
    <row r="148" spans="1:14" ht="95.25" hidden="1" customHeight="1" x14ac:dyDescent="0.25">
      <c r="A148" s="374"/>
      <c r="B148" s="391"/>
      <c r="C148" s="391"/>
      <c r="D148" s="391"/>
      <c r="E148" s="391"/>
      <c r="F148" s="1065"/>
      <c r="G148" s="1066"/>
      <c r="H148" s="399"/>
      <c r="I148" s="455"/>
      <c r="J148" s="407"/>
      <c r="K148" s="369"/>
      <c r="L148" s="369"/>
    </row>
    <row r="149" spans="1:14" ht="73.5" hidden="1" customHeight="1" x14ac:dyDescent="0.25">
      <c r="A149" s="374"/>
      <c r="B149" s="391"/>
      <c r="C149" s="391"/>
      <c r="D149" s="391"/>
      <c r="E149" s="391"/>
      <c r="F149" s="1065"/>
      <c r="G149" s="1066"/>
      <c r="H149" s="399"/>
      <c r="I149" s="228"/>
      <c r="J149" s="407"/>
      <c r="K149" s="369"/>
      <c r="L149" s="369"/>
    </row>
    <row r="150" spans="1:14" ht="126.75" hidden="1" customHeight="1" x14ac:dyDescent="0.25">
      <c r="A150" s="374"/>
      <c r="B150" s="391"/>
      <c r="C150" s="391"/>
      <c r="D150" s="391"/>
      <c r="E150" s="391"/>
      <c r="F150" s="1065"/>
      <c r="G150" s="1066"/>
      <c r="H150" s="399"/>
      <c r="I150" s="228"/>
      <c r="J150" s="407"/>
      <c r="K150" s="84"/>
      <c r="L150" s="84"/>
    </row>
    <row r="151" spans="1:14" ht="85.5" hidden="1" customHeight="1" x14ac:dyDescent="0.25">
      <c r="A151" s="374"/>
      <c r="B151" s="391"/>
      <c r="C151" s="391"/>
      <c r="D151" s="391"/>
      <c r="E151" s="391"/>
      <c r="F151" s="1065"/>
      <c r="G151" s="1066"/>
      <c r="H151" s="564"/>
      <c r="I151" s="420"/>
      <c r="J151" s="410"/>
      <c r="K151" s="84"/>
      <c r="L151" s="84"/>
    </row>
    <row r="152" spans="1:14" ht="78.75" hidden="1" customHeight="1" x14ac:dyDescent="0.25">
      <c r="A152" s="374"/>
      <c r="B152" s="391"/>
      <c r="C152" s="391"/>
      <c r="D152" s="391"/>
      <c r="E152" s="391"/>
      <c r="F152" s="1065"/>
      <c r="G152" s="1066"/>
      <c r="H152" s="564"/>
      <c r="I152" s="420"/>
      <c r="J152" s="407"/>
      <c r="K152" s="369"/>
      <c r="L152" s="369"/>
    </row>
    <row r="153" spans="1:14" ht="81.75" hidden="1" customHeight="1" x14ac:dyDescent="0.25">
      <c r="A153" s="719"/>
      <c r="B153" s="397"/>
      <c r="C153" s="397"/>
      <c r="D153" s="397"/>
      <c r="E153" s="397"/>
      <c r="F153" s="1112"/>
      <c r="G153" s="1113"/>
      <c r="H153" s="720"/>
      <c r="I153" s="454"/>
      <c r="J153" s="407"/>
      <c r="K153" s="369"/>
      <c r="L153" s="369"/>
      <c r="N153" s="364"/>
    </row>
    <row r="154" spans="1:14" ht="81" hidden="1" customHeight="1" x14ac:dyDescent="0.25">
      <c r="A154" s="374"/>
      <c r="B154" s="391"/>
      <c r="C154" s="391"/>
      <c r="D154" s="391"/>
      <c r="E154" s="391"/>
      <c r="F154" s="1065"/>
      <c r="G154" s="1066"/>
      <c r="H154" s="716"/>
      <c r="I154" s="228"/>
      <c r="J154" s="407"/>
      <c r="K154" s="110"/>
      <c r="L154" s="110"/>
      <c r="N154" s="364"/>
    </row>
    <row r="155" spans="1:14" ht="114" hidden="1" customHeight="1" x14ac:dyDescent="0.25">
      <c r="A155" s="374"/>
      <c r="B155" s="721"/>
      <c r="C155" s="722"/>
      <c r="D155" s="722"/>
      <c r="E155" s="722"/>
      <c r="F155" s="1117"/>
      <c r="G155" s="1118"/>
      <c r="H155" s="398"/>
      <c r="I155" s="723"/>
      <c r="J155" s="368"/>
      <c r="K155" s="110"/>
      <c r="L155" s="110"/>
      <c r="N155" s="364"/>
    </row>
    <row r="156" spans="1:14" ht="84.75" hidden="1" customHeight="1" x14ac:dyDescent="0.25">
      <c r="A156" s="374"/>
      <c r="B156" s="414"/>
      <c r="C156" s="414"/>
      <c r="D156" s="414"/>
      <c r="E156" s="414"/>
      <c r="F156" s="1067"/>
      <c r="G156" s="1068"/>
      <c r="H156" s="399"/>
      <c r="I156" s="228"/>
      <c r="J156" s="368"/>
      <c r="K156" s="110">
        <v>0</v>
      </c>
      <c r="L156" s="110">
        <v>0</v>
      </c>
      <c r="N156" s="364"/>
    </row>
    <row r="157" spans="1:14" ht="31.5" hidden="1" customHeight="1" x14ac:dyDescent="0.25">
      <c r="A157" s="374"/>
      <c r="B157" s="722"/>
      <c r="C157" s="722"/>
      <c r="D157" s="722"/>
      <c r="E157" s="722"/>
      <c r="F157" s="1117"/>
      <c r="G157" s="1118"/>
      <c r="H157" s="398"/>
      <c r="I157" s="454"/>
      <c r="J157" s="368"/>
      <c r="K157" s="110"/>
      <c r="L157" s="110"/>
      <c r="N157" s="364"/>
    </row>
    <row r="158" spans="1:14" ht="37.5" hidden="1" customHeight="1" x14ac:dyDescent="0.25">
      <c r="A158" s="374"/>
      <c r="B158" s="414"/>
      <c r="C158" s="414"/>
      <c r="D158" s="414"/>
      <c r="E158" s="414"/>
      <c r="F158" s="1067"/>
      <c r="G158" s="1068"/>
      <c r="H158" s="399"/>
      <c r="I158" s="228"/>
      <c r="J158" s="368"/>
      <c r="K158" s="110"/>
      <c r="L158" s="110"/>
      <c r="N158" s="364"/>
    </row>
    <row r="159" spans="1:14" ht="41.25" hidden="1" customHeight="1" x14ac:dyDescent="0.25">
      <c r="A159" s="374"/>
      <c r="B159" s="414"/>
      <c r="C159" s="414"/>
      <c r="D159" s="414"/>
      <c r="E159" s="414"/>
      <c r="F159" s="1067"/>
      <c r="G159" s="1068"/>
      <c r="H159" s="399"/>
      <c r="I159" s="228"/>
      <c r="J159" s="368"/>
      <c r="K159" s="110"/>
      <c r="L159" s="110"/>
      <c r="N159" s="364"/>
    </row>
    <row r="160" spans="1:14" ht="15" customHeight="1" x14ac:dyDescent="0.25">
      <c r="A160" s="240"/>
      <c r="B160" s="1114" t="s">
        <v>958</v>
      </c>
      <c r="C160" s="1115"/>
      <c r="D160" s="1115"/>
      <c r="E160" s="1115"/>
      <c r="F160" s="1115"/>
      <c r="G160" s="1115"/>
      <c r="H160" s="1115"/>
      <c r="I160" s="1116"/>
      <c r="J160" s="46">
        <f>SUM(J161:J162)</f>
        <v>0</v>
      </c>
      <c r="K160" s="46">
        <f t="shared" ref="K160:L160" si="4">SUM(K161:K162)</f>
        <v>0</v>
      </c>
      <c r="L160" s="46">
        <f t="shared" si="4"/>
        <v>0</v>
      </c>
    </row>
    <row r="161" spans="1:14" ht="57.75" customHeight="1" x14ac:dyDescent="0.25">
      <c r="A161" s="1071">
        <v>1</v>
      </c>
      <c r="B161" s="708" t="s">
        <v>15</v>
      </c>
      <c r="C161" s="1075" t="s">
        <v>126</v>
      </c>
      <c r="D161" s="1075" t="s">
        <v>122</v>
      </c>
      <c r="E161" s="1075" t="s">
        <v>1525</v>
      </c>
      <c r="F161" s="1077" t="s">
        <v>1526</v>
      </c>
      <c r="G161" s="1078"/>
      <c r="H161" s="398" t="s">
        <v>275</v>
      </c>
      <c r="I161" s="1073" t="s">
        <v>1527</v>
      </c>
      <c r="J161" s="368">
        <v>-961458</v>
      </c>
      <c r="K161" s="84">
        <v>0</v>
      </c>
      <c r="L161" s="84">
        <v>0</v>
      </c>
    </row>
    <row r="162" spans="1:14" ht="59.25" customHeight="1" x14ac:dyDescent="0.25">
      <c r="A162" s="1072"/>
      <c r="B162" s="414" t="s">
        <v>16</v>
      </c>
      <c r="C162" s="1076"/>
      <c r="D162" s="1076"/>
      <c r="E162" s="1076"/>
      <c r="F162" s="1079"/>
      <c r="G162" s="1080"/>
      <c r="H162" s="399" t="s">
        <v>427</v>
      </c>
      <c r="I162" s="1074"/>
      <c r="J162" s="368">
        <v>961458</v>
      </c>
      <c r="K162" s="84"/>
      <c r="L162" s="84"/>
    </row>
    <row r="163" spans="1:14" x14ac:dyDescent="0.25">
      <c r="A163" s="240"/>
      <c r="B163" s="1107" t="s">
        <v>959</v>
      </c>
      <c r="C163" s="1108"/>
      <c r="D163" s="1108"/>
      <c r="E163" s="1108"/>
      <c r="F163" s="1108"/>
      <c r="G163" s="1108"/>
      <c r="H163" s="1108"/>
      <c r="I163" s="1109"/>
      <c r="J163" s="727">
        <f>J169</f>
        <v>0</v>
      </c>
      <c r="K163" s="46">
        <f>K164+K165+K166</f>
        <v>0</v>
      </c>
      <c r="L163" s="46">
        <f>L164+L165+L166</f>
        <v>0</v>
      </c>
    </row>
    <row r="164" spans="1:14" ht="14.25" hidden="1" customHeight="1" x14ac:dyDescent="0.25">
      <c r="A164" s="240"/>
      <c r="B164" s="98"/>
      <c r="C164" s="98"/>
      <c r="D164" s="98"/>
      <c r="E164" s="98"/>
      <c r="F164" s="1110"/>
      <c r="G164" s="1111"/>
      <c r="H164" s="729"/>
      <c r="I164" s="36"/>
      <c r="J164" s="368"/>
      <c r="K164" s="84"/>
      <c r="L164" s="84"/>
    </row>
    <row r="165" spans="1:14" hidden="1" x14ac:dyDescent="0.25">
      <c r="A165" s="418"/>
      <c r="B165" s="98"/>
      <c r="C165" s="98"/>
      <c r="D165" s="98"/>
      <c r="E165" s="98"/>
      <c r="F165" s="98"/>
      <c r="G165" s="730"/>
      <c r="H165" s="37"/>
      <c r="I165" s="36"/>
      <c r="J165" s="368"/>
      <c r="K165" s="84"/>
      <c r="L165" s="84"/>
    </row>
    <row r="166" spans="1:14" hidden="1" x14ac:dyDescent="0.25">
      <c r="A166" s="240"/>
      <c r="B166" s="98"/>
      <c r="C166" s="98"/>
      <c r="D166" s="98"/>
      <c r="E166" s="98"/>
      <c r="F166" s="98"/>
      <c r="G166" s="730"/>
      <c r="H166" s="37"/>
      <c r="I166" s="36"/>
      <c r="J166" s="368"/>
      <c r="K166" s="84"/>
      <c r="L166" s="84"/>
    </row>
    <row r="167" spans="1:14" hidden="1" x14ac:dyDescent="0.25">
      <c r="A167" s="240"/>
      <c r="B167" s="98"/>
      <c r="C167" s="98"/>
      <c r="D167" s="98"/>
      <c r="E167" s="98"/>
      <c r="F167" s="98"/>
      <c r="G167" s="98"/>
      <c r="H167" s="98"/>
      <c r="I167" s="36"/>
      <c r="J167" s="368"/>
      <c r="K167" s="84"/>
      <c r="L167" s="84"/>
    </row>
    <row r="168" spans="1:14" hidden="1" x14ac:dyDescent="0.25">
      <c r="A168" s="240"/>
      <c r="B168" s="724"/>
      <c r="C168" s="133"/>
      <c r="D168" s="133"/>
      <c r="E168" s="133"/>
      <c r="F168" s="133"/>
      <c r="G168" s="133"/>
      <c r="H168" s="133"/>
      <c r="I168" s="36"/>
      <c r="J168" s="368"/>
      <c r="K168" s="84"/>
      <c r="L168" s="84"/>
    </row>
    <row r="169" spans="1:14" hidden="1" x14ac:dyDescent="0.25">
      <c r="A169" s="240"/>
      <c r="B169" s="724"/>
      <c r="C169" s="133"/>
      <c r="D169" s="133"/>
      <c r="E169" s="133"/>
      <c r="F169" s="1110"/>
      <c r="G169" s="1111"/>
      <c r="H169" s="133"/>
      <c r="I169" s="155"/>
      <c r="J169" s="368"/>
      <c r="K169" s="84">
        <v>0</v>
      </c>
      <c r="L169" s="84">
        <v>0</v>
      </c>
    </row>
    <row r="170" spans="1:14" x14ac:dyDescent="0.25">
      <c r="A170" s="240"/>
      <c r="B170" s="1114" t="s">
        <v>960</v>
      </c>
      <c r="C170" s="1115"/>
      <c r="D170" s="1115"/>
      <c r="E170" s="1115"/>
      <c r="F170" s="1115"/>
      <c r="G170" s="1115"/>
      <c r="H170" s="1115"/>
      <c r="I170" s="1116"/>
      <c r="J170" s="46">
        <f>SUM(J176:J178)+J171+J172+J174+J175+J173+J179+J180+J181+J182</f>
        <v>0</v>
      </c>
      <c r="K170" s="46">
        <f>SUM(K176:K178)+K171+K172+K174+K175+K173+K179+K180+K181+K182</f>
        <v>0</v>
      </c>
      <c r="L170" s="46">
        <f>SUM(L176:L178)+L171+L172+L174+L175+L173+L179+L180+L181+L182</f>
        <v>0</v>
      </c>
    </row>
    <row r="171" spans="1:14" ht="21.75" hidden="1" customHeight="1" x14ac:dyDescent="0.25">
      <c r="A171" s="477"/>
      <c r="B171" s="776"/>
      <c r="C171" s="776"/>
      <c r="D171" s="776"/>
      <c r="E171" s="708"/>
      <c r="F171" s="1067"/>
      <c r="G171" s="1068"/>
      <c r="H171" s="776"/>
      <c r="I171" s="745"/>
      <c r="J171" s="368"/>
      <c r="K171" s="41"/>
      <c r="L171" s="41"/>
    </row>
    <row r="172" spans="1:14" ht="47.25" hidden="1" customHeight="1" x14ac:dyDescent="0.25">
      <c r="A172" s="477"/>
      <c r="B172" s="776"/>
      <c r="C172" s="776"/>
      <c r="D172" s="776"/>
      <c r="E172" s="708"/>
      <c r="F172" s="1067"/>
      <c r="G172" s="1068"/>
      <c r="H172" s="776"/>
      <c r="I172" s="745"/>
      <c r="J172" s="368"/>
      <c r="K172" s="41"/>
      <c r="L172" s="41"/>
      <c r="N172" s="710"/>
    </row>
    <row r="173" spans="1:14" ht="83.25" hidden="1" customHeight="1" x14ac:dyDescent="0.25">
      <c r="A173" s="504"/>
      <c r="B173" s="421"/>
      <c r="C173" s="421"/>
      <c r="D173" s="421"/>
      <c r="E173" s="421"/>
      <c r="F173" s="1067"/>
      <c r="G173" s="1068"/>
      <c r="H173" s="476"/>
      <c r="I173" s="460"/>
      <c r="J173" s="368"/>
      <c r="K173" s="368"/>
      <c r="L173" s="368"/>
    </row>
    <row r="174" spans="1:14" ht="115.5" hidden="1" customHeight="1" x14ac:dyDescent="0.25">
      <c r="A174" s="477"/>
      <c r="B174" s="421"/>
      <c r="C174" s="421"/>
      <c r="D174" s="421"/>
      <c r="E174" s="421"/>
      <c r="F174" s="1067"/>
      <c r="G174" s="1068"/>
      <c r="H174" s="476"/>
      <c r="I174" s="460"/>
      <c r="J174" s="368"/>
      <c r="K174" s="41"/>
      <c r="L174" s="41"/>
    </row>
    <row r="175" spans="1:14" ht="78.75" hidden="1" customHeight="1" x14ac:dyDescent="0.25">
      <c r="A175" s="504"/>
      <c r="B175" s="421"/>
      <c r="C175" s="421"/>
      <c r="D175" s="421"/>
      <c r="E175" s="421"/>
      <c r="F175" s="1067"/>
      <c r="G175" s="1068"/>
      <c r="H175" s="476"/>
      <c r="I175" s="460"/>
      <c r="J175" s="368"/>
      <c r="K175" s="41"/>
      <c r="L175" s="41"/>
    </row>
    <row r="176" spans="1:14" s="1" customFormat="1" ht="120.75" hidden="1" customHeight="1" x14ac:dyDescent="0.25">
      <c r="A176" s="477"/>
      <c r="B176" s="543"/>
      <c r="C176" s="543"/>
      <c r="D176" s="543"/>
      <c r="E176" s="543"/>
      <c r="F176" s="1069"/>
      <c r="G176" s="1070"/>
      <c r="H176" s="544"/>
      <c r="I176" s="228"/>
      <c r="J176" s="368"/>
      <c r="K176" s="84"/>
      <c r="L176" s="84"/>
    </row>
    <row r="177" spans="1:12" s="1" customFormat="1" ht="85.5" hidden="1" customHeight="1" x14ac:dyDescent="0.25">
      <c r="A177" s="504"/>
      <c r="B177" s="543"/>
      <c r="C177" s="543"/>
      <c r="D177" s="543"/>
      <c r="E177" s="543"/>
      <c r="F177" s="1069"/>
      <c r="G177" s="1070"/>
      <c r="H177" s="391"/>
      <c r="I177" s="375"/>
      <c r="J177" s="368"/>
      <c r="K177" s="84"/>
      <c r="L177" s="84"/>
    </row>
    <row r="178" spans="1:12" ht="87.75" hidden="1" customHeight="1" x14ac:dyDescent="0.25">
      <c r="A178" s="430"/>
      <c r="B178" s="391"/>
      <c r="C178" s="391"/>
      <c r="D178" s="391"/>
      <c r="E178" s="391"/>
      <c r="F178" s="1065"/>
      <c r="G178" s="1066"/>
      <c r="H178" s="391"/>
      <c r="I178" s="457"/>
      <c r="J178" s="368"/>
      <c r="K178" s="369"/>
      <c r="L178" s="369"/>
    </row>
    <row r="179" spans="1:12" ht="36" hidden="1" customHeight="1" x14ac:dyDescent="0.25">
      <c r="A179" s="430"/>
      <c r="B179" s="349"/>
      <c r="C179" s="349"/>
      <c r="D179" s="349"/>
      <c r="E179" s="349"/>
      <c r="F179" s="1119"/>
      <c r="G179" s="1120"/>
      <c r="H179" s="349"/>
      <c r="I179" s="378"/>
      <c r="J179" s="368"/>
      <c r="K179" s="84">
        <v>0</v>
      </c>
      <c r="L179" s="84">
        <v>0</v>
      </c>
    </row>
    <row r="180" spans="1:12" ht="53.25" hidden="1" customHeight="1" x14ac:dyDescent="0.25">
      <c r="A180" s="430"/>
      <c r="B180" s="349"/>
      <c r="C180" s="349"/>
      <c r="D180" s="349"/>
      <c r="E180" s="349"/>
      <c r="F180" s="1119"/>
      <c r="G180" s="1120"/>
      <c r="H180" s="349"/>
      <c r="I180" s="378"/>
      <c r="J180" s="368"/>
      <c r="K180" s="84">
        <v>0</v>
      </c>
      <c r="L180" s="84">
        <v>0</v>
      </c>
    </row>
    <row r="181" spans="1:12" ht="15.75" hidden="1" customHeight="1" x14ac:dyDescent="0.25">
      <c r="A181" s="380"/>
      <c r="B181" s="423"/>
      <c r="C181" s="423"/>
      <c r="D181" s="423"/>
      <c r="E181" s="423"/>
      <c r="F181" s="1121"/>
      <c r="G181" s="1122"/>
      <c r="H181" s="423"/>
      <c r="I181" s="442"/>
      <c r="J181" s="368"/>
      <c r="K181" s="84">
        <v>0</v>
      </c>
      <c r="L181" s="84">
        <v>0</v>
      </c>
    </row>
    <row r="182" spans="1:12" ht="39" hidden="1" customHeight="1" x14ac:dyDescent="0.25">
      <c r="A182" s="387"/>
      <c r="B182" s="423"/>
      <c r="C182" s="423"/>
      <c r="D182" s="423"/>
      <c r="E182" s="423"/>
      <c r="F182" s="1121"/>
      <c r="G182" s="1122"/>
      <c r="H182" s="423"/>
      <c r="I182" s="228"/>
      <c r="J182" s="368"/>
      <c r="K182" s="84">
        <v>0</v>
      </c>
      <c r="L182" s="84">
        <v>0</v>
      </c>
    </row>
    <row r="183" spans="1:12" ht="33.75" hidden="1" customHeight="1" x14ac:dyDescent="0.25">
      <c r="A183" s="380"/>
      <c r="B183" s="349"/>
      <c r="C183" s="349"/>
      <c r="D183" s="349"/>
      <c r="E183" s="349"/>
      <c r="F183" s="1119"/>
      <c r="G183" s="1120"/>
      <c r="H183" s="349"/>
      <c r="I183" s="424"/>
      <c r="J183" s="368"/>
      <c r="K183" s="84"/>
      <c r="L183" s="84"/>
    </row>
    <row r="184" spans="1:12" ht="15" customHeight="1" x14ac:dyDescent="0.25">
      <c r="A184" s="240"/>
      <c r="B184" s="1123" t="s">
        <v>961</v>
      </c>
      <c r="C184" s="1124"/>
      <c r="D184" s="1124"/>
      <c r="E184" s="1124"/>
      <c r="F184" s="1124"/>
      <c r="G184" s="1124"/>
      <c r="H184" s="1124"/>
      <c r="I184" s="1125"/>
      <c r="J184" s="46">
        <f>SUM(J185:J186)</f>
        <v>0</v>
      </c>
      <c r="K184" s="46">
        <f t="shared" ref="K184:L184" si="5">SUM(K170:K183)</f>
        <v>0</v>
      </c>
      <c r="L184" s="46">
        <f t="shared" si="5"/>
        <v>0</v>
      </c>
    </row>
    <row r="185" spans="1:12" ht="110.25" hidden="1" customHeight="1" x14ac:dyDescent="0.25">
      <c r="A185" s="82"/>
      <c r="B185" s="391"/>
      <c r="C185" s="391"/>
      <c r="D185" s="391"/>
      <c r="E185" s="391"/>
      <c r="F185" s="1065"/>
      <c r="G185" s="1066"/>
      <c r="H185" s="391"/>
      <c r="I185" s="375"/>
      <c r="J185" s="368"/>
      <c r="K185" s="84">
        <v>0</v>
      </c>
      <c r="L185" s="84">
        <v>0</v>
      </c>
    </row>
    <row r="186" spans="1:12" ht="42" hidden="1" customHeight="1" x14ac:dyDescent="0.25">
      <c r="A186" s="82"/>
      <c r="B186" s="542"/>
      <c r="C186" s="541"/>
      <c r="D186" s="541"/>
      <c r="E186" s="541"/>
      <c r="F186" s="1067"/>
      <c r="G186" s="1068"/>
      <c r="H186" s="416"/>
      <c r="I186" s="228"/>
      <c r="J186" s="368"/>
      <c r="K186" s="84">
        <v>0</v>
      </c>
      <c r="L186" s="84">
        <v>0</v>
      </c>
    </row>
    <row r="187" spans="1:12" x14ac:dyDescent="0.25">
      <c r="A187" s="82"/>
      <c r="B187" s="1123" t="s">
        <v>962</v>
      </c>
      <c r="C187" s="1124"/>
      <c r="D187" s="1124"/>
      <c r="E187" s="1124"/>
      <c r="F187" s="1124"/>
      <c r="G187" s="1124"/>
      <c r="H187" s="1124"/>
      <c r="I187" s="1125"/>
      <c r="J187" s="46">
        <f>J189+J190</f>
        <v>0</v>
      </c>
      <c r="K187" s="46">
        <f>K188</f>
        <v>0</v>
      </c>
      <c r="L187" s="46">
        <f>L188</f>
        <v>0</v>
      </c>
    </row>
    <row r="188" spans="1:12" hidden="1" x14ac:dyDescent="0.25">
      <c r="A188" s="370"/>
      <c r="B188" s="349"/>
      <c r="C188" s="349"/>
      <c r="D188" s="349"/>
      <c r="E188" s="349"/>
      <c r="F188" s="349"/>
      <c r="G188" s="349"/>
      <c r="H188" s="349"/>
      <c r="I188" s="400"/>
      <c r="J188" s="41"/>
      <c r="K188" s="84"/>
      <c r="L188" s="84"/>
    </row>
    <row r="189" spans="1:12" hidden="1" x14ac:dyDescent="0.25">
      <c r="A189" s="370"/>
      <c r="B189" s="425"/>
      <c r="C189" s="425"/>
      <c r="D189" s="425"/>
      <c r="E189" s="425"/>
      <c r="F189" s="1131"/>
      <c r="G189" s="1132"/>
      <c r="H189" s="425"/>
      <c r="I189" s="426"/>
      <c r="J189" s="427"/>
      <c r="K189" s="84">
        <v>0</v>
      </c>
      <c r="L189" s="84">
        <v>0</v>
      </c>
    </row>
    <row r="190" spans="1:12" hidden="1" x14ac:dyDescent="0.25">
      <c r="A190" s="370"/>
      <c r="B190" s="349"/>
      <c r="C190" s="349"/>
      <c r="D190" s="349"/>
      <c r="E190" s="349"/>
      <c r="F190" s="1119"/>
      <c r="G190" s="1120"/>
      <c r="H190" s="349"/>
      <c r="I190" s="400"/>
      <c r="J190" s="41"/>
      <c r="K190" s="84"/>
      <c r="L190" s="84"/>
    </row>
    <row r="191" spans="1:12" s="1" customFormat="1" x14ac:dyDescent="0.25">
      <c r="A191" s="26"/>
      <c r="B191" s="1133" t="s">
        <v>963</v>
      </c>
      <c r="C191" s="1134"/>
      <c r="D191" s="1134"/>
      <c r="E191" s="1134"/>
      <c r="F191" s="1134"/>
      <c r="G191" s="1134"/>
      <c r="H191" s="1134"/>
      <c r="I191" s="1135"/>
      <c r="J191" s="46">
        <f>SUM(J192:J200)</f>
        <v>0</v>
      </c>
      <c r="K191" s="46">
        <f>SUM(K192:K200)</f>
        <v>0</v>
      </c>
      <c r="L191" s="46">
        <f>SUM(L192:L200)</f>
        <v>0</v>
      </c>
    </row>
    <row r="192" spans="1:12" s="1" customFormat="1" ht="15" hidden="1" customHeight="1" x14ac:dyDescent="0.25">
      <c r="A192" s="428"/>
      <c r="B192" s="349"/>
      <c r="C192" s="349"/>
      <c r="D192" s="349"/>
      <c r="E192" s="349"/>
      <c r="F192" s="1119"/>
      <c r="G192" s="1120"/>
      <c r="H192" s="349"/>
      <c r="I192" s="400"/>
      <c r="J192" s="401"/>
      <c r="K192" s="110"/>
      <c r="L192" s="110"/>
    </row>
    <row r="193" spans="1:12" s="1" customFormat="1" hidden="1" x14ac:dyDescent="0.25">
      <c r="A193" s="428"/>
      <c r="B193" s="349"/>
      <c r="C193" s="349"/>
      <c r="D193" s="349"/>
      <c r="E193" s="349"/>
      <c r="F193" s="1119"/>
      <c r="G193" s="1120"/>
      <c r="H193" s="349"/>
      <c r="I193" s="400"/>
      <c r="J193" s="110"/>
      <c r="K193" s="429"/>
      <c r="L193" s="110"/>
    </row>
    <row r="194" spans="1:12" s="1" customFormat="1" ht="0.75" hidden="1" customHeight="1" x14ac:dyDescent="0.25">
      <c r="A194" s="430"/>
      <c r="B194" s="349"/>
      <c r="C194" s="349"/>
      <c r="D194" s="349"/>
      <c r="E194" s="349"/>
      <c r="F194" s="349"/>
      <c r="G194" s="349"/>
      <c r="H194" s="349"/>
      <c r="I194" s="36"/>
      <c r="J194" s="41"/>
      <c r="K194" s="110"/>
      <c r="L194" s="110"/>
    </row>
    <row r="195" spans="1:12" hidden="1" x14ac:dyDescent="0.25">
      <c r="A195" s="430"/>
      <c r="B195" s="349"/>
      <c r="C195" s="349"/>
      <c r="D195" s="349"/>
      <c r="E195" s="349"/>
      <c r="F195" s="349"/>
      <c r="G195" s="349"/>
      <c r="H195" s="349"/>
      <c r="I195" s="400"/>
      <c r="J195" s="41"/>
      <c r="K195" s="84"/>
      <c r="L195" s="84"/>
    </row>
    <row r="196" spans="1:12" hidden="1" x14ac:dyDescent="0.25">
      <c r="A196" s="78"/>
      <c r="B196" s="349"/>
      <c r="C196" s="349"/>
      <c r="D196" s="349"/>
      <c r="E196" s="349"/>
      <c r="F196" s="349"/>
      <c r="G196" s="349"/>
      <c r="H196" s="349"/>
      <c r="I196" s="431"/>
      <c r="J196" s="41"/>
      <c r="K196" s="84"/>
      <c r="L196" s="84"/>
    </row>
    <row r="197" spans="1:12" hidden="1" x14ac:dyDescent="0.25">
      <c r="A197" s="78"/>
      <c r="B197" s="349"/>
      <c r="C197" s="349"/>
      <c r="D197" s="349"/>
      <c r="E197" s="349"/>
      <c r="F197" s="349"/>
      <c r="G197" s="349"/>
      <c r="H197" s="349"/>
      <c r="I197" s="400"/>
      <c r="J197" s="41"/>
      <c r="K197" s="84"/>
      <c r="L197" s="84"/>
    </row>
    <row r="198" spans="1:12" hidden="1" x14ac:dyDescent="0.25">
      <c r="A198" s="78"/>
      <c r="B198" s="349"/>
      <c r="C198" s="349"/>
      <c r="D198" s="349"/>
      <c r="E198" s="349"/>
      <c r="F198" s="349"/>
      <c r="G198" s="349"/>
      <c r="H198" s="349"/>
      <c r="I198" s="400"/>
      <c r="J198" s="41"/>
      <c r="K198" s="84"/>
      <c r="L198" s="84"/>
    </row>
    <row r="199" spans="1:12" hidden="1" x14ac:dyDescent="0.25">
      <c r="A199" s="78"/>
      <c r="B199" s="349"/>
      <c r="C199" s="349"/>
      <c r="D199" s="349"/>
      <c r="E199" s="349"/>
      <c r="F199" s="1119"/>
      <c r="G199" s="1120"/>
      <c r="H199" s="349"/>
      <c r="I199" s="400"/>
      <c r="J199" s="41"/>
      <c r="K199" s="84"/>
      <c r="L199" s="84"/>
    </row>
    <row r="200" spans="1:12" hidden="1" x14ac:dyDescent="0.25">
      <c r="A200" s="432"/>
      <c r="B200" s="433"/>
      <c r="C200" s="433"/>
      <c r="D200" s="433"/>
      <c r="E200" s="433"/>
      <c r="F200" s="1127"/>
      <c r="G200" s="1128"/>
      <c r="H200" s="433"/>
      <c r="I200" s="434"/>
      <c r="J200" s="435"/>
      <c r="K200" s="436"/>
      <c r="L200" s="436"/>
    </row>
    <row r="201" spans="1:12" hidden="1" x14ac:dyDescent="0.25">
      <c r="A201" s="78"/>
      <c r="B201" s="349"/>
      <c r="C201" s="349"/>
      <c r="D201" s="349"/>
      <c r="E201" s="349"/>
      <c r="F201" s="349"/>
      <c r="G201" s="349"/>
      <c r="H201" s="349"/>
      <c r="I201" s="400"/>
      <c r="J201" s="41"/>
      <c r="K201" s="84"/>
      <c r="L201" s="84"/>
    </row>
    <row r="202" spans="1:12" x14ac:dyDescent="0.25">
      <c r="A202" s="82"/>
      <c r="B202" s="1097" t="s">
        <v>964</v>
      </c>
      <c r="C202" s="1098"/>
      <c r="D202" s="1098"/>
      <c r="E202" s="1098"/>
      <c r="F202" s="1098"/>
      <c r="G202" s="1098"/>
      <c r="H202" s="1098"/>
      <c r="I202" s="1099"/>
      <c r="J202" s="46">
        <f>J191+J170+J163+J160+J113+J103+J97+J90+J110+J184+J187+J100+J201</f>
        <v>0</v>
      </c>
      <c r="K202" s="46">
        <f>K191+K170+K163+K160+K113+K103+K97+K90+K110+K184+K187+K100+K201</f>
        <v>0</v>
      </c>
      <c r="L202" s="46">
        <f>L191+L170+L163+L160+L113+L103+L97+L90+L110+L184+L187+L100+L201</f>
        <v>0</v>
      </c>
    </row>
    <row r="203" spans="1:12" ht="10.5" customHeight="1" x14ac:dyDescent="0.25">
      <c r="I203" s="25"/>
      <c r="J203" s="64"/>
    </row>
    <row r="204" spans="1:12" hidden="1" x14ac:dyDescent="0.25">
      <c r="I204" s="25"/>
      <c r="J204" s="64"/>
    </row>
    <row r="205" spans="1:12" hidden="1" x14ac:dyDescent="0.25">
      <c r="I205" s="25"/>
      <c r="J205" s="64"/>
    </row>
    <row r="206" spans="1:12" s="1" customFormat="1" ht="34.5" customHeight="1" x14ac:dyDescent="0.25">
      <c r="A206" s="1129" t="s">
        <v>1062</v>
      </c>
      <c r="B206" s="1129"/>
      <c r="C206" s="1129"/>
      <c r="D206" s="1129"/>
      <c r="E206" s="1129"/>
      <c r="F206" s="1129"/>
      <c r="G206" s="1129"/>
      <c r="H206" s="1129"/>
      <c r="I206" s="976" t="s">
        <v>1088</v>
      </c>
      <c r="J206" s="976"/>
    </row>
    <row r="207" spans="1:12" ht="9.75" customHeight="1" x14ac:dyDescent="0.25"/>
    <row r="209" spans="1:14" x14ac:dyDescent="0.25">
      <c r="A209" s="1" t="s">
        <v>967</v>
      </c>
    </row>
    <row r="210" spans="1:14" ht="14.25" customHeight="1" x14ac:dyDescent="0.25">
      <c r="A210" s="1130" t="s">
        <v>968</v>
      </c>
      <c r="B210" s="1130"/>
    </row>
    <row r="211" spans="1:14" ht="0.75" hidden="1" customHeight="1" x14ac:dyDescent="0.25">
      <c r="B211" s="3"/>
      <c r="C211" s="76"/>
      <c r="D211" s="76"/>
      <c r="E211" s="76"/>
      <c r="F211" s="76"/>
      <c r="G211" s="76"/>
      <c r="H211" s="76"/>
      <c r="I211" s="76"/>
      <c r="J211" s="76" t="s">
        <v>969</v>
      </c>
      <c r="K211" s="364">
        <f>П2ДОХОДЫ!E170</f>
        <v>782475604.05999994</v>
      </c>
      <c r="N211" s="364"/>
    </row>
    <row r="212" spans="1:14" hidden="1" x14ac:dyDescent="0.25">
      <c r="B212" s="1126"/>
      <c r="C212" s="1126"/>
      <c r="D212" s="1126"/>
      <c r="E212" s="1126"/>
      <c r="F212" s="1126"/>
      <c r="G212" s="1126"/>
      <c r="H212" s="1126"/>
      <c r="I212" s="1126"/>
      <c r="J212" s="814" t="s">
        <v>969</v>
      </c>
      <c r="K212" s="364">
        <f>П2ДОХОДЫ!E170</f>
        <v>782475604.05999994</v>
      </c>
    </row>
    <row r="213" spans="1:14" ht="0.75" hidden="1" customHeight="1" x14ac:dyDescent="0.25">
      <c r="B213" s="976" t="s">
        <v>970</v>
      </c>
      <c r="C213" s="976"/>
      <c r="D213" s="976"/>
      <c r="E213" s="976"/>
      <c r="F213" s="976"/>
      <c r="G213" s="976"/>
      <c r="H213" s="976"/>
      <c r="I213" s="976"/>
      <c r="J213" s="5">
        <f>J214+J215+J216+J217</f>
        <v>0</v>
      </c>
      <c r="K213" s="5" t="e">
        <f>#REF!</f>
        <v>#REF!</v>
      </c>
      <c r="L213" s="5" t="e">
        <f>#REF!</f>
        <v>#REF!</v>
      </c>
    </row>
    <row r="214" spans="1:14" hidden="1" x14ac:dyDescent="0.25">
      <c r="B214" s="344"/>
      <c r="C214" s="344"/>
      <c r="D214" s="344"/>
      <c r="E214" s="344"/>
      <c r="F214" s="344"/>
      <c r="G214" s="344"/>
      <c r="H214" s="344"/>
      <c r="I214" s="438" t="s">
        <v>15</v>
      </c>
      <c r="J214" s="5"/>
      <c r="K214" s="5"/>
      <c r="L214" s="5"/>
    </row>
    <row r="215" spans="1:14" hidden="1" x14ac:dyDescent="0.25">
      <c r="B215" s="344"/>
      <c r="C215" s="344"/>
      <c r="D215" s="344"/>
      <c r="E215" s="344"/>
      <c r="F215" s="344"/>
      <c r="G215" s="344"/>
      <c r="H215" s="344"/>
      <c r="I215" s="438" t="s">
        <v>16</v>
      </c>
      <c r="J215" s="5"/>
      <c r="K215" s="5"/>
      <c r="L215" s="5"/>
    </row>
    <row r="216" spans="1:14" hidden="1" x14ac:dyDescent="0.25">
      <c r="B216" s="344"/>
      <c r="C216" s="344"/>
      <c r="D216" s="344"/>
      <c r="E216" s="344"/>
      <c r="F216" s="344"/>
      <c r="G216" s="344"/>
      <c r="H216" s="344"/>
      <c r="I216" s="438" t="s">
        <v>18</v>
      </c>
      <c r="J216" s="5"/>
      <c r="K216" s="5"/>
      <c r="L216" s="5"/>
    </row>
    <row r="217" spans="1:14" hidden="1" x14ac:dyDescent="0.25">
      <c r="B217" s="344"/>
      <c r="C217" s="344"/>
      <c r="D217" s="344"/>
      <c r="E217" s="344"/>
      <c r="F217" s="344"/>
      <c r="G217" s="344"/>
      <c r="H217" s="344"/>
      <c r="I217" s="438" t="s">
        <v>19</v>
      </c>
      <c r="J217" s="5"/>
      <c r="K217" s="5"/>
      <c r="L217" s="5"/>
    </row>
    <row r="218" spans="1:14" hidden="1" x14ac:dyDescent="0.25">
      <c r="B218" s="976" t="s">
        <v>971</v>
      </c>
      <c r="C218" s="976"/>
      <c r="D218" s="976"/>
      <c r="E218" s="976"/>
      <c r="F218" s="976"/>
      <c r="G218" s="976"/>
      <c r="H218" s="976"/>
      <c r="I218" s="976"/>
      <c r="J218" s="5" t="e">
        <f>J219+J220+J221+J222</f>
        <v>#REF!</v>
      </c>
      <c r="K218" s="5" t="e">
        <f>K7+K8+#REF!+#REF!+#REF!+#REF!+#REF!+#REF!+#REF!+#REF!+#REF!+#REF!+#REF!+#REF!</f>
        <v>#REF!</v>
      </c>
      <c r="L218" s="5" t="e">
        <f>L7+L8+#REF!+#REF!+#REF!+#REF!+#REF!+#REF!+#REF!+#REF!+#REF!+#REF!+#REF!+#REF!</f>
        <v>#REF!</v>
      </c>
    </row>
    <row r="219" spans="1:14" hidden="1" x14ac:dyDescent="0.25">
      <c r="B219" s="344"/>
      <c r="C219" s="344"/>
      <c r="D219" s="344"/>
      <c r="E219" s="344"/>
      <c r="F219" s="344"/>
      <c r="G219" s="344"/>
      <c r="H219" s="344"/>
      <c r="I219" s="438" t="s">
        <v>15</v>
      </c>
      <c r="J219" s="5">
        <f>J7+J8</f>
        <v>0</v>
      </c>
      <c r="K219" s="5"/>
      <c r="L219" s="5"/>
    </row>
    <row r="220" spans="1:14" hidden="1" x14ac:dyDescent="0.25">
      <c r="B220" s="344"/>
      <c r="C220" s="344"/>
      <c r="D220" s="344"/>
      <c r="E220" s="344"/>
      <c r="F220" s="344"/>
      <c r="G220" s="344"/>
      <c r="H220" s="344"/>
      <c r="I220" s="438" t="s">
        <v>16</v>
      </c>
      <c r="J220" s="5" t="e">
        <f>#REF!</f>
        <v>#REF!</v>
      </c>
      <c r="K220" s="5"/>
      <c r="L220" s="5"/>
    </row>
    <row r="221" spans="1:14" hidden="1" x14ac:dyDescent="0.25">
      <c r="B221" s="344"/>
      <c r="C221" s="344"/>
      <c r="D221" s="344"/>
      <c r="E221" s="344"/>
      <c r="F221" s="344"/>
      <c r="G221" s="344"/>
      <c r="H221" s="344"/>
      <c r="I221" s="438" t="s">
        <v>18</v>
      </c>
      <c r="J221" s="5">
        <v>0</v>
      </c>
      <c r="K221" s="5"/>
      <c r="L221" s="5"/>
    </row>
    <row r="222" spans="1:14" hidden="1" x14ac:dyDescent="0.25">
      <c r="B222" s="344"/>
      <c r="C222" s="344"/>
      <c r="D222" s="344"/>
      <c r="E222" s="344"/>
      <c r="F222" s="344"/>
      <c r="G222" s="344"/>
      <c r="H222" s="344"/>
      <c r="I222" s="438" t="s">
        <v>19</v>
      </c>
      <c r="J222" s="5">
        <v>0</v>
      </c>
      <c r="K222" s="5"/>
      <c r="L222" s="5"/>
    </row>
    <row r="223" spans="1:14" hidden="1" x14ac:dyDescent="0.25">
      <c r="B223" s="976" t="s">
        <v>260</v>
      </c>
      <c r="C223" s="976"/>
      <c r="D223" s="976"/>
      <c r="E223" s="976"/>
      <c r="F223" s="976"/>
      <c r="G223" s="976"/>
      <c r="H223" s="976"/>
      <c r="I223" s="976"/>
      <c r="J223" s="5" t="e">
        <f>SUM(J213:J218)</f>
        <v>#REF!</v>
      </c>
      <c r="K223" s="5" t="e">
        <f>SUM(K213:K218)</f>
        <v>#REF!</v>
      </c>
      <c r="L223" s="5" t="e">
        <f>SUM(L213:L218)</f>
        <v>#REF!</v>
      </c>
    </row>
    <row r="224" spans="1:14" hidden="1" x14ac:dyDescent="0.25">
      <c r="B224" s="1126" t="s">
        <v>948</v>
      </c>
      <c r="C224" s="1126"/>
      <c r="D224" s="1126"/>
      <c r="E224" s="1126"/>
      <c r="F224" s="1126"/>
      <c r="G224" s="1126"/>
      <c r="H224" s="1126"/>
      <c r="I224" s="1126"/>
      <c r="J224" s="437"/>
    </row>
    <row r="225" spans="2:12" hidden="1" x14ac:dyDescent="0.25">
      <c r="B225" s="976" t="s">
        <v>972</v>
      </c>
      <c r="C225" s="976"/>
      <c r="D225" s="976"/>
      <c r="E225" s="976"/>
      <c r="F225" s="976"/>
      <c r="G225" s="976"/>
      <c r="H225" s="976"/>
      <c r="I225" s="976"/>
      <c r="J225" s="5">
        <v>0</v>
      </c>
      <c r="K225" s="5">
        <f>K79+K81</f>
        <v>0</v>
      </c>
      <c r="L225" s="5">
        <f>L79+L81</f>
        <v>0</v>
      </c>
    </row>
    <row r="226" spans="2:12" hidden="1" x14ac:dyDescent="0.25">
      <c r="B226" s="976" t="s">
        <v>973</v>
      </c>
      <c r="C226" s="976"/>
      <c r="D226" s="976"/>
      <c r="E226" s="976"/>
      <c r="F226" s="976"/>
      <c r="G226" s="976"/>
      <c r="H226" s="976"/>
      <c r="I226" s="976"/>
      <c r="J226" s="5">
        <f>J79</f>
        <v>0</v>
      </c>
      <c r="K226" s="5"/>
      <c r="L226" s="5"/>
    </row>
    <row r="227" spans="2:12" hidden="1" x14ac:dyDescent="0.25">
      <c r="B227" s="976" t="s">
        <v>974</v>
      </c>
      <c r="C227" s="976"/>
      <c r="D227" s="976"/>
      <c r="E227" s="976"/>
      <c r="F227" s="976"/>
      <c r="G227" s="976"/>
      <c r="H227" s="976"/>
      <c r="I227" s="976"/>
      <c r="J227" s="5">
        <f>J80</f>
        <v>0</v>
      </c>
      <c r="K227" s="5">
        <f>K80</f>
        <v>0</v>
      </c>
      <c r="L227" s="5">
        <f>L80</f>
        <v>0</v>
      </c>
    </row>
    <row r="228" spans="2:12" hidden="1" x14ac:dyDescent="0.25">
      <c r="B228" s="976" t="s">
        <v>260</v>
      </c>
      <c r="C228" s="976"/>
      <c r="D228" s="976"/>
      <c r="E228" s="976"/>
      <c r="F228" s="976"/>
      <c r="G228" s="976"/>
      <c r="H228" s="976"/>
      <c r="I228" s="976"/>
      <c r="J228" s="5">
        <f>SUM(J225:J227)</f>
        <v>0</v>
      </c>
      <c r="K228" s="5">
        <f>SUM(K225:K227)</f>
        <v>0</v>
      </c>
      <c r="L228" s="5">
        <f>SUM(L225:L227)</f>
        <v>0</v>
      </c>
    </row>
    <row r="229" spans="2:12" hidden="1" x14ac:dyDescent="0.25">
      <c r="B229" s="1126" t="s">
        <v>950</v>
      </c>
      <c r="C229" s="1126"/>
      <c r="D229" s="1126"/>
      <c r="E229" s="1126"/>
      <c r="F229" s="1126"/>
      <c r="G229" s="1126"/>
      <c r="H229" s="1126"/>
      <c r="I229" s="1126"/>
      <c r="J229" s="437"/>
    </row>
    <row r="230" spans="2:12" hidden="1" x14ac:dyDescent="0.25">
      <c r="B230" s="976" t="s">
        <v>975</v>
      </c>
      <c r="C230" s="976"/>
      <c r="D230" s="976"/>
      <c r="E230" s="976"/>
      <c r="F230" s="976"/>
      <c r="G230" s="976"/>
      <c r="H230" s="976"/>
      <c r="I230" s="976"/>
      <c r="J230" s="64" t="e">
        <f>#REF!+#REF!+#REF!+#REF!+#REF!+J91+#REF!+#REF!+#REF!+#REF!+J185+#REF!+#REF!+#REF!+J104+J105+#REF!+J176+#REF!+#REF!</f>
        <v>#REF!</v>
      </c>
      <c r="K230" s="64" t="e">
        <f>#REF!+#REF!+#REF!+K91+K98+#REF!+#REF!+#REF!+K104+K105</f>
        <v>#REF!</v>
      </c>
      <c r="L230" s="64" t="e">
        <f>#REF!+#REF!+#REF!+L91+L98+#REF!+#REF!+#REF!+L104+L105</f>
        <v>#REF!</v>
      </c>
    </row>
    <row r="231" spans="2:12" hidden="1" x14ac:dyDescent="0.25">
      <c r="B231" s="976" t="s">
        <v>976</v>
      </c>
      <c r="C231" s="976"/>
      <c r="D231" s="976"/>
      <c r="E231" s="976"/>
      <c r="F231" s="976"/>
      <c r="G231" s="976"/>
      <c r="H231" s="976"/>
      <c r="I231" s="976"/>
      <c r="J231" s="64">
        <f>J187</f>
        <v>0</v>
      </c>
      <c r="K231" s="64">
        <f>K201+K192</f>
        <v>0</v>
      </c>
      <c r="L231" s="64">
        <f>L201+L192</f>
        <v>0</v>
      </c>
    </row>
    <row r="232" spans="2:12" hidden="1" x14ac:dyDescent="0.25">
      <c r="B232" s="976" t="s">
        <v>977</v>
      </c>
      <c r="C232" s="976"/>
      <c r="D232" s="976"/>
      <c r="E232" s="976"/>
      <c r="F232" s="976"/>
      <c r="G232" s="976"/>
      <c r="H232" s="976"/>
      <c r="I232" s="976"/>
      <c r="J232" s="64">
        <f>J114+J115+J116</f>
        <v>0</v>
      </c>
      <c r="K232" s="64">
        <f>K117+K116+K115+K120+K121+K122+K123+K124+K125+K126+K127+K128+K130+K131+K132+K133+K134+K135+K136+K137</f>
        <v>0</v>
      </c>
      <c r="L232" s="64">
        <f>L117+L116+L115+L120+L121+L122+L123+L124+L125+L126+L127+L128+L130+L131+L132+L133+L134+L135+L136+L137</f>
        <v>0</v>
      </c>
    </row>
    <row r="233" spans="2:12" hidden="1" x14ac:dyDescent="0.25">
      <c r="B233" s="976" t="s">
        <v>978</v>
      </c>
      <c r="C233" s="976"/>
      <c r="D233" s="976"/>
      <c r="E233" s="976"/>
      <c r="F233" s="976"/>
      <c r="G233" s="976"/>
      <c r="H233" s="976"/>
      <c r="I233" s="976"/>
      <c r="J233" s="64" t="e">
        <f>#REF!+#REF!</f>
        <v>#REF!</v>
      </c>
      <c r="K233" s="64" t="e">
        <f>K118+#REF!</f>
        <v>#REF!</v>
      </c>
      <c r="L233" s="64" t="e">
        <f>L118+#REF!</f>
        <v>#REF!</v>
      </c>
    </row>
    <row r="234" spans="2:12" hidden="1" x14ac:dyDescent="0.25">
      <c r="B234" s="976" t="s">
        <v>260</v>
      </c>
      <c r="C234" s="976"/>
      <c r="D234" s="976"/>
      <c r="E234" s="976"/>
      <c r="F234" s="976"/>
      <c r="G234" s="976"/>
      <c r="H234" s="976"/>
      <c r="I234" s="976"/>
      <c r="J234" s="64" t="e">
        <f>SUM(J230:J233)</f>
        <v>#REF!</v>
      </c>
      <c r="K234" s="64" t="e">
        <f>SUM(K230:K233)</f>
        <v>#REF!</v>
      </c>
      <c r="L234" s="64" t="e">
        <f>SUM(L230:L233)</f>
        <v>#REF!</v>
      </c>
    </row>
    <row r="235" spans="2:12" hidden="1" x14ac:dyDescent="0.25">
      <c r="B235" s="1126"/>
      <c r="C235" s="1126"/>
      <c r="D235" s="1126"/>
      <c r="E235" s="1126"/>
      <c r="F235" s="1126"/>
      <c r="G235" s="1126"/>
      <c r="H235" s="1126"/>
      <c r="I235" s="1126"/>
      <c r="J235" s="439"/>
      <c r="K235" s="439"/>
      <c r="L235" s="439" t="e">
        <f>L223-(L234-L228)</f>
        <v>#REF!</v>
      </c>
    </row>
    <row r="236" spans="2:12" hidden="1" x14ac:dyDescent="0.25">
      <c r="J236" s="28" t="s">
        <v>980</v>
      </c>
      <c r="K236" s="364">
        <f>П4ВСР!Z698</f>
        <v>911824309</v>
      </c>
    </row>
    <row r="237" spans="2:12" hidden="1" x14ac:dyDescent="0.25">
      <c r="I237" s="344"/>
      <c r="J237" s="28" t="s">
        <v>981</v>
      </c>
      <c r="K237" s="364">
        <f>П2ДОХОДЫ!E13</f>
        <v>219266470.66000003</v>
      </c>
    </row>
    <row r="238" spans="2:12" hidden="1" x14ac:dyDescent="0.25">
      <c r="J238" s="28" t="s">
        <v>982</v>
      </c>
      <c r="K238" s="364">
        <f>K211-K236</f>
        <v>-129348704.94000006</v>
      </c>
    </row>
    <row r="239" spans="2:12" hidden="1" x14ac:dyDescent="0.25">
      <c r="K239" s="364">
        <f>П1ИВФ!C18</f>
        <v>2360000</v>
      </c>
    </row>
    <row r="240" spans="2:12" hidden="1" x14ac:dyDescent="0.25">
      <c r="K240" s="3">
        <f>K239/K237*100</f>
        <v>1.0763159514978804</v>
      </c>
    </row>
    <row r="241" spans="10:12" hidden="1" x14ac:dyDescent="0.25"/>
    <row r="242" spans="10:12" hidden="1" x14ac:dyDescent="0.25">
      <c r="J242" s="64"/>
      <c r="K242" s="364"/>
    </row>
    <row r="243" spans="10:12" hidden="1" x14ac:dyDescent="0.25">
      <c r="J243" s="28" t="s">
        <v>1496</v>
      </c>
      <c r="K243" s="364">
        <f>J114+J104+J105+J99+J98+J95+J94+J93+J92+J91+J161+J185+J109+J108+J107+J106</f>
        <v>-961458</v>
      </c>
    </row>
    <row r="244" spans="10:12" hidden="1" x14ac:dyDescent="0.25">
      <c r="K244" s="364"/>
    </row>
    <row r="245" spans="10:12" hidden="1" x14ac:dyDescent="0.25"/>
    <row r="246" spans="10:12" hidden="1" x14ac:dyDescent="0.25">
      <c r="K246" s="364"/>
    </row>
    <row r="247" spans="10:12" hidden="1" x14ac:dyDescent="0.25"/>
    <row r="248" spans="10:12" hidden="1" x14ac:dyDescent="0.25"/>
    <row r="249" spans="10:12" x14ac:dyDescent="0.25">
      <c r="L249" s="364"/>
    </row>
    <row r="250" spans="10:12" x14ac:dyDescent="0.25">
      <c r="L250" s="364"/>
    </row>
    <row r="251" spans="10:12" x14ac:dyDescent="0.25">
      <c r="K251" s="28"/>
      <c r="L251" s="364"/>
    </row>
    <row r="252" spans="10:12" x14ac:dyDescent="0.25">
      <c r="K252" s="28"/>
      <c r="L252" s="364"/>
    </row>
    <row r="253" spans="10:12" x14ac:dyDescent="0.25">
      <c r="J253" s="76"/>
      <c r="K253" s="28"/>
      <c r="L253" s="364"/>
    </row>
    <row r="254" spans="10:12" x14ac:dyDescent="0.25">
      <c r="J254" s="437"/>
    </row>
  </sheetData>
  <mergeCells count="147">
    <mergeCell ref="I91:I92"/>
    <mergeCell ref="A91:A92"/>
    <mergeCell ref="B91:B92"/>
    <mergeCell ref="C91:C92"/>
    <mergeCell ref="D91:D92"/>
    <mergeCell ref="E91:E92"/>
    <mergeCell ref="F91:G92"/>
    <mergeCell ref="F120:G120"/>
    <mergeCell ref="F121:G121"/>
    <mergeCell ref="F114:G114"/>
    <mergeCell ref="F115:G115"/>
    <mergeCell ref="F109:G109"/>
    <mergeCell ref="B110:I110"/>
    <mergeCell ref="B113:I113"/>
    <mergeCell ref="F104:G104"/>
    <mergeCell ref="F99:G99"/>
    <mergeCell ref="B100:I100"/>
    <mergeCell ref="B97:I97"/>
    <mergeCell ref="F98:G98"/>
    <mergeCell ref="F96:G96"/>
    <mergeCell ref="F93:G93"/>
    <mergeCell ref="F94:G94"/>
    <mergeCell ref="F95:G95"/>
    <mergeCell ref="B103:I103"/>
    <mergeCell ref="F199:G199"/>
    <mergeCell ref="F200:G200"/>
    <mergeCell ref="B202:I202"/>
    <mergeCell ref="A206:H206"/>
    <mergeCell ref="I206:J206"/>
    <mergeCell ref="A210:B210"/>
    <mergeCell ref="B187:I187"/>
    <mergeCell ref="F189:G189"/>
    <mergeCell ref="F190:G190"/>
    <mergeCell ref="B191:I191"/>
    <mergeCell ref="F192:G192"/>
    <mergeCell ref="F193:G193"/>
    <mergeCell ref="B234:I234"/>
    <mergeCell ref="B235:I235"/>
    <mergeCell ref="B226:I226"/>
    <mergeCell ref="B227:I227"/>
    <mergeCell ref="B228:I228"/>
    <mergeCell ref="B229:I229"/>
    <mergeCell ref="B230:I230"/>
    <mergeCell ref="B231:I231"/>
    <mergeCell ref="B212:I212"/>
    <mergeCell ref="B213:I213"/>
    <mergeCell ref="B218:I218"/>
    <mergeCell ref="B223:I223"/>
    <mergeCell ref="B224:I224"/>
    <mergeCell ref="B225:I225"/>
    <mergeCell ref="B232:I232"/>
    <mergeCell ref="B233:I233"/>
    <mergeCell ref="F185:G185"/>
    <mergeCell ref="F186:G186"/>
    <mergeCell ref="F179:G179"/>
    <mergeCell ref="F180:G180"/>
    <mergeCell ref="F181:G181"/>
    <mergeCell ref="F182:G182"/>
    <mergeCell ref="F175:G175"/>
    <mergeCell ref="F176:G176"/>
    <mergeCell ref="F177:G177"/>
    <mergeCell ref="F178:G178"/>
    <mergeCell ref="F183:G183"/>
    <mergeCell ref="B184:I184"/>
    <mergeCell ref="F173:G173"/>
    <mergeCell ref="F174:G174"/>
    <mergeCell ref="B163:I163"/>
    <mergeCell ref="F169:G169"/>
    <mergeCell ref="F164:G164"/>
    <mergeCell ref="F153:G153"/>
    <mergeCell ref="B170:I170"/>
    <mergeCell ref="F171:G171"/>
    <mergeCell ref="F172:G172"/>
    <mergeCell ref="F159:G159"/>
    <mergeCell ref="B160:I160"/>
    <mergeCell ref="F154:G154"/>
    <mergeCell ref="F155:G155"/>
    <mergeCell ref="F156:G156"/>
    <mergeCell ref="F157:G157"/>
    <mergeCell ref="F158:G158"/>
    <mergeCell ref="B90:I90"/>
    <mergeCell ref="B87:J87"/>
    <mergeCell ref="A88:A89"/>
    <mergeCell ref="B88:B89"/>
    <mergeCell ref="C88:C89"/>
    <mergeCell ref="D88:D89"/>
    <mergeCell ref="E88:G89"/>
    <mergeCell ref="H88:H89"/>
    <mergeCell ref="I88:I89"/>
    <mergeCell ref="J88:L88"/>
    <mergeCell ref="I101:I102"/>
    <mergeCell ref="F141:G141"/>
    <mergeCell ref="F142:G142"/>
    <mergeCell ref="F139:G139"/>
    <mergeCell ref="F140:G140"/>
    <mergeCell ref="A1:L1"/>
    <mergeCell ref="A2:L2"/>
    <mergeCell ref="A4:L4"/>
    <mergeCell ref="A5:A6"/>
    <mergeCell ref="B5:H6"/>
    <mergeCell ref="I5:I6"/>
    <mergeCell ref="J5:L5"/>
    <mergeCell ref="B79:H79"/>
    <mergeCell ref="B80:H80"/>
    <mergeCell ref="B81:H81"/>
    <mergeCell ref="B82:H82"/>
    <mergeCell ref="B83:H83"/>
    <mergeCell ref="B84:I84"/>
    <mergeCell ref="B74:I74"/>
    <mergeCell ref="B76:J76"/>
    <mergeCell ref="A77:A78"/>
    <mergeCell ref="B77:H78"/>
    <mergeCell ref="I77:I78"/>
    <mergeCell ref="J77:L77"/>
    <mergeCell ref="F149:G149"/>
    <mergeCell ref="F150:G150"/>
    <mergeCell ref="F151:G151"/>
    <mergeCell ref="F145:G145"/>
    <mergeCell ref="A161:A162"/>
    <mergeCell ref="I161:I162"/>
    <mergeCell ref="C161:C162"/>
    <mergeCell ref="D161:D162"/>
    <mergeCell ref="E161:E162"/>
    <mergeCell ref="F161:G162"/>
    <mergeCell ref="F152:G152"/>
    <mergeCell ref="A101:A102"/>
    <mergeCell ref="C101:C102"/>
    <mergeCell ref="D101:D102"/>
    <mergeCell ref="E101:E102"/>
    <mergeCell ref="F101:G102"/>
    <mergeCell ref="F146:G146"/>
    <mergeCell ref="F147:G147"/>
    <mergeCell ref="F148:G148"/>
    <mergeCell ref="F136:G136"/>
    <mergeCell ref="F137:G137"/>
    <mergeCell ref="F138:G138"/>
    <mergeCell ref="F105:G105"/>
    <mergeCell ref="F108:G108"/>
    <mergeCell ref="F117:G117"/>
    <mergeCell ref="F118:G118"/>
    <mergeCell ref="F119:G119"/>
    <mergeCell ref="F144:G144"/>
    <mergeCell ref="F122:G122"/>
    <mergeCell ref="F123:G123"/>
    <mergeCell ref="F135:G135"/>
    <mergeCell ref="F116:G116"/>
    <mergeCell ref="F143:G143"/>
  </mergeCells>
  <pageMargins left="0.70866141732283472" right="0.70866141732283472" top="0" bottom="0" header="0.31496062992125984" footer="0.31496062992125984"/>
  <pageSetup paperSize="9" scale="77" fitToHeight="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6"/>
  <sheetViews>
    <sheetView topLeftCell="A100" workbookViewId="0">
      <selection activeCell="I147" sqref="I147"/>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82" t="s">
        <v>943</v>
      </c>
      <c r="B1" s="1082"/>
      <c r="C1" s="1082"/>
      <c r="D1" s="1082"/>
      <c r="E1" s="1082"/>
      <c r="F1" s="1082"/>
      <c r="G1" s="1082"/>
      <c r="H1" s="1082"/>
      <c r="I1" s="1082"/>
      <c r="J1" s="1082"/>
      <c r="K1" s="1082"/>
      <c r="L1" s="1082"/>
    </row>
    <row r="2" spans="1:12" x14ac:dyDescent="0.25">
      <c r="A2" s="915" t="s">
        <v>1413</v>
      </c>
      <c r="B2" s="915"/>
      <c r="C2" s="915"/>
      <c r="D2" s="915"/>
      <c r="E2" s="915"/>
      <c r="F2" s="915"/>
      <c r="G2" s="915"/>
      <c r="H2" s="915"/>
      <c r="I2" s="915"/>
      <c r="J2" s="915"/>
      <c r="K2" s="915"/>
      <c r="L2" s="915"/>
    </row>
    <row r="4" spans="1:12" x14ac:dyDescent="0.25">
      <c r="A4" s="1083" t="s">
        <v>944</v>
      </c>
      <c r="B4" s="1083"/>
      <c r="C4" s="1083"/>
      <c r="D4" s="1083"/>
      <c r="E4" s="1083"/>
      <c r="F4" s="1083"/>
      <c r="G4" s="1083"/>
      <c r="H4" s="1083"/>
      <c r="I4" s="1083"/>
      <c r="J4" s="1083"/>
      <c r="K4" s="1083"/>
      <c r="L4" s="1083"/>
    </row>
    <row r="5" spans="1:12" x14ac:dyDescent="0.25">
      <c r="A5" s="1084" t="s">
        <v>945</v>
      </c>
      <c r="B5" s="1086" t="s">
        <v>121</v>
      </c>
      <c r="C5" s="1087"/>
      <c r="D5" s="1087"/>
      <c r="E5" s="1087"/>
      <c r="F5" s="1087"/>
      <c r="G5" s="1087"/>
      <c r="H5" s="1088"/>
      <c r="I5" s="916" t="s">
        <v>1</v>
      </c>
      <c r="J5" s="920" t="s">
        <v>946</v>
      </c>
      <c r="K5" s="921"/>
      <c r="L5" s="922"/>
    </row>
    <row r="6" spans="1:12" x14ac:dyDescent="0.25">
      <c r="A6" s="1085"/>
      <c r="B6" s="1089"/>
      <c r="C6" s="1090"/>
      <c r="D6" s="1090"/>
      <c r="E6" s="1090"/>
      <c r="F6" s="1090"/>
      <c r="G6" s="1090"/>
      <c r="H6" s="1091"/>
      <c r="I6" s="917"/>
      <c r="J6" s="734">
        <v>2019</v>
      </c>
      <c r="K6" s="78">
        <v>2020</v>
      </c>
      <c r="L6" s="78">
        <v>2021</v>
      </c>
    </row>
    <row r="7" spans="1:12" x14ac:dyDescent="0.25">
      <c r="A7" s="348"/>
      <c r="B7" s="349"/>
      <c r="C7" s="349"/>
      <c r="D7" s="349"/>
      <c r="E7" s="349"/>
      <c r="F7" s="349"/>
      <c r="G7" s="349"/>
      <c r="H7" s="349"/>
      <c r="I7" s="440"/>
      <c r="J7" s="351"/>
      <c r="K7" s="41">
        <v>0</v>
      </c>
      <c r="L7" s="41">
        <v>0</v>
      </c>
    </row>
    <row r="8" spans="1:12" ht="14.25" hidden="1" customHeight="1" x14ac:dyDescent="0.25">
      <c r="A8" s="348"/>
      <c r="B8" s="349"/>
      <c r="C8" s="349"/>
      <c r="D8" s="349"/>
      <c r="E8" s="349"/>
      <c r="F8" s="349"/>
      <c r="G8" s="349"/>
      <c r="H8" s="349"/>
      <c r="I8" s="458"/>
      <c r="J8" s="351"/>
      <c r="K8" s="41"/>
      <c r="L8" s="41"/>
    </row>
    <row r="9" spans="1:12" hidden="1" x14ac:dyDescent="0.25">
      <c r="A9" s="348"/>
      <c r="B9" s="352"/>
      <c r="C9" s="352"/>
      <c r="D9" s="352"/>
      <c r="E9" s="352"/>
      <c r="F9" s="352"/>
      <c r="G9" s="352"/>
      <c r="H9" s="352"/>
      <c r="I9" s="456"/>
      <c r="J9" s="353"/>
      <c r="K9" s="369"/>
      <c r="L9" s="369"/>
    </row>
    <row r="10" spans="1:12" hidden="1" x14ac:dyDescent="0.25">
      <c r="A10" s="348"/>
      <c r="B10" s="354"/>
      <c r="C10" s="354"/>
      <c r="D10" s="354"/>
      <c r="E10" s="354"/>
      <c r="F10" s="354"/>
      <c r="G10" s="354"/>
      <c r="H10" s="354"/>
      <c r="I10" s="440"/>
      <c r="J10" s="355"/>
      <c r="K10" s="110"/>
      <c r="L10" s="110"/>
    </row>
    <row r="11" spans="1:12" hidden="1" x14ac:dyDescent="0.25">
      <c r="A11" s="348"/>
      <c r="B11" s="354"/>
      <c r="C11" s="354"/>
      <c r="D11" s="354"/>
      <c r="E11" s="354"/>
      <c r="F11" s="354"/>
      <c r="G11" s="354"/>
      <c r="H11" s="354"/>
      <c r="I11" s="458"/>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40"/>
      <c r="J13" s="355"/>
      <c r="K13" s="369"/>
      <c r="L13" s="369"/>
    </row>
    <row r="14" spans="1:12" hidden="1" x14ac:dyDescent="0.25">
      <c r="A14" s="348"/>
      <c r="B14" s="354"/>
      <c r="C14" s="354"/>
      <c r="D14" s="354"/>
      <c r="E14" s="354"/>
      <c r="F14" s="354"/>
      <c r="G14" s="354"/>
      <c r="H14" s="354"/>
      <c r="I14" s="479"/>
      <c r="J14" s="355"/>
      <c r="K14" s="110"/>
      <c r="L14" s="110"/>
    </row>
    <row r="15" spans="1:12" hidden="1" x14ac:dyDescent="0.25">
      <c r="A15" s="348"/>
      <c r="B15" s="354"/>
      <c r="C15" s="354"/>
      <c r="D15" s="354"/>
      <c r="E15" s="354"/>
      <c r="F15" s="354"/>
      <c r="G15" s="354"/>
      <c r="H15" s="354"/>
      <c r="I15" s="440"/>
      <c r="J15" s="355"/>
      <c r="K15" s="110"/>
      <c r="L15" s="110"/>
    </row>
    <row r="16" spans="1:12" hidden="1" x14ac:dyDescent="0.25">
      <c r="A16" s="348"/>
      <c r="B16" s="354"/>
      <c r="C16" s="354"/>
      <c r="D16" s="354"/>
      <c r="E16" s="354"/>
      <c r="F16" s="354"/>
      <c r="G16" s="354"/>
      <c r="H16" s="354"/>
      <c r="I16" s="440"/>
      <c r="J16" s="355"/>
      <c r="K16" s="110"/>
      <c r="L16" s="110"/>
    </row>
    <row r="17" spans="1:12" hidden="1" x14ac:dyDescent="0.25">
      <c r="A17" s="348"/>
      <c r="B17" s="354"/>
      <c r="C17" s="354"/>
      <c r="D17" s="354"/>
      <c r="E17" s="354"/>
      <c r="F17" s="354"/>
      <c r="G17" s="354"/>
      <c r="H17" s="354"/>
      <c r="I17" s="440"/>
      <c r="J17" s="355"/>
      <c r="K17" s="369"/>
      <c r="L17" s="369"/>
    </row>
    <row r="18" spans="1:12" hidden="1" x14ac:dyDescent="0.25">
      <c r="A18" s="348"/>
      <c r="B18" s="354"/>
      <c r="C18" s="354"/>
      <c r="D18" s="354"/>
      <c r="E18" s="354"/>
      <c r="F18" s="354"/>
      <c r="G18" s="354"/>
      <c r="H18" s="354"/>
      <c r="I18" s="456"/>
      <c r="J18" s="355"/>
      <c r="K18" s="369"/>
      <c r="L18" s="369"/>
    </row>
    <row r="19" spans="1:12" hidden="1" x14ac:dyDescent="0.25">
      <c r="A19" s="348"/>
      <c r="B19" s="354"/>
      <c r="C19" s="354"/>
      <c r="D19" s="354"/>
      <c r="E19" s="354"/>
      <c r="F19" s="354"/>
      <c r="G19" s="354"/>
      <c r="H19" s="354"/>
      <c r="I19" s="350"/>
      <c r="J19" s="355"/>
      <c r="K19" s="369"/>
      <c r="L19" s="369"/>
    </row>
    <row r="20" spans="1:12" hidden="1" x14ac:dyDescent="0.25">
      <c r="A20" s="348"/>
      <c r="B20" s="354"/>
      <c r="C20" s="354"/>
      <c r="D20" s="354"/>
      <c r="E20" s="354"/>
      <c r="F20" s="354"/>
      <c r="G20" s="354"/>
      <c r="H20" s="354"/>
      <c r="I20" s="440"/>
      <c r="J20" s="355"/>
      <c r="K20" s="110"/>
      <c r="L20" s="110"/>
    </row>
    <row r="21" spans="1:12" hidden="1" x14ac:dyDescent="0.25">
      <c r="A21" s="348"/>
      <c r="B21" s="354"/>
      <c r="C21" s="354"/>
      <c r="D21" s="354"/>
      <c r="E21" s="354"/>
      <c r="F21" s="354"/>
      <c r="G21" s="354"/>
      <c r="H21" s="354"/>
      <c r="I21" s="511"/>
      <c r="J21" s="355"/>
      <c r="K21" s="110"/>
      <c r="L21" s="110"/>
    </row>
    <row r="22" spans="1:12" hidden="1" x14ac:dyDescent="0.25">
      <c r="A22" s="348"/>
      <c r="B22" s="354"/>
      <c r="C22" s="354"/>
      <c r="D22" s="354"/>
      <c r="E22" s="354"/>
      <c r="F22" s="354"/>
      <c r="G22" s="354"/>
      <c r="H22" s="354"/>
      <c r="I22" s="358"/>
      <c r="J22" s="355"/>
      <c r="K22" s="110"/>
      <c r="L22" s="110"/>
    </row>
    <row r="23" spans="1:12" hidden="1" x14ac:dyDescent="0.25">
      <c r="A23" s="348"/>
      <c r="B23" s="354"/>
      <c r="C23" s="354"/>
      <c r="D23" s="354"/>
      <c r="E23" s="354"/>
      <c r="F23" s="354"/>
      <c r="G23" s="354"/>
      <c r="H23" s="354"/>
      <c r="I23" s="356"/>
      <c r="J23" s="355"/>
      <c r="K23" s="110"/>
      <c r="L23" s="110"/>
    </row>
    <row r="24" spans="1:12" hidden="1" x14ac:dyDescent="0.25">
      <c r="A24" s="348"/>
      <c r="B24" s="354"/>
      <c r="C24" s="354"/>
      <c r="D24" s="354"/>
      <c r="E24" s="354"/>
      <c r="F24" s="354"/>
      <c r="G24" s="354"/>
      <c r="H24" s="354"/>
      <c r="I24" s="350"/>
      <c r="J24" s="355"/>
      <c r="K24" s="110"/>
      <c r="L24" s="110"/>
    </row>
    <row r="25" spans="1:12" hidden="1" x14ac:dyDescent="0.25">
      <c r="A25" s="348"/>
      <c r="B25" s="354"/>
      <c r="C25" s="354"/>
      <c r="D25" s="354"/>
      <c r="E25" s="354"/>
      <c r="F25" s="354"/>
      <c r="G25" s="354"/>
      <c r="H25" s="354"/>
      <c r="I25" s="350"/>
      <c r="J25" s="355"/>
      <c r="K25" s="110"/>
      <c r="L25" s="110"/>
    </row>
    <row r="26" spans="1:12" hidden="1" x14ac:dyDescent="0.25">
      <c r="A26" s="348"/>
      <c r="B26" s="354"/>
      <c r="C26" s="354"/>
      <c r="D26" s="354"/>
      <c r="E26" s="354"/>
      <c r="F26" s="354"/>
      <c r="G26" s="354"/>
      <c r="H26" s="354"/>
      <c r="I26" s="350"/>
      <c r="J26" s="355"/>
      <c r="K26" s="110"/>
      <c r="L26" s="110"/>
    </row>
    <row r="27" spans="1:12" hidden="1" x14ac:dyDescent="0.25">
      <c r="A27" s="348"/>
      <c r="B27" s="354"/>
      <c r="C27" s="354"/>
      <c r="D27" s="354"/>
      <c r="E27" s="354"/>
      <c r="F27" s="354"/>
      <c r="G27" s="354"/>
      <c r="H27" s="354"/>
      <c r="I27" s="350"/>
      <c r="J27" s="355"/>
      <c r="K27" s="110"/>
      <c r="L27" s="110"/>
    </row>
    <row r="28" spans="1:12" hidden="1" x14ac:dyDescent="0.25">
      <c r="A28" s="348"/>
      <c r="B28" s="354"/>
      <c r="C28" s="354"/>
      <c r="D28" s="354"/>
      <c r="E28" s="354"/>
      <c r="F28" s="354"/>
      <c r="G28" s="354"/>
      <c r="H28" s="354"/>
      <c r="I28" s="359"/>
      <c r="J28" s="355"/>
      <c r="K28" s="110"/>
      <c r="L28" s="110"/>
    </row>
    <row r="29" spans="1:12" hidden="1" x14ac:dyDescent="0.25">
      <c r="A29" s="348"/>
      <c r="B29" s="354"/>
      <c r="C29" s="354"/>
      <c r="D29" s="354"/>
      <c r="E29" s="354"/>
      <c r="F29" s="354"/>
      <c r="G29" s="354"/>
      <c r="H29" s="354"/>
      <c r="I29" s="350"/>
      <c r="J29" s="355"/>
      <c r="K29" s="110"/>
      <c r="L29" s="110"/>
    </row>
    <row r="30" spans="1:12" hidden="1" x14ac:dyDescent="0.25">
      <c r="A30" s="348"/>
      <c r="B30" s="354"/>
      <c r="C30" s="354"/>
      <c r="D30" s="354"/>
      <c r="E30" s="354"/>
      <c r="F30" s="354"/>
      <c r="G30" s="354"/>
      <c r="H30" s="354"/>
      <c r="I30" s="350"/>
      <c r="J30" s="355"/>
      <c r="K30" s="110"/>
      <c r="L30" s="110"/>
    </row>
    <row r="31" spans="1:12" hidden="1" x14ac:dyDescent="0.25">
      <c r="A31" s="348"/>
      <c r="B31" s="354"/>
      <c r="C31" s="354"/>
      <c r="D31" s="354"/>
      <c r="E31" s="354"/>
      <c r="F31" s="354"/>
      <c r="G31" s="354"/>
      <c r="H31" s="354"/>
      <c r="I31" s="350"/>
      <c r="J31" s="355"/>
      <c r="K31" s="110"/>
      <c r="L31" s="110"/>
    </row>
    <row r="32" spans="1:12" hidden="1" x14ac:dyDescent="0.25">
      <c r="A32" s="348"/>
      <c r="B32" s="354"/>
      <c r="C32" s="354"/>
      <c r="D32" s="354"/>
      <c r="E32" s="354"/>
      <c r="F32" s="354"/>
      <c r="G32" s="354"/>
      <c r="H32" s="354"/>
      <c r="I32" s="350"/>
      <c r="J32" s="355"/>
      <c r="K32" s="110"/>
      <c r="L32" s="110"/>
    </row>
    <row r="33" spans="1:12" hidden="1" x14ac:dyDescent="0.25">
      <c r="A33" s="348"/>
      <c r="B33" s="354"/>
      <c r="C33" s="354"/>
      <c r="D33" s="354"/>
      <c r="E33" s="354"/>
      <c r="F33" s="354"/>
      <c r="G33" s="354"/>
      <c r="H33" s="354"/>
      <c r="I33" s="360"/>
      <c r="J33" s="355"/>
      <c r="K33" s="110"/>
      <c r="L33" s="110"/>
    </row>
    <row r="34" spans="1:12" hidden="1" x14ac:dyDescent="0.25">
      <c r="A34" s="348"/>
      <c r="B34" s="354"/>
      <c r="C34" s="354"/>
      <c r="D34" s="354"/>
      <c r="E34" s="354"/>
      <c r="F34" s="354"/>
      <c r="G34" s="354"/>
      <c r="H34" s="354"/>
      <c r="I34" s="358"/>
      <c r="J34" s="355"/>
      <c r="K34" s="110"/>
      <c r="L34" s="110"/>
    </row>
    <row r="35" spans="1:12" hidden="1" x14ac:dyDescent="0.25">
      <c r="A35" s="348"/>
      <c r="B35" s="354"/>
      <c r="C35" s="354"/>
      <c r="D35" s="354"/>
      <c r="E35" s="354"/>
      <c r="F35" s="354"/>
      <c r="G35" s="354"/>
      <c r="H35" s="354"/>
      <c r="I35" s="440"/>
      <c r="J35" s="355"/>
      <c r="K35" s="369">
        <v>0</v>
      </c>
      <c r="L35" s="110">
        <v>0</v>
      </c>
    </row>
    <row r="36" spans="1:12" hidden="1" x14ac:dyDescent="0.25">
      <c r="A36" s="348"/>
      <c r="B36" s="354"/>
      <c r="C36" s="354"/>
      <c r="D36" s="354"/>
      <c r="E36" s="354"/>
      <c r="F36" s="354"/>
      <c r="G36" s="354"/>
      <c r="H36" s="354"/>
      <c r="I36" s="440"/>
      <c r="J36" s="355"/>
      <c r="K36" s="369">
        <v>0</v>
      </c>
      <c r="L36" s="369">
        <v>0</v>
      </c>
    </row>
    <row r="37" spans="1:12" hidden="1" x14ac:dyDescent="0.25">
      <c r="A37" s="348"/>
      <c r="B37" s="354"/>
      <c r="C37" s="354"/>
      <c r="D37" s="354"/>
      <c r="E37" s="354"/>
      <c r="F37" s="354"/>
      <c r="G37" s="354"/>
      <c r="H37" s="354"/>
      <c r="I37" s="440"/>
      <c r="J37" s="355"/>
      <c r="K37" s="369">
        <v>0</v>
      </c>
      <c r="L37" s="369">
        <v>0</v>
      </c>
    </row>
    <row r="38" spans="1:12" hidden="1" x14ac:dyDescent="0.25">
      <c r="A38" s="348"/>
      <c r="B38" s="354"/>
      <c r="C38" s="354"/>
      <c r="D38" s="354"/>
      <c r="E38" s="354"/>
      <c r="F38" s="354"/>
      <c r="G38" s="354"/>
      <c r="H38" s="354"/>
      <c r="I38" s="440"/>
      <c r="J38" s="355"/>
      <c r="K38" s="369">
        <v>0</v>
      </c>
      <c r="L38" s="369">
        <v>0</v>
      </c>
    </row>
    <row r="39" spans="1:12" hidden="1" x14ac:dyDescent="0.25">
      <c r="A39" s="348"/>
      <c r="B39" s="354"/>
      <c r="C39" s="354"/>
      <c r="D39" s="354"/>
      <c r="E39" s="354"/>
      <c r="F39" s="354"/>
      <c r="G39" s="354"/>
      <c r="H39" s="354"/>
      <c r="I39" s="440"/>
      <c r="J39" s="355"/>
      <c r="K39" s="369">
        <v>0</v>
      </c>
      <c r="L39" s="369">
        <v>0</v>
      </c>
    </row>
    <row r="40" spans="1:12" hidden="1" x14ac:dyDescent="0.25">
      <c r="A40" s="348"/>
      <c r="B40" s="354"/>
      <c r="C40" s="354"/>
      <c r="D40" s="354"/>
      <c r="E40" s="354"/>
      <c r="F40" s="354"/>
      <c r="G40" s="354"/>
      <c r="H40" s="354"/>
      <c r="I40" s="511"/>
      <c r="J40" s="355"/>
      <c r="K40" s="369">
        <v>0</v>
      </c>
      <c r="L40" s="369">
        <v>0</v>
      </c>
    </row>
    <row r="41" spans="1:12" hidden="1" x14ac:dyDescent="0.25">
      <c r="A41" s="348"/>
      <c r="B41" s="354"/>
      <c r="C41" s="354"/>
      <c r="D41" s="354"/>
      <c r="E41" s="354"/>
      <c r="F41" s="354"/>
      <c r="G41" s="354"/>
      <c r="H41" s="354"/>
      <c r="I41" s="511"/>
      <c r="J41" s="355"/>
      <c r="K41" s="369">
        <v>0</v>
      </c>
      <c r="L41" s="369">
        <v>0</v>
      </c>
    </row>
    <row r="42" spans="1:12" hidden="1" x14ac:dyDescent="0.25">
      <c r="A42" s="348"/>
      <c r="B42" s="354"/>
      <c r="C42" s="354"/>
      <c r="D42" s="354"/>
      <c r="E42" s="354"/>
      <c r="F42" s="354"/>
      <c r="G42" s="354"/>
      <c r="H42" s="354"/>
      <c r="I42" s="511"/>
      <c r="J42" s="355"/>
      <c r="K42" s="369">
        <v>0</v>
      </c>
      <c r="L42" s="369">
        <v>0</v>
      </c>
    </row>
    <row r="43" spans="1:12" hidden="1" x14ac:dyDescent="0.25">
      <c r="A43" s="348"/>
      <c r="B43" s="354"/>
      <c r="C43" s="354"/>
      <c r="D43" s="354"/>
      <c r="E43" s="354"/>
      <c r="F43" s="354"/>
      <c r="G43" s="354"/>
      <c r="H43" s="354"/>
      <c r="I43" s="511"/>
      <c r="J43" s="355"/>
      <c r="K43" s="369">
        <v>0</v>
      </c>
      <c r="L43" s="369">
        <v>0</v>
      </c>
    </row>
    <row r="44" spans="1:12" hidden="1" x14ac:dyDescent="0.25">
      <c r="A44" s="348"/>
      <c r="B44" s="354"/>
      <c r="C44" s="354"/>
      <c r="D44" s="354"/>
      <c r="E44" s="354"/>
      <c r="F44" s="354"/>
      <c r="G44" s="354"/>
      <c r="H44" s="354"/>
      <c r="I44" s="440"/>
      <c r="J44" s="355"/>
      <c r="K44" s="369">
        <v>0</v>
      </c>
      <c r="L44" s="369">
        <v>0</v>
      </c>
    </row>
    <row r="45" spans="1:12" hidden="1" x14ac:dyDescent="0.25">
      <c r="A45" s="348"/>
      <c r="B45" s="354"/>
      <c r="C45" s="354"/>
      <c r="D45" s="354"/>
      <c r="E45" s="354"/>
      <c r="F45" s="354"/>
      <c r="G45" s="354"/>
      <c r="H45" s="354"/>
      <c r="I45" s="523"/>
      <c r="J45" s="355"/>
      <c r="K45" s="369">
        <v>0</v>
      </c>
      <c r="L45" s="369">
        <v>0</v>
      </c>
    </row>
    <row r="46" spans="1:12" hidden="1" x14ac:dyDescent="0.25">
      <c r="A46" s="348"/>
      <c r="B46" s="354"/>
      <c r="C46" s="354"/>
      <c r="D46" s="354"/>
      <c r="E46" s="354"/>
      <c r="F46" s="354"/>
      <c r="G46" s="354"/>
      <c r="H46" s="354"/>
      <c r="I46" s="440"/>
      <c r="J46" s="355"/>
      <c r="K46" s="369">
        <v>0</v>
      </c>
      <c r="L46" s="369">
        <v>0</v>
      </c>
    </row>
    <row r="47" spans="1:12" hidden="1" x14ac:dyDescent="0.25">
      <c r="A47" s="348"/>
      <c r="B47" s="354"/>
      <c r="C47" s="354"/>
      <c r="D47" s="354"/>
      <c r="E47" s="354"/>
      <c r="F47" s="354"/>
      <c r="G47" s="354"/>
      <c r="H47" s="354"/>
      <c r="I47" s="440"/>
      <c r="J47" s="355"/>
      <c r="K47" s="369">
        <v>0</v>
      </c>
      <c r="L47" s="369">
        <v>0</v>
      </c>
    </row>
    <row r="48" spans="1:12" hidden="1" x14ac:dyDescent="0.25">
      <c r="A48" s="348"/>
      <c r="B48" s="354"/>
      <c r="C48" s="354"/>
      <c r="D48" s="354"/>
      <c r="E48" s="354"/>
      <c r="F48" s="354"/>
      <c r="G48" s="354"/>
      <c r="H48" s="354"/>
      <c r="I48" s="440"/>
      <c r="J48" s="355"/>
      <c r="K48" s="369">
        <v>0</v>
      </c>
      <c r="L48" s="369">
        <v>0</v>
      </c>
    </row>
    <row r="49" spans="1:12" hidden="1" x14ac:dyDescent="0.25">
      <c r="A49" s="348"/>
      <c r="B49" s="354"/>
      <c r="C49" s="354"/>
      <c r="D49" s="354"/>
      <c r="E49" s="354"/>
      <c r="F49" s="354"/>
      <c r="G49" s="354"/>
      <c r="H49" s="354"/>
      <c r="I49" s="440"/>
      <c r="J49" s="355"/>
      <c r="K49" s="369">
        <v>0</v>
      </c>
      <c r="L49" s="369">
        <v>0</v>
      </c>
    </row>
    <row r="50" spans="1:12" hidden="1" x14ac:dyDescent="0.25">
      <c r="A50" s="348"/>
      <c r="B50" s="354"/>
      <c r="C50" s="354"/>
      <c r="D50" s="354"/>
      <c r="E50" s="354"/>
      <c r="F50" s="354"/>
      <c r="G50" s="354"/>
      <c r="H50" s="354"/>
      <c r="I50" s="511"/>
      <c r="J50" s="355"/>
      <c r="K50" s="369">
        <v>0</v>
      </c>
      <c r="L50" s="369">
        <v>0</v>
      </c>
    </row>
    <row r="51" spans="1:12" hidden="1" x14ac:dyDescent="0.25">
      <c r="A51" s="348"/>
      <c r="B51" s="354"/>
      <c r="C51" s="354"/>
      <c r="D51" s="354"/>
      <c r="E51" s="354"/>
      <c r="F51" s="354"/>
      <c r="G51" s="354"/>
      <c r="H51" s="354"/>
      <c r="I51" s="511"/>
      <c r="J51" s="355"/>
      <c r="K51" s="369">
        <v>0</v>
      </c>
      <c r="L51" s="369">
        <v>0</v>
      </c>
    </row>
    <row r="52" spans="1:12" hidden="1" x14ac:dyDescent="0.25">
      <c r="A52" s="348"/>
      <c r="B52" s="354"/>
      <c r="C52" s="354"/>
      <c r="D52" s="354"/>
      <c r="E52" s="354"/>
      <c r="F52" s="354"/>
      <c r="G52" s="354"/>
      <c r="H52" s="354"/>
      <c r="I52" s="440"/>
      <c r="J52" s="355"/>
      <c r="K52" s="369">
        <v>0</v>
      </c>
      <c r="L52" s="369">
        <v>0</v>
      </c>
    </row>
    <row r="53" spans="1:12" hidden="1" x14ac:dyDescent="0.25">
      <c r="A53" s="348"/>
      <c r="B53" s="354"/>
      <c r="C53" s="354"/>
      <c r="D53" s="354"/>
      <c r="E53" s="354"/>
      <c r="F53" s="354"/>
      <c r="G53" s="354"/>
      <c r="H53" s="354"/>
      <c r="I53" s="440"/>
      <c r="J53" s="355"/>
      <c r="K53" s="369">
        <v>0</v>
      </c>
      <c r="L53" s="369">
        <v>0</v>
      </c>
    </row>
    <row r="54" spans="1:12" hidden="1" x14ac:dyDescent="0.25">
      <c r="A54" s="348"/>
      <c r="B54" s="354"/>
      <c r="C54" s="354"/>
      <c r="D54" s="354"/>
      <c r="E54" s="354"/>
      <c r="F54" s="354"/>
      <c r="G54" s="354"/>
      <c r="H54" s="354"/>
      <c r="I54" s="511"/>
      <c r="J54" s="355"/>
      <c r="K54" s="110">
        <v>0</v>
      </c>
      <c r="L54" s="110">
        <v>0</v>
      </c>
    </row>
    <row r="55" spans="1:12" hidden="1" x14ac:dyDescent="0.25">
      <c r="A55" s="348"/>
      <c r="B55" s="354"/>
      <c r="C55" s="354"/>
      <c r="D55" s="354"/>
      <c r="E55" s="354"/>
      <c r="F55" s="354"/>
      <c r="G55" s="354"/>
      <c r="H55" s="354"/>
      <c r="I55" s="356"/>
      <c r="J55" s="355"/>
      <c r="K55" s="110">
        <v>0</v>
      </c>
      <c r="L55" s="110">
        <v>0</v>
      </c>
    </row>
    <row r="56" spans="1:12" hidden="1" x14ac:dyDescent="0.25">
      <c r="A56" s="348"/>
      <c r="B56" s="354"/>
      <c r="C56" s="354"/>
      <c r="D56" s="354"/>
      <c r="E56" s="354"/>
      <c r="F56" s="354"/>
      <c r="G56" s="354"/>
      <c r="H56" s="354"/>
      <c r="I56" s="350"/>
      <c r="J56" s="355"/>
      <c r="K56" s="110">
        <v>0</v>
      </c>
      <c r="L56" s="110">
        <v>0</v>
      </c>
    </row>
    <row r="57" spans="1:12" hidden="1" x14ac:dyDescent="0.25">
      <c r="A57" s="348"/>
      <c r="B57" s="354"/>
      <c r="C57" s="354"/>
      <c r="D57" s="354"/>
      <c r="E57" s="354"/>
      <c r="F57" s="354"/>
      <c r="G57" s="354"/>
      <c r="H57" s="354"/>
      <c r="I57" s="350"/>
      <c r="J57" s="355"/>
      <c r="K57" s="110">
        <v>0</v>
      </c>
      <c r="L57" s="110">
        <v>0</v>
      </c>
    </row>
    <row r="58" spans="1:12" hidden="1" x14ac:dyDescent="0.25">
      <c r="A58" s="348"/>
      <c r="B58" s="354"/>
      <c r="C58" s="354"/>
      <c r="D58" s="354"/>
      <c r="E58" s="354"/>
      <c r="F58" s="354"/>
      <c r="G58" s="354"/>
      <c r="H58" s="354"/>
      <c r="I58" s="359"/>
      <c r="J58" s="355"/>
      <c r="K58" s="110">
        <v>0</v>
      </c>
      <c r="L58" s="110">
        <v>0</v>
      </c>
    </row>
    <row r="59" spans="1:12" hidden="1" x14ac:dyDescent="0.25">
      <c r="A59" s="348"/>
      <c r="B59" s="354"/>
      <c r="C59" s="354"/>
      <c r="D59" s="354"/>
      <c r="E59" s="354"/>
      <c r="F59" s="354"/>
      <c r="G59" s="354"/>
      <c r="H59" s="354"/>
      <c r="I59" s="356"/>
      <c r="J59" s="355"/>
      <c r="K59" s="110">
        <v>0</v>
      </c>
      <c r="L59" s="110">
        <v>0</v>
      </c>
    </row>
    <row r="60" spans="1:12" hidden="1" x14ac:dyDescent="0.25">
      <c r="A60" s="348"/>
      <c r="B60" s="354"/>
      <c r="C60" s="354"/>
      <c r="D60" s="354"/>
      <c r="E60" s="354"/>
      <c r="F60" s="354"/>
      <c r="G60" s="354"/>
      <c r="H60" s="354"/>
      <c r="I60" s="361"/>
      <c r="J60" s="355"/>
      <c r="K60" s="110">
        <v>0</v>
      </c>
      <c r="L60" s="110">
        <v>0</v>
      </c>
    </row>
    <row r="61" spans="1:12" hidden="1" x14ac:dyDescent="0.25">
      <c r="A61" s="348"/>
      <c r="B61" s="354"/>
      <c r="C61" s="354"/>
      <c r="D61" s="354"/>
      <c r="E61" s="354"/>
      <c r="F61" s="354"/>
      <c r="G61" s="354"/>
      <c r="H61" s="354"/>
      <c r="I61" s="361"/>
      <c r="J61" s="355"/>
      <c r="K61" s="110">
        <v>0</v>
      </c>
      <c r="L61" s="110">
        <v>0</v>
      </c>
    </row>
    <row r="62" spans="1:12" hidden="1" x14ac:dyDescent="0.25">
      <c r="A62" s="348"/>
      <c r="B62" s="354"/>
      <c r="C62" s="354"/>
      <c r="D62" s="354"/>
      <c r="E62" s="354"/>
      <c r="F62" s="354"/>
      <c r="G62" s="354"/>
      <c r="H62" s="354"/>
      <c r="I62" s="356"/>
      <c r="J62" s="355"/>
      <c r="K62" s="110">
        <v>0</v>
      </c>
      <c r="L62" s="110">
        <v>0</v>
      </c>
    </row>
    <row r="63" spans="1:12" hidden="1" x14ac:dyDescent="0.25">
      <c r="A63" s="348"/>
      <c r="B63" s="354"/>
      <c r="C63" s="354"/>
      <c r="D63" s="354"/>
      <c r="E63" s="354"/>
      <c r="F63" s="354"/>
      <c r="G63" s="354"/>
      <c r="H63" s="354"/>
      <c r="I63" s="356"/>
      <c r="J63" s="355"/>
      <c r="K63" s="110">
        <v>0</v>
      </c>
      <c r="L63" s="110">
        <v>0</v>
      </c>
    </row>
    <row r="64" spans="1:12" hidden="1" x14ac:dyDescent="0.25">
      <c r="A64" s="348"/>
      <c r="B64" s="354"/>
      <c r="C64" s="354"/>
      <c r="D64" s="354"/>
      <c r="E64" s="354"/>
      <c r="F64" s="354"/>
      <c r="G64" s="354"/>
      <c r="H64" s="354"/>
      <c r="I64" s="350"/>
      <c r="J64" s="355"/>
      <c r="K64" s="110">
        <v>0</v>
      </c>
      <c r="L64" s="110">
        <v>0</v>
      </c>
    </row>
    <row r="65" spans="1:14" hidden="1" x14ac:dyDescent="0.25">
      <c r="A65" s="348"/>
      <c r="B65" s="354"/>
      <c r="C65" s="354"/>
      <c r="D65" s="354"/>
      <c r="E65" s="354"/>
      <c r="F65" s="354"/>
      <c r="G65" s="354"/>
      <c r="H65" s="354"/>
      <c r="I65" s="359"/>
      <c r="J65" s="355"/>
      <c r="K65" s="110">
        <v>0</v>
      </c>
      <c r="L65" s="110">
        <v>0</v>
      </c>
    </row>
    <row r="66" spans="1:14" hidden="1" x14ac:dyDescent="0.25">
      <c r="A66" s="348"/>
      <c r="B66" s="354"/>
      <c r="C66" s="354"/>
      <c r="D66" s="354"/>
      <c r="E66" s="354"/>
      <c r="F66" s="354"/>
      <c r="G66" s="354"/>
      <c r="H66" s="354"/>
      <c r="I66" s="357"/>
      <c r="J66" s="355"/>
      <c r="K66" s="110">
        <v>0</v>
      </c>
      <c r="L66" s="110">
        <v>0</v>
      </c>
    </row>
    <row r="67" spans="1:14" hidden="1" x14ac:dyDescent="0.25">
      <c r="A67" s="348"/>
      <c r="B67" s="354"/>
      <c r="C67" s="354"/>
      <c r="D67" s="354"/>
      <c r="E67" s="354"/>
      <c r="F67" s="354"/>
      <c r="G67" s="354"/>
      <c r="H67" s="354"/>
      <c r="I67" s="362"/>
      <c r="J67" s="355"/>
      <c r="K67" s="110">
        <v>0</v>
      </c>
      <c r="L67" s="110">
        <v>0</v>
      </c>
    </row>
    <row r="68" spans="1:14" hidden="1" x14ac:dyDescent="0.25">
      <c r="A68" s="348"/>
      <c r="B68" s="354"/>
      <c r="C68" s="354"/>
      <c r="D68" s="354"/>
      <c r="E68" s="354"/>
      <c r="F68" s="354"/>
      <c r="G68" s="354"/>
      <c r="H68" s="354"/>
      <c r="I68" s="360"/>
      <c r="J68" s="355"/>
      <c r="K68" s="110">
        <v>0</v>
      </c>
      <c r="L68" s="110">
        <v>0</v>
      </c>
    </row>
    <row r="69" spans="1:14" hidden="1" x14ac:dyDescent="0.25">
      <c r="A69" s="348"/>
      <c r="B69" s="354"/>
      <c r="C69" s="354"/>
      <c r="D69" s="354"/>
      <c r="E69" s="354"/>
      <c r="F69" s="354"/>
      <c r="G69" s="354"/>
      <c r="H69" s="354"/>
      <c r="I69" s="360"/>
      <c r="J69" s="355"/>
      <c r="K69" s="110">
        <v>0</v>
      </c>
      <c r="L69" s="110">
        <v>0</v>
      </c>
    </row>
    <row r="70" spans="1:14" hidden="1" x14ac:dyDescent="0.25">
      <c r="A70" s="348"/>
      <c r="B70" s="354"/>
      <c r="C70" s="354"/>
      <c r="D70" s="354"/>
      <c r="E70" s="354"/>
      <c r="F70" s="354"/>
      <c r="G70" s="354"/>
      <c r="H70" s="354"/>
      <c r="I70" s="360"/>
      <c r="J70" s="355"/>
      <c r="K70" s="110">
        <v>0</v>
      </c>
      <c r="L70" s="110">
        <v>0</v>
      </c>
    </row>
    <row r="71" spans="1:14" hidden="1" x14ac:dyDescent="0.25">
      <c r="A71" s="348"/>
      <c r="B71" s="354"/>
      <c r="C71" s="354"/>
      <c r="D71" s="354"/>
      <c r="E71" s="354"/>
      <c r="F71" s="354"/>
      <c r="G71" s="354"/>
      <c r="H71" s="354"/>
      <c r="I71" s="359"/>
      <c r="J71" s="355"/>
      <c r="K71" s="110">
        <v>0</v>
      </c>
      <c r="L71" s="110">
        <v>0</v>
      </c>
    </row>
    <row r="72" spans="1:14" hidden="1" x14ac:dyDescent="0.25">
      <c r="A72" s="348"/>
      <c r="B72" s="354"/>
      <c r="C72" s="354"/>
      <c r="D72" s="354"/>
      <c r="E72" s="354"/>
      <c r="F72" s="354"/>
      <c r="G72" s="354"/>
      <c r="H72" s="354"/>
      <c r="I72" s="362"/>
      <c r="J72" s="355"/>
      <c r="K72" s="110">
        <v>0</v>
      </c>
      <c r="L72" s="110">
        <v>0</v>
      </c>
    </row>
    <row r="73" spans="1:14" hidden="1" x14ac:dyDescent="0.25">
      <c r="A73" s="348"/>
      <c r="B73" s="354"/>
      <c r="C73" s="354"/>
      <c r="D73" s="354"/>
      <c r="E73" s="354"/>
      <c r="F73" s="354"/>
      <c r="G73" s="354"/>
      <c r="H73" s="354"/>
      <c r="I73" s="362"/>
      <c r="J73" s="355"/>
      <c r="K73" s="110">
        <v>0</v>
      </c>
      <c r="L73" s="110">
        <v>0</v>
      </c>
    </row>
    <row r="74" spans="1:14" hidden="1" x14ac:dyDescent="0.25">
      <c r="A74" s="348"/>
      <c r="B74" s="354"/>
      <c r="C74" s="354"/>
      <c r="D74" s="354"/>
      <c r="E74" s="354"/>
      <c r="F74" s="354"/>
      <c r="G74" s="354"/>
      <c r="H74" s="354"/>
      <c r="I74" s="362"/>
      <c r="J74" s="355"/>
      <c r="K74" s="110">
        <v>0</v>
      </c>
      <c r="L74" s="110">
        <v>0</v>
      </c>
    </row>
    <row r="75" spans="1:14" hidden="1" x14ac:dyDescent="0.25">
      <c r="A75" s="348"/>
      <c r="B75" s="354"/>
      <c r="C75" s="354"/>
      <c r="D75" s="354"/>
      <c r="E75" s="354"/>
      <c r="F75" s="354"/>
      <c r="G75" s="354"/>
      <c r="H75" s="354"/>
      <c r="I75" s="511"/>
      <c r="J75" s="355"/>
      <c r="K75" s="110">
        <v>0</v>
      </c>
      <c r="L75" s="110">
        <v>0</v>
      </c>
    </row>
    <row r="76" spans="1:14" hidden="1" x14ac:dyDescent="0.25">
      <c r="A76" s="348"/>
      <c r="B76" s="354"/>
      <c r="C76" s="354"/>
      <c r="D76" s="354"/>
      <c r="E76" s="354"/>
      <c r="F76" s="354"/>
      <c r="G76" s="354"/>
      <c r="H76" s="354"/>
      <c r="I76" s="511"/>
      <c r="J76" s="355"/>
      <c r="K76" s="110">
        <v>0</v>
      </c>
      <c r="L76" s="110">
        <v>0</v>
      </c>
    </row>
    <row r="77" spans="1:14" hidden="1" x14ac:dyDescent="0.25">
      <c r="A77" s="348"/>
      <c r="B77" s="354"/>
      <c r="C77" s="354"/>
      <c r="D77" s="354"/>
      <c r="E77" s="354"/>
      <c r="F77" s="354"/>
      <c r="G77" s="354"/>
      <c r="H77" s="354"/>
      <c r="I77" s="360"/>
      <c r="J77" s="355"/>
      <c r="K77" s="110">
        <v>0</v>
      </c>
      <c r="L77" s="110">
        <v>0</v>
      </c>
    </row>
    <row r="78" spans="1:14" hidden="1" x14ac:dyDescent="0.25">
      <c r="A78" s="348"/>
      <c r="B78" s="354"/>
      <c r="C78" s="354"/>
      <c r="D78" s="354"/>
      <c r="E78" s="354"/>
      <c r="F78" s="354"/>
      <c r="G78" s="354"/>
      <c r="H78" s="354"/>
      <c r="I78" s="440"/>
      <c r="J78" s="355"/>
      <c r="K78" s="110">
        <v>0</v>
      </c>
      <c r="L78" s="110">
        <v>0</v>
      </c>
      <c r="N78" s="364"/>
    </row>
    <row r="79" spans="1:14" hidden="1" x14ac:dyDescent="0.25">
      <c r="A79" s="348"/>
      <c r="B79" s="354"/>
      <c r="C79" s="354"/>
      <c r="D79" s="354"/>
      <c r="E79" s="354"/>
      <c r="F79" s="354"/>
      <c r="G79" s="354"/>
      <c r="H79" s="354"/>
      <c r="I79" s="357"/>
      <c r="J79" s="355"/>
      <c r="K79" s="110">
        <v>0</v>
      </c>
      <c r="L79" s="110">
        <v>0</v>
      </c>
      <c r="N79" s="364"/>
    </row>
    <row r="80" spans="1:14" hidden="1" x14ac:dyDescent="0.25">
      <c r="A80" s="348"/>
      <c r="B80" s="354"/>
      <c r="C80" s="354"/>
      <c r="D80" s="354"/>
      <c r="E80" s="354"/>
      <c r="F80" s="354"/>
      <c r="G80" s="354"/>
      <c r="H80" s="354"/>
      <c r="I80" s="511"/>
      <c r="J80" s="355"/>
      <c r="K80" s="110">
        <v>0</v>
      </c>
      <c r="L80" s="110">
        <v>0</v>
      </c>
      <c r="N80" s="364"/>
    </row>
    <row r="81" spans="1:14" hidden="1" x14ac:dyDescent="0.25">
      <c r="A81" s="348"/>
      <c r="B81" s="354"/>
      <c r="C81" s="354"/>
      <c r="D81" s="354"/>
      <c r="E81" s="354"/>
      <c r="F81" s="354"/>
      <c r="G81" s="354"/>
      <c r="H81" s="354"/>
      <c r="I81" s="357"/>
      <c r="J81" s="355"/>
      <c r="K81" s="110">
        <v>0</v>
      </c>
      <c r="L81" s="110">
        <v>0</v>
      </c>
      <c r="N81" s="364"/>
    </row>
    <row r="82" spans="1:14" hidden="1" x14ac:dyDescent="0.25">
      <c r="A82" s="348"/>
      <c r="B82" s="354"/>
      <c r="C82" s="354"/>
      <c r="D82" s="354"/>
      <c r="E82" s="354"/>
      <c r="F82" s="354"/>
      <c r="G82" s="354"/>
      <c r="H82" s="354"/>
      <c r="I82" s="511"/>
      <c r="J82" s="355"/>
      <c r="K82" s="110">
        <v>0</v>
      </c>
      <c r="L82" s="110">
        <v>0</v>
      </c>
      <c r="N82" s="364"/>
    </row>
    <row r="83" spans="1:14" hidden="1" x14ac:dyDescent="0.25">
      <c r="A83" s="348"/>
      <c r="B83" s="354"/>
      <c r="C83" s="354"/>
      <c r="D83" s="354"/>
      <c r="E83" s="354"/>
      <c r="F83" s="354"/>
      <c r="G83" s="354"/>
      <c r="H83" s="354"/>
      <c r="I83" s="731"/>
      <c r="J83" s="355"/>
      <c r="K83" s="369"/>
      <c r="L83" s="369"/>
      <c r="N83" s="364"/>
    </row>
    <row r="84" spans="1:14" hidden="1" x14ac:dyDescent="0.25">
      <c r="A84" s="348"/>
      <c r="B84" s="354"/>
      <c r="C84" s="354"/>
      <c r="D84" s="354"/>
      <c r="E84" s="354"/>
      <c r="F84" s="354"/>
      <c r="G84" s="354"/>
      <c r="H84" s="354"/>
      <c r="I84" s="731"/>
      <c r="J84" s="355"/>
      <c r="K84" s="369"/>
      <c r="L84" s="369"/>
      <c r="N84" s="364"/>
    </row>
    <row r="85" spans="1:14" hidden="1" x14ac:dyDescent="0.25">
      <c r="A85" s="348"/>
      <c r="B85" s="354"/>
      <c r="C85" s="354"/>
      <c r="D85" s="354"/>
      <c r="E85" s="354"/>
      <c r="F85" s="354"/>
      <c r="G85" s="354"/>
      <c r="H85" s="354"/>
      <c r="I85" s="732"/>
      <c r="J85" s="355"/>
      <c r="K85" s="369"/>
      <c r="L85" s="369"/>
      <c r="N85" s="364"/>
    </row>
    <row r="86" spans="1:14" ht="39" hidden="1" customHeight="1" x14ac:dyDescent="0.25">
      <c r="A86" s="348"/>
      <c r="B86" s="349"/>
      <c r="C86" s="349"/>
      <c r="D86" s="349"/>
      <c r="E86" s="349"/>
      <c r="F86" s="349"/>
      <c r="G86" s="349"/>
      <c r="H86" s="349"/>
      <c r="I86" s="440"/>
      <c r="J86" s="355"/>
      <c r="K86" s="110">
        <v>0</v>
      </c>
      <c r="L86" s="110">
        <v>0</v>
      </c>
      <c r="N86" s="364"/>
    </row>
    <row r="87" spans="1:14" x14ac:dyDescent="0.25">
      <c r="A87" s="82"/>
      <c r="B87" s="1100" t="s">
        <v>947</v>
      </c>
      <c r="C87" s="1100"/>
      <c r="D87" s="1100"/>
      <c r="E87" s="1100"/>
      <c r="F87" s="1100"/>
      <c r="G87" s="1100"/>
      <c r="H87" s="1100"/>
      <c r="I87" s="1100"/>
      <c r="J87" s="46">
        <f>SUM(J7:J69)+J70+J71+J74+J75+J76+J72+J73+J78+J77+J79+J80+J81+J82+J83+J84+J85+J86</f>
        <v>0</v>
      </c>
      <c r="K87" s="46">
        <f t="shared" ref="K87:L87" si="0">SUM(K7:K69)</f>
        <v>0</v>
      </c>
      <c r="L87" s="46">
        <f t="shared" si="0"/>
        <v>0</v>
      </c>
    </row>
    <row r="88" spans="1:14" x14ac:dyDescent="0.25">
      <c r="B88" s="365"/>
      <c r="C88" s="365"/>
      <c r="D88" s="365"/>
      <c r="E88" s="365"/>
      <c r="F88" s="365"/>
      <c r="G88" s="365"/>
    </row>
    <row r="89" spans="1:14" x14ac:dyDescent="0.25">
      <c r="B89" s="1083" t="s">
        <v>948</v>
      </c>
      <c r="C89" s="1083"/>
      <c r="D89" s="1083"/>
      <c r="E89" s="1083"/>
      <c r="F89" s="1083"/>
      <c r="G89" s="1083"/>
      <c r="H89" s="1083"/>
      <c r="I89" s="1083"/>
      <c r="J89" s="1083"/>
    </row>
    <row r="90" spans="1:14" x14ac:dyDescent="0.25">
      <c r="A90" s="1101" t="s">
        <v>945</v>
      </c>
      <c r="B90" s="1086" t="s">
        <v>121</v>
      </c>
      <c r="C90" s="1087"/>
      <c r="D90" s="1087"/>
      <c r="E90" s="1087"/>
      <c r="F90" s="1087"/>
      <c r="G90" s="1087"/>
      <c r="H90" s="1088"/>
      <c r="I90" s="916" t="s">
        <v>1</v>
      </c>
      <c r="J90" s="920" t="s">
        <v>946</v>
      </c>
      <c r="K90" s="921"/>
      <c r="L90" s="922"/>
    </row>
    <row r="91" spans="1:14" x14ac:dyDescent="0.25">
      <c r="A91" s="1102"/>
      <c r="B91" s="1089"/>
      <c r="C91" s="1090"/>
      <c r="D91" s="1090"/>
      <c r="E91" s="1090"/>
      <c r="F91" s="1090"/>
      <c r="G91" s="1090"/>
      <c r="H91" s="1091"/>
      <c r="I91" s="917"/>
      <c r="J91" s="734">
        <v>2019</v>
      </c>
      <c r="K91" s="78">
        <v>2020</v>
      </c>
      <c r="L91" s="78">
        <v>2021</v>
      </c>
    </row>
    <row r="92" spans="1:14" ht="14.25" hidden="1" customHeight="1" x14ac:dyDescent="0.25">
      <c r="A92" s="366"/>
      <c r="B92" s="1092"/>
      <c r="C92" s="1092"/>
      <c r="D92" s="1092"/>
      <c r="E92" s="1092"/>
      <c r="F92" s="1092"/>
      <c r="G92" s="1092"/>
      <c r="H92" s="1092"/>
      <c r="I92" s="367"/>
      <c r="J92" s="41">
        <v>0</v>
      </c>
      <c r="K92" s="110">
        <v>0</v>
      </c>
      <c r="L92" s="84">
        <v>0</v>
      </c>
      <c r="N92" s="364"/>
    </row>
    <row r="93" spans="1:14" hidden="1" x14ac:dyDescent="0.25">
      <c r="A93" s="348"/>
      <c r="B93" s="1067"/>
      <c r="C93" s="1093"/>
      <c r="D93" s="1093"/>
      <c r="E93" s="1093"/>
      <c r="F93" s="1093"/>
      <c r="G93" s="1093"/>
      <c r="H93" s="1068"/>
      <c r="I93" s="367"/>
      <c r="J93" s="368"/>
      <c r="K93" s="84"/>
      <c r="L93" s="84">
        <v>0</v>
      </c>
    </row>
    <row r="94" spans="1:14" ht="14.25" hidden="1" customHeight="1" x14ac:dyDescent="0.25">
      <c r="A94" s="370"/>
      <c r="B94" s="1094"/>
      <c r="C94" s="1095"/>
      <c r="D94" s="1095"/>
      <c r="E94" s="1095"/>
      <c r="F94" s="1095"/>
      <c r="G94" s="1095"/>
      <c r="H94" s="1096"/>
      <c r="I94" s="371"/>
      <c r="J94" s="41"/>
      <c r="K94" s="84"/>
      <c r="L94" s="84"/>
    </row>
    <row r="95" spans="1:14" hidden="1" x14ac:dyDescent="0.25">
      <c r="A95" s="370"/>
      <c r="B95" s="1094"/>
      <c r="C95" s="1095"/>
      <c r="D95" s="1095"/>
      <c r="E95" s="1095"/>
      <c r="F95" s="1095"/>
      <c r="G95" s="1095"/>
      <c r="H95" s="1096"/>
      <c r="I95" s="371"/>
      <c r="J95" s="41"/>
      <c r="K95" s="82"/>
      <c r="L95" s="82"/>
    </row>
    <row r="96" spans="1:14" hidden="1" x14ac:dyDescent="0.25">
      <c r="A96" s="82"/>
      <c r="B96" s="1094"/>
      <c r="C96" s="1095"/>
      <c r="D96" s="1095"/>
      <c r="E96" s="1095"/>
      <c r="F96" s="1095"/>
      <c r="G96" s="1095"/>
      <c r="H96" s="1095"/>
      <c r="I96" s="21"/>
      <c r="J96" s="41"/>
      <c r="K96" s="82"/>
      <c r="L96" s="82"/>
    </row>
    <row r="97" spans="1:12" x14ac:dyDescent="0.25">
      <c r="A97" s="82"/>
      <c r="B97" s="1097" t="s">
        <v>949</v>
      </c>
      <c r="C97" s="1098"/>
      <c r="D97" s="1098"/>
      <c r="E97" s="1098"/>
      <c r="F97" s="1098"/>
      <c r="G97" s="1098"/>
      <c r="H97" s="1098"/>
      <c r="I97" s="1099"/>
      <c r="J97" s="46">
        <f>SUM(J92:J96)</f>
        <v>0</v>
      </c>
      <c r="K97" s="46">
        <f>SUM(K92:K96)</f>
        <v>0</v>
      </c>
      <c r="L97" s="46">
        <f>SUM(L92:L96)</f>
        <v>0</v>
      </c>
    </row>
    <row r="98" spans="1:12" x14ac:dyDescent="0.25">
      <c r="B98" s="365"/>
      <c r="C98" s="365"/>
      <c r="D98" s="365"/>
      <c r="E98" s="365"/>
      <c r="F98" s="365"/>
      <c r="G98" s="365"/>
    </row>
    <row r="99" spans="1:12" hidden="1" x14ac:dyDescent="0.25">
      <c r="B99" s="365"/>
      <c r="C99" s="365"/>
      <c r="D99" s="365"/>
      <c r="E99" s="365"/>
      <c r="F99" s="365"/>
      <c r="G99" s="365"/>
    </row>
    <row r="100" spans="1:12" x14ac:dyDescent="0.25">
      <c r="B100" s="1083" t="s">
        <v>950</v>
      </c>
      <c r="C100" s="1083"/>
      <c r="D100" s="1083"/>
      <c r="E100" s="1083"/>
      <c r="F100" s="1083"/>
      <c r="G100" s="1083"/>
      <c r="H100" s="1083"/>
      <c r="I100" s="1083"/>
      <c r="J100" s="1083"/>
    </row>
    <row r="101" spans="1:12" x14ac:dyDescent="0.25">
      <c r="A101" s="1084" t="s">
        <v>945</v>
      </c>
      <c r="B101" s="1105" t="s">
        <v>951</v>
      </c>
      <c r="C101" s="1105" t="s">
        <v>134</v>
      </c>
      <c r="D101" s="1105" t="s">
        <v>264</v>
      </c>
      <c r="E101" s="1086" t="s">
        <v>197</v>
      </c>
      <c r="F101" s="1087"/>
      <c r="G101" s="1088"/>
      <c r="H101" s="1105" t="s">
        <v>225</v>
      </c>
      <c r="I101" s="1106" t="s">
        <v>1</v>
      </c>
      <c r="J101" s="920" t="s">
        <v>946</v>
      </c>
      <c r="K101" s="921"/>
      <c r="L101" s="922"/>
    </row>
    <row r="102" spans="1:12" x14ac:dyDescent="0.25">
      <c r="A102" s="1085"/>
      <c r="B102" s="1105"/>
      <c r="C102" s="1105"/>
      <c r="D102" s="1105"/>
      <c r="E102" s="1089"/>
      <c r="F102" s="1090"/>
      <c r="G102" s="1091"/>
      <c r="H102" s="1105"/>
      <c r="I102" s="1106"/>
      <c r="J102" s="734">
        <v>2019</v>
      </c>
      <c r="K102" s="78">
        <v>2020</v>
      </c>
      <c r="L102" s="78">
        <v>2021</v>
      </c>
    </row>
    <row r="103" spans="1:12" x14ac:dyDescent="0.25">
      <c r="A103" s="372"/>
      <c r="B103" s="1103" t="s">
        <v>952</v>
      </c>
      <c r="C103" s="1103"/>
      <c r="D103" s="1103"/>
      <c r="E103" s="1103"/>
      <c r="F103" s="1103"/>
      <c r="G103" s="1103"/>
      <c r="H103" s="1103"/>
      <c r="I103" s="1104"/>
      <c r="J103" s="373">
        <f>SUM(J104:J112)+J113+J114+J115+J116+J117+J118+J119+J120+J121+J122</f>
        <v>0</v>
      </c>
      <c r="K103" s="373">
        <f>SUM(K104:K112)+K113+K114+K115+K116+K117</f>
        <v>0</v>
      </c>
      <c r="L103" s="373">
        <f>SUM(L104:L112)+L113+L114+L115+L116+L117</f>
        <v>0</v>
      </c>
    </row>
    <row r="104" spans="1:12" ht="93" hidden="1" customHeight="1" x14ac:dyDescent="0.25">
      <c r="A104" s="753"/>
      <c r="B104" s="391"/>
      <c r="C104" s="391"/>
      <c r="D104" s="391"/>
      <c r="E104" s="391"/>
      <c r="F104" s="1065"/>
      <c r="G104" s="1066"/>
      <c r="H104" s="399"/>
      <c r="I104" s="815"/>
      <c r="J104" s="368"/>
      <c r="K104" s="84">
        <v>0</v>
      </c>
      <c r="L104" s="84">
        <v>0</v>
      </c>
    </row>
    <row r="105" spans="1:12" s="1" customFormat="1" ht="86.25" hidden="1" customHeight="1" x14ac:dyDescent="0.25">
      <c r="A105" s="754"/>
      <c r="B105" s="391"/>
      <c r="C105" s="391"/>
      <c r="D105" s="391"/>
      <c r="E105" s="391"/>
      <c r="F105" s="1065"/>
      <c r="G105" s="1066"/>
      <c r="H105" s="564"/>
      <c r="I105" s="270"/>
      <c r="J105" s="407"/>
      <c r="K105" s="110">
        <v>0</v>
      </c>
      <c r="L105" s="110">
        <v>0</v>
      </c>
    </row>
    <row r="106" spans="1:12" s="1" customFormat="1" hidden="1" x14ac:dyDescent="0.25">
      <c r="A106" s="754"/>
      <c r="B106" s="391"/>
      <c r="C106" s="391"/>
      <c r="D106" s="391"/>
      <c r="E106" s="391"/>
      <c r="F106" s="1065"/>
      <c r="G106" s="1066"/>
      <c r="H106" s="391"/>
      <c r="I106" s="770"/>
      <c r="J106" s="368"/>
      <c r="K106" s="110">
        <v>0</v>
      </c>
      <c r="L106" s="110">
        <v>0</v>
      </c>
    </row>
    <row r="107" spans="1:12" s="1" customFormat="1" ht="16.5" hidden="1" x14ac:dyDescent="0.3">
      <c r="A107" s="713"/>
      <c r="B107" s="376"/>
      <c r="C107" s="376"/>
      <c r="D107" s="376"/>
      <c r="E107" s="376"/>
      <c r="F107" s="1143"/>
      <c r="G107" s="1144"/>
      <c r="H107" s="376"/>
      <c r="I107" s="420"/>
      <c r="J107" s="368"/>
      <c r="K107" s="110"/>
      <c r="L107" s="110"/>
    </row>
    <row r="108" spans="1:12" s="1" customFormat="1" ht="16.5" hidden="1" x14ac:dyDescent="0.3">
      <c r="A108" s="713"/>
      <c r="B108" s="376"/>
      <c r="C108" s="376"/>
      <c r="D108" s="376"/>
      <c r="E108" s="376"/>
      <c r="F108" s="1143"/>
      <c r="G108" s="1144"/>
      <c r="H108" s="376"/>
      <c r="I108" s="228"/>
      <c r="J108" s="368"/>
      <c r="K108" s="110"/>
      <c r="L108" s="110"/>
    </row>
    <row r="109" spans="1:12" s="1" customFormat="1" ht="16.5" hidden="1" x14ac:dyDescent="0.3">
      <c r="A109" s="713"/>
      <c r="B109" s="376"/>
      <c r="C109" s="376"/>
      <c r="D109" s="376"/>
      <c r="E109" s="376"/>
      <c r="F109" s="1143"/>
      <c r="G109" s="1144"/>
      <c r="H109" s="376"/>
      <c r="I109" s="709"/>
      <c r="J109" s="368"/>
      <c r="K109" s="110"/>
      <c r="L109" s="110"/>
    </row>
    <row r="110" spans="1:12" s="1" customFormat="1" ht="16.5" hidden="1" x14ac:dyDescent="0.3">
      <c r="A110" s="713"/>
      <c r="B110" s="376"/>
      <c r="C110" s="376"/>
      <c r="D110" s="376"/>
      <c r="E110" s="376"/>
      <c r="F110" s="1143"/>
      <c r="G110" s="1144"/>
      <c r="H110" s="376"/>
      <c r="I110" s="228"/>
      <c r="J110" s="368"/>
      <c r="K110" s="110"/>
      <c r="L110" s="110"/>
    </row>
    <row r="111" spans="1:12" s="1" customFormat="1" ht="16.5" hidden="1" x14ac:dyDescent="0.3">
      <c r="A111" s="713"/>
      <c r="B111" s="376"/>
      <c r="C111" s="376"/>
      <c r="D111" s="376"/>
      <c r="E111" s="376"/>
      <c r="F111" s="1143"/>
      <c r="G111" s="1144"/>
      <c r="H111" s="376"/>
      <c r="I111" s="228"/>
      <c r="J111" s="368"/>
      <c r="K111" s="110"/>
      <c r="L111" s="110"/>
    </row>
    <row r="112" spans="1:12" s="1" customFormat="1" hidden="1" x14ac:dyDescent="0.25">
      <c r="A112" s="715"/>
      <c r="B112" s="423"/>
      <c r="C112" s="423"/>
      <c r="D112" s="423"/>
      <c r="E112" s="423"/>
      <c r="F112" s="1121"/>
      <c r="G112" s="1122"/>
      <c r="H112" s="423"/>
      <c r="I112" s="454"/>
      <c r="J112" s="368"/>
      <c r="K112" s="110"/>
      <c r="L112" s="110"/>
    </row>
    <row r="113" spans="1:12" s="1" customFormat="1" hidden="1" x14ac:dyDescent="0.25">
      <c r="A113" s="713"/>
      <c r="B113" s="349"/>
      <c r="C113" s="349"/>
      <c r="D113" s="349"/>
      <c r="E113" s="349"/>
      <c r="F113" s="1119"/>
      <c r="G113" s="1120"/>
      <c r="H113" s="349"/>
      <c r="I113" s="460"/>
      <c r="J113" s="368"/>
      <c r="K113" s="369"/>
      <c r="L113" s="369"/>
    </row>
    <row r="114" spans="1:12" s="1" customFormat="1" hidden="1" x14ac:dyDescent="0.25">
      <c r="A114" s="715"/>
      <c r="B114" s="423"/>
      <c r="C114" s="423"/>
      <c r="D114" s="423"/>
      <c r="E114" s="423"/>
      <c r="F114" s="1121"/>
      <c r="G114" s="1122"/>
      <c r="H114" s="423"/>
      <c r="I114" s="714"/>
      <c r="J114" s="368"/>
      <c r="K114" s="369"/>
      <c r="L114" s="369"/>
    </row>
    <row r="115" spans="1:12" s="1" customFormat="1" hidden="1" x14ac:dyDescent="0.25">
      <c r="A115" s="715"/>
      <c r="B115" s="397"/>
      <c r="C115" s="397"/>
      <c r="D115" s="397"/>
      <c r="E115" s="397"/>
      <c r="F115" s="1112"/>
      <c r="G115" s="1113"/>
      <c r="H115" s="397"/>
      <c r="I115" s="377"/>
      <c r="J115" s="368"/>
      <c r="K115" s="369"/>
      <c r="L115" s="369"/>
    </row>
    <row r="116" spans="1:12" s="1" customFormat="1" hidden="1" x14ac:dyDescent="0.25">
      <c r="A116" s="713"/>
      <c r="B116" s="391"/>
      <c r="C116" s="391"/>
      <c r="D116" s="391"/>
      <c r="E116" s="391"/>
      <c r="F116" s="1065"/>
      <c r="G116" s="1066"/>
      <c r="H116" s="391"/>
      <c r="I116" s="457"/>
      <c r="J116" s="368"/>
      <c r="K116" s="369"/>
      <c r="L116" s="369"/>
    </row>
    <row r="117" spans="1:12" s="1" customFormat="1" hidden="1" x14ac:dyDescent="0.25">
      <c r="A117" s="713"/>
      <c r="B117" s="397"/>
      <c r="C117" s="397"/>
      <c r="D117" s="397"/>
      <c r="E117" s="397"/>
      <c r="F117" s="1112"/>
      <c r="G117" s="1113"/>
      <c r="H117" s="397"/>
      <c r="I117" s="725"/>
      <c r="J117" s="368"/>
      <c r="K117" s="369"/>
      <c r="L117" s="369"/>
    </row>
    <row r="118" spans="1:12" s="1" customFormat="1" hidden="1" x14ac:dyDescent="0.25">
      <c r="A118" s="713"/>
      <c r="B118" s="391"/>
      <c r="C118" s="391"/>
      <c r="D118" s="391"/>
      <c r="E118" s="391"/>
      <c r="F118" s="1065"/>
      <c r="G118" s="1066"/>
      <c r="H118" s="728"/>
      <c r="I118" s="270"/>
      <c r="J118" s="407"/>
      <c r="K118" s="369"/>
      <c r="L118" s="369"/>
    </row>
    <row r="119" spans="1:12" s="1" customFormat="1" hidden="1" x14ac:dyDescent="0.25">
      <c r="A119" s="713"/>
      <c r="B119" s="391"/>
      <c r="C119" s="391"/>
      <c r="D119" s="391"/>
      <c r="E119" s="391"/>
      <c r="F119" s="1065"/>
      <c r="G119" s="1066"/>
      <c r="H119" s="391"/>
      <c r="I119" s="386"/>
      <c r="J119" s="368"/>
      <c r="K119" s="369"/>
      <c r="L119" s="369"/>
    </row>
    <row r="120" spans="1:12" s="1" customFormat="1" hidden="1" x14ac:dyDescent="0.25">
      <c r="A120" s="713"/>
      <c r="B120" s="391"/>
      <c r="C120" s="391"/>
      <c r="D120" s="391"/>
      <c r="E120" s="391"/>
      <c r="F120" s="1065"/>
      <c r="G120" s="1066"/>
      <c r="H120" s="391"/>
      <c r="I120" s="386"/>
      <c r="J120" s="368"/>
      <c r="K120" s="369"/>
      <c r="L120" s="369"/>
    </row>
    <row r="121" spans="1:12" s="1" customFormat="1" ht="55.5" hidden="1" customHeight="1" x14ac:dyDescent="0.25">
      <c r="A121" s="1154"/>
      <c r="B121" s="397"/>
      <c r="C121" s="1136"/>
      <c r="D121" s="1136"/>
      <c r="E121" s="1136"/>
      <c r="F121" s="1138"/>
      <c r="G121" s="1139"/>
      <c r="H121" s="397"/>
      <c r="I121" s="1073"/>
      <c r="J121" s="368"/>
      <c r="K121" s="110">
        <v>0</v>
      </c>
      <c r="L121" s="110">
        <v>0</v>
      </c>
    </row>
    <row r="122" spans="1:12" s="1" customFormat="1" ht="63" hidden="1" customHeight="1" x14ac:dyDescent="0.25">
      <c r="A122" s="1155"/>
      <c r="B122" s="391"/>
      <c r="C122" s="1137"/>
      <c r="D122" s="1137"/>
      <c r="E122" s="1137"/>
      <c r="F122" s="1140"/>
      <c r="G122" s="1141"/>
      <c r="H122" s="391"/>
      <c r="I122" s="1074"/>
      <c r="J122" s="771"/>
      <c r="K122" s="110">
        <v>0</v>
      </c>
      <c r="L122" s="110">
        <v>0</v>
      </c>
    </row>
    <row r="123" spans="1:12" s="1" customFormat="1" x14ac:dyDescent="0.25">
      <c r="A123" s="241"/>
      <c r="B123" s="1123" t="s">
        <v>953</v>
      </c>
      <c r="C123" s="1124"/>
      <c r="D123" s="1124"/>
      <c r="E123" s="1124"/>
      <c r="F123" s="1124"/>
      <c r="G123" s="1124"/>
      <c r="H123" s="1124"/>
      <c r="I123" s="1125"/>
      <c r="J123" s="46">
        <f>J124+J126+J125</f>
        <v>0</v>
      </c>
      <c r="K123" s="46">
        <f>K124+K126</f>
        <v>0</v>
      </c>
      <c r="L123" s="46">
        <f>L124+L126</f>
        <v>0</v>
      </c>
    </row>
    <row r="124" spans="1:12" s="1" customFormat="1" ht="127.5" hidden="1" customHeight="1" x14ac:dyDescent="0.3">
      <c r="A124" s="366"/>
      <c r="B124" s="376"/>
      <c r="C124" s="376"/>
      <c r="D124" s="376"/>
      <c r="E124" s="376"/>
      <c r="F124" s="1143"/>
      <c r="G124" s="1144"/>
      <c r="H124" s="813"/>
      <c r="I124" s="228"/>
      <c r="J124" s="368"/>
      <c r="K124" s="110">
        <v>0</v>
      </c>
      <c r="L124" s="110">
        <v>0</v>
      </c>
    </row>
    <row r="125" spans="1:12" s="1" customFormat="1" ht="84.75" hidden="1" customHeight="1" x14ac:dyDescent="0.3">
      <c r="A125" s="366"/>
      <c r="B125" s="376"/>
      <c r="C125" s="376"/>
      <c r="D125" s="376"/>
      <c r="E125" s="376"/>
      <c r="F125" s="1143"/>
      <c r="G125" s="1144"/>
      <c r="H125" s="813"/>
      <c r="I125" s="812"/>
      <c r="J125" s="368"/>
      <c r="K125" s="110">
        <v>0</v>
      </c>
      <c r="L125" s="110">
        <v>0</v>
      </c>
    </row>
    <row r="126" spans="1:12" s="1" customFormat="1" ht="50.25" hidden="1" customHeight="1" x14ac:dyDescent="0.3">
      <c r="A126" s="241"/>
      <c r="B126" s="376"/>
      <c r="C126" s="376"/>
      <c r="D126" s="376"/>
      <c r="E126" s="376"/>
      <c r="F126" s="1143"/>
      <c r="G126" s="1144"/>
      <c r="H126" s="376"/>
      <c r="I126" s="807"/>
      <c r="J126" s="368"/>
      <c r="K126" s="369">
        <v>0</v>
      </c>
      <c r="L126" s="369">
        <v>0</v>
      </c>
    </row>
    <row r="127" spans="1:12" s="1" customFormat="1" ht="17.25" customHeight="1" x14ac:dyDescent="0.25">
      <c r="A127" s="382"/>
      <c r="B127" s="1145" t="s">
        <v>954</v>
      </c>
      <c r="C127" s="1146"/>
      <c r="D127" s="1146"/>
      <c r="E127" s="1146"/>
      <c r="F127" s="1146"/>
      <c r="G127" s="1146"/>
      <c r="H127" s="1146"/>
      <c r="I127" s="1147"/>
      <c r="J127" s="373">
        <f>SUM(J128:J133)+J135+J134+J136+J137+J138+J139+J140++J141+J142+J143+J144</f>
        <v>0</v>
      </c>
      <c r="K127" s="373">
        <f>SUM(K128:K133)+K135+K134+K136+K137+K138+K139+K140++K141+K142+K143</f>
        <v>0</v>
      </c>
      <c r="L127" s="373">
        <f>SUM(L128:L133)+L135+L134+L136+L137+L138+L139+L140++L141+L142+L143</f>
        <v>0</v>
      </c>
    </row>
    <row r="128" spans="1:12" s="1" customFormat="1" ht="16.5" hidden="1" x14ac:dyDescent="0.3">
      <c r="A128" s="366"/>
      <c r="B128" s="376"/>
      <c r="C128" s="376"/>
      <c r="D128" s="376"/>
      <c r="E128" s="376"/>
      <c r="F128" s="1143"/>
      <c r="G128" s="1144"/>
      <c r="H128" s="502"/>
      <c r="I128" s="228"/>
      <c r="J128" s="368"/>
      <c r="K128" s="110">
        <v>0</v>
      </c>
      <c r="L128" s="110">
        <v>0</v>
      </c>
    </row>
    <row r="129" spans="1:12" s="1" customFormat="1" ht="16.5" hidden="1" x14ac:dyDescent="0.3">
      <c r="A129" s="366"/>
      <c r="B129" s="376"/>
      <c r="C129" s="376"/>
      <c r="D129" s="376"/>
      <c r="E129" s="376"/>
      <c r="F129" s="1143"/>
      <c r="G129" s="1144"/>
      <c r="H129" s="502"/>
      <c r="I129" s="228"/>
      <c r="J129" s="368"/>
      <c r="K129" s="110">
        <v>0</v>
      </c>
      <c r="L129" s="110">
        <v>0</v>
      </c>
    </row>
    <row r="130" spans="1:12" s="1" customFormat="1" ht="0.75" hidden="1" customHeight="1" x14ac:dyDescent="0.3">
      <c r="A130" s="366"/>
      <c r="B130" s="376"/>
      <c r="C130" s="376"/>
      <c r="D130" s="376"/>
      <c r="E130" s="376"/>
      <c r="F130" s="1143"/>
      <c r="G130" s="1144"/>
      <c r="H130" s="376"/>
      <c r="I130" s="228"/>
      <c r="J130" s="368"/>
      <c r="K130" s="110">
        <v>0</v>
      </c>
      <c r="L130" s="110">
        <v>0</v>
      </c>
    </row>
    <row r="131" spans="1:12" s="1" customFormat="1" ht="16.5" hidden="1" x14ac:dyDescent="0.3">
      <c r="A131" s="753"/>
      <c r="B131" s="376"/>
      <c r="C131" s="376"/>
      <c r="D131" s="376"/>
      <c r="E131" s="376"/>
      <c r="F131" s="1143"/>
      <c r="G131" s="1144"/>
      <c r="H131" s="376"/>
      <c r="I131" s="375"/>
      <c r="J131" s="368"/>
      <c r="K131" s="110">
        <v>0</v>
      </c>
      <c r="L131" s="110">
        <v>0</v>
      </c>
    </row>
    <row r="132" spans="1:12" s="1" customFormat="1" ht="16.5" hidden="1" x14ac:dyDescent="0.3">
      <c r="A132" s="753"/>
      <c r="B132" s="376"/>
      <c r="C132" s="376"/>
      <c r="D132" s="376"/>
      <c r="E132" s="376"/>
      <c r="F132" s="1143"/>
      <c r="G132" s="1144"/>
      <c r="H132" s="376"/>
      <c r="I132" s="228"/>
      <c r="J132" s="368"/>
      <c r="K132" s="110">
        <v>0</v>
      </c>
      <c r="L132" s="110">
        <v>0</v>
      </c>
    </row>
    <row r="133" spans="1:12" s="1" customFormat="1" ht="16.5" hidden="1" x14ac:dyDescent="0.3">
      <c r="A133" s="366"/>
      <c r="B133" s="383"/>
      <c r="C133" s="383"/>
      <c r="D133" s="383"/>
      <c r="E133" s="383"/>
      <c r="F133" s="1156"/>
      <c r="G133" s="1157"/>
      <c r="H133" s="383"/>
      <c r="I133" s="228"/>
      <c r="J133" s="368"/>
      <c r="K133" s="41">
        <v>0</v>
      </c>
      <c r="L133" s="41">
        <v>0</v>
      </c>
    </row>
    <row r="134" spans="1:12" s="1" customFormat="1" ht="62.25" hidden="1" customHeight="1" x14ac:dyDescent="0.3">
      <c r="A134" s="366"/>
      <c r="B134" s="383"/>
      <c r="C134" s="383"/>
      <c r="D134" s="383"/>
      <c r="E134" s="383"/>
      <c r="F134" s="1156"/>
      <c r="G134" s="1157"/>
      <c r="H134" s="383"/>
      <c r="I134" s="228"/>
      <c r="J134" s="388"/>
      <c r="K134" s="388">
        <v>0</v>
      </c>
      <c r="L134" s="388">
        <v>0</v>
      </c>
    </row>
    <row r="135" spans="1:12" s="1" customFormat="1" ht="15.75" hidden="1" customHeight="1" x14ac:dyDescent="0.3">
      <c r="A135" s="380"/>
      <c r="B135" s="453"/>
      <c r="C135" s="453"/>
      <c r="D135" s="453"/>
      <c r="E135" s="453"/>
      <c r="F135" s="1161"/>
      <c r="G135" s="1161"/>
      <c r="H135" s="453"/>
      <c r="I135" s="377"/>
      <c r="J135" s="388"/>
      <c r="K135" s="389">
        <v>0</v>
      </c>
      <c r="L135" s="389">
        <v>0</v>
      </c>
    </row>
    <row r="136" spans="1:12" s="1" customFormat="1" ht="16.5" hidden="1" x14ac:dyDescent="0.3">
      <c r="A136" s="483"/>
      <c r="B136" s="383"/>
      <c r="C136" s="383"/>
      <c r="D136" s="383"/>
      <c r="E136" s="383"/>
      <c r="F136" s="1156"/>
      <c r="G136" s="1157"/>
      <c r="H136" s="383"/>
      <c r="I136" s="375"/>
      <c r="J136" s="388"/>
      <c r="K136" s="389">
        <v>0</v>
      </c>
      <c r="L136" s="389">
        <v>0</v>
      </c>
    </row>
    <row r="137" spans="1:12" s="1" customFormat="1" ht="16.5" hidden="1" x14ac:dyDescent="0.3">
      <c r="A137" s="483"/>
      <c r="B137" s="383"/>
      <c r="C137" s="383"/>
      <c r="D137" s="383"/>
      <c r="E137" s="383"/>
      <c r="F137" s="1156"/>
      <c r="G137" s="1157"/>
      <c r="H137" s="383"/>
      <c r="I137" s="228"/>
      <c r="J137" s="388"/>
      <c r="K137" s="389">
        <v>0</v>
      </c>
      <c r="L137" s="389">
        <v>0</v>
      </c>
    </row>
    <row r="138" spans="1:12" s="1" customFormat="1" ht="16.5" hidden="1" x14ac:dyDescent="0.3">
      <c r="A138" s="483"/>
      <c r="B138" s="453"/>
      <c r="C138" s="453"/>
      <c r="D138" s="453"/>
      <c r="E138" s="453"/>
      <c r="F138" s="1158"/>
      <c r="G138" s="1159"/>
      <c r="H138" s="453"/>
      <c r="I138" s="454"/>
      <c r="J138" s="388"/>
      <c r="K138" s="389">
        <v>0</v>
      </c>
      <c r="L138" s="389">
        <v>0</v>
      </c>
    </row>
    <row r="139" spans="1:12" s="1" customFormat="1" ht="16.5" hidden="1" x14ac:dyDescent="0.3">
      <c r="A139" s="483"/>
      <c r="B139" s="383"/>
      <c r="C139" s="383"/>
      <c r="D139" s="383"/>
      <c r="E139" s="383"/>
      <c r="F139" s="1156"/>
      <c r="G139" s="1157"/>
      <c r="H139" s="383"/>
      <c r="I139" s="228"/>
      <c r="J139" s="388"/>
      <c r="K139" s="389">
        <v>0</v>
      </c>
      <c r="L139" s="389">
        <v>0</v>
      </c>
    </row>
    <row r="140" spans="1:12" s="1" customFormat="1" ht="10.5" hidden="1" customHeight="1" x14ac:dyDescent="0.3">
      <c r="A140" s="483"/>
      <c r="B140" s="383"/>
      <c r="C140" s="383"/>
      <c r="D140" s="383"/>
      <c r="E140" s="383"/>
      <c r="F140" s="1156"/>
      <c r="G140" s="1157"/>
      <c r="H140" s="383"/>
      <c r="I140" s="228"/>
      <c r="J140" s="388"/>
      <c r="K140" s="389">
        <v>0</v>
      </c>
      <c r="L140" s="389">
        <v>0</v>
      </c>
    </row>
    <row r="141" spans="1:12" s="1" customFormat="1" ht="11.25" hidden="1" customHeight="1" x14ac:dyDescent="0.3">
      <c r="A141" s="483"/>
      <c r="B141" s="453"/>
      <c r="C141" s="453"/>
      <c r="D141" s="453"/>
      <c r="E141" s="453"/>
      <c r="F141" s="1158"/>
      <c r="G141" s="1159"/>
      <c r="H141" s="453"/>
      <c r="I141" s="454"/>
      <c r="J141" s="388"/>
      <c r="K141" s="389">
        <v>0</v>
      </c>
      <c r="L141" s="389">
        <v>0</v>
      </c>
    </row>
    <row r="142" spans="1:12" s="1" customFormat="1" ht="50.25" hidden="1" customHeight="1" x14ac:dyDescent="0.3">
      <c r="A142" s="1057"/>
      <c r="B142" s="383"/>
      <c r="C142" s="1059"/>
      <c r="D142" s="1059"/>
      <c r="E142" s="1059"/>
      <c r="F142" s="1061"/>
      <c r="G142" s="1062"/>
      <c r="H142" s="383"/>
      <c r="I142" s="1081"/>
      <c r="J142" s="388"/>
      <c r="K142" s="389">
        <v>0</v>
      </c>
      <c r="L142" s="389">
        <v>0</v>
      </c>
    </row>
    <row r="143" spans="1:12" s="1" customFormat="1" ht="50.25" hidden="1" customHeight="1" x14ac:dyDescent="0.3">
      <c r="A143" s="1058"/>
      <c r="B143" s="383"/>
      <c r="C143" s="1060"/>
      <c r="D143" s="1060"/>
      <c r="E143" s="1060"/>
      <c r="F143" s="1063"/>
      <c r="G143" s="1064"/>
      <c r="H143" s="383"/>
      <c r="I143" s="1074"/>
      <c r="J143" s="388"/>
      <c r="K143" s="459">
        <v>0</v>
      </c>
      <c r="L143" s="459">
        <v>0</v>
      </c>
    </row>
    <row r="144" spans="1:12" s="1" customFormat="1" ht="111.75" hidden="1" customHeight="1" x14ac:dyDescent="0.3">
      <c r="A144" s="366"/>
      <c r="B144" s="376"/>
      <c r="C144" s="376"/>
      <c r="D144" s="376"/>
      <c r="E144" s="376"/>
      <c r="F144" s="1143"/>
      <c r="G144" s="1144"/>
      <c r="H144" s="502"/>
      <c r="I144" s="386"/>
      <c r="J144" s="368"/>
      <c r="K144" s="389">
        <v>0</v>
      </c>
      <c r="L144" s="389">
        <v>0</v>
      </c>
    </row>
    <row r="145" spans="1:12" s="1" customFormat="1" x14ac:dyDescent="0.25">
      <c r="A145" s="382"/>
      <c r="B145" s="1149" t="s">
        <v>955</v>
      </c>
      <c r="C145" s="1150"/>
      <c r="D145" s="1150"/>
      <c r="E145" s="1150"/>
      <c r="F145" s="1150"/>
      <c r="G145" s="1150"/>
      <c r="H145" s="1150"/>
      <c r="I145" s="1160"/>
      <c r="J145" s="373">
        <f>SUM(J146:J149)</f>
        <v>0</v>
      </c>
      <c r="K145" s="373">
        <f>SUM(K146:K146)</f>
        <v>0</v>
      </c>
      <c r="L145" s="373">
        <f>SUM(L146:L146)</f>
        <v>0</v>
      </c>
    </row>
    <row r="146" spans="1:12" ht="50.1" customHeight="1" x14ac:dyDescent="0.25">
      <c r="A146" s="430">
        <v>1</v>
      </c>
      <c r="B146" s="391" t="s">
        <v>15</v>
      </c>
      <c r="C146" s="560" t="s">
        <v>124</v>
      </c>
      <c r="D146" s="560" t="s">
        <v>123</v>
      </c>
      <c r="E146" s="560" t="s">
        <v>1081</v>
      </c>
      <c r="F146" s="1065" t="s">
        <v>1535</v>
      </c>
      <c r="G146" s="1066"/>
      <c r="H146" s="392">
        <v>200</v>
      </c>
      <c r="I146" s="228" t="s">
        <v>1540</v>
      </c>
      <c r="J146" s="407">
        <v>-342000</v>
      </c>
      <c r="K146" s="84">
        <v>0</v>
      </c>
      <c r="L146" s="84">
        <v>0</v>
      </c>
    </row>
    <row r="147" spans="1:12" ht="118.5" customHeight="1" x14ac:dyDescent="0.25">
      <c r="A147" s="430">
        <v>2</v>
      </c>
      <c r="B147" s="391" t="s">
        <v>16</v>
      </c>
      <c r="C147" s="560" t="s">
        <v>124</v>
      </c>
      <c r="D147" s="560" t="s">
        <v>132</v>
      </c>
      <c r="E147" s="560" t="s">
        <v>1528</v>
      </c>
      <c r="F147" s="1065" t="s">
        <v>1529</v>
      </c>
      <c r="G147" s="1066"/>
      <c r="H147" s="392">
        <v>500</v>
      </c>
      <c r="I147" s="228" t="s">
        <v>1539</v>
      </c>
      <c r="J147" s="407">
        <v>342000</v>
      </c>
      <c r="K147" s="84">
        <v>0</v>
      </c>
      <c r="L147" s="84">
        <v>0</v>
      </c>
    </row>
    <row r="148" spans="1:12" ht="21" customHeight="1" x14ac:dyDescent="0.25">
      <c r="A148" s="430"/>
      <c r="B148" s="391"/>
      <c r="C148" s="811"/>
      <c r="D148" s="811"/>
      <c r="E148" s="811"/>
      <c r="F148" s="1152"/>
      <c r="G148" s="1153"/>
      <c r="H148" s="392"/>
      <c r="I148" s="909"/>
      <c r="J148" s="407"/>
      <c r="K148" s="84">
        <v>0</v>
      </c>
      <c r="L148" s="84">
        <v>0</v>
      </c>
    </row>
    <row r="149" spans="1:12" ht="0.75" hidden="1" customHeight="1" x14ac:dyDescent="0.25">
      <c r="A149" s="430"/>
      <c r="B149" s="391"/>
      <c r="C149" s="811"/>
      <c r="D149" s="811"/>
      <c r="E149" s="811"/>
      <c r="F149" s="811"/>
      <c r="G149" s="811"/>
      <c r="H149" s="392"/>
      <c r="I149" s="910"/>
      <c r="J149" s="407"/>
      <c r="K149" s="84">
        <v>0</v>
      </c>
      <c r="L149" s="84">
        <v>0</v>
      </c>
    </row>
    <row r="150" spans="1:12" x14ac:dyDescent="0.25">
      <c r="A150" s="240"/>
      <c r="B150" s="1123" t="s">
        <v>956</v>
      </c>
      <c r="C150" s="1124"/>
      <c r="D150" s="1124"/>
      <c r="E150" s="1124"/>
      <c r="F150" s="1124"/>
      <c r="G150" s="1124"/>
      <c r="H150" s="1124"/>
      <c r="I150" s="1125"/>
      <c r="J150" s="46"/>
      <c r="K150" s="46">
        <f>K151</f>
        <v>0</v>
      </c>
      <c r="L150" s="46">
        <f>L151</f>
        <v>0</v>
      </c>
    </row>
    <row r="151" spans="1:12" ht="0.75" customHeight="1" x14ac:dyDescent="0.25">
      <c r="A151" s="348"/>
      <c r="B151" s="349"/>
      <c r="C151" s="349"/>
      <c r="D151" s="349"/>
      <c r="E151" s="349"/>
      <c r="F151" s="1119"/>
      <c r="G151" s="1120"/>
      <c r="H151" s="395"/>
      <c r="I151" s="400"/>
      <c r="J151" s="401"/>
      <c r="K151" s="393"/>
      <c r="L151" s="393"/>
    </row>
    <row r="152" spans="1:12" hidden="1" x14ac:dyDescent="0.25">
      <c r="A152" s="240"/>
      <c r="B152" s="402"/>
      <c r="C152" s="26"/>
      <c r="D152" s="26"/>
      <c r="E152" s="26"/>
      <c r="F152" s="26"/>
      <c r="G152" s="26"/>
      <c r="H152" s="103"/>
      <c r="I152" s="26"/>
      <c r="J152" s="41"/>
      <c r="K152" s="84"/>
      <c r="L152" s="84"/>
    </row>
    <row r="153" spans="1:12" x14ac:dyDescent="0.25">
      <c r="A153" s="735"/>
      <c r="B153" s="1142" t="s">
        <v>957</v>
      </c>
      <c r="C153" s="1142"/>
      <c r="D153" s="1142"/>
      <c r="E153" s="1142"/>
      <c r="F153" s="1142"/>
      <c r="G153" s="1142"/>
      <c r="H153" s="1142"/>
      <c r="I153" s="1142"/>
      <c r="J153" s="373">
        <f>SUM(J154:J193)+J194+J195+J196+J197+J198+J199</f>
        <v>0</v>
      </c>
      <c r="K153" s="373">
        <f>SUM(K155:K193)</f>
        <v>0</v>
      </c>
      <c r="L153" s="373">
        <f>SUM(L155:L193)</f>
        <v>0</v>
      </c>
    </row>
    <row r="154" spans="1:12" hidden="1" x14ac:dyDescent="0.25">
      <c r="A154" s="753"/>
      <c r="B154" s="391"/>
      <c r="C154" s="391"/>
      <c r="D154" s="391"/>
      <c r="E154" s="391"/>
      <c r="F154" s="1065"/>
      <c r="G154" s="1066"/>
      <c r="H154" s="564"/>
      <c r="I154" s="228"/>
      <c r="J154" s="407"/>
      <c r="K154" s="404"/>
      <c r="L154" s="404">
        <v>0</v>
      </c>
    </row>
    <row r="155" spans="1:12" ht="15" hidden="1" customHeight="1" x14ac:dyDescent="0.25">
      <c r="A155" s="374"/>
      <c r="B155" s="391"/>
      <c r="C155" s="391"/>
      <c r="D155" s="391"/>
      <c r="E155" s="391"/>
      <c r="F155" s="1065"/>
      <c r="G155" s="1066"/>
      <c r="H155" s="565"/>
      <c r="I155" s="409"/>
      <c r="J155" s="407"/>
      <c r="K155" s="84">
        <v>0</v>
      </c>
      <c r="L155" s="84">
        <v>0</v>
      </c>
    </row>
    <row r="156" spans="1:12" hidden="1" x14ac:dyDescent="0.25">
      <c r="A156" s="374"/>
      <c r="B156" s="391"/>
      <c r="C156" s="391"/>
      <c r="D156" s="391"/>
      <c r="E156" s="391"/>
      <c r="F156" s="1065"/>
      <c r="G156" s="1066"/>
      <c r="H156" s="564"/>
      <c r="I156" s="409"/>
      <c r="J156" s="407"/>
      <c r="K156" s="84">
        <v>0</v>
      </c>
      <c r="L156" s="84">
        <v>0</v>
      </c>
    </row>
    <row r="157" spans="1:12" ht="0.75" hidden="1" customHeight="1" x14ac:dyDescent="0.25">
      <c r="A157" s="711"/>
      <c r="B157" s="391"/>
      <c r="C157" s="391"/>
      <c r="D157" s="391"/>
      <c r="E157" s="391"/>
      <c r="F157" s="1065"/>
      <c r="G157" s="1066"/>
      <c r="H157" s="564"/>
      <c r="I157" s="409"/>
      <c r="J157" s="407"/>
      <c r="K157" s="41">
        <v>0</v>
      </c>
      <c r="L157" s="41">
        <v>0</v>
      </c>
    </row>
    <row r="158" spans="1:12" hidden="1" x14ac:dyDescent="0.25">
      <c r="A158" s="711"/>
      <c r="B158" s="391"/>
      <c r="C158" s="391"/>
      <c r="D158" s="391"/>
      <c r="E158" s="391"/>
      <c r="F158" s="1065"/>
      <c r="G158" s="1066"/>
      <c r="H158" s="564"/>
      <c r="I158" s="409"/>
      <c r="J158" s="407"/>
      <c r="K158" s="41">
        <v>0</v>
      </c>
      <c r="L158" s="41">
        <v>0</v>
      </c>
    </row>
    <row r="159" spans="1:12" hidden="1" x14ac:dyDescent="0.25">
      <c r="A159" s="711"/>
      <c r="B159" s="391"/>
      <c r="C159" s="391"/>
      <c r="D159" s="391"/>
      <c r="E159" s="391"/>
      <c r="F159" s="1065"/>
      <c r="G159" s="1066"/>
      <c r="H159" s="564"/>
      <c r="I159" s="409"/>
      <c r="J159" s="407"/>
      <c r="K159" s="41">
        <v>0</v>
      </c>
      <c r="L159" s="41">
        <v>0</v>
      </c>
    </row>
    <row r="160" spans="1:12" hidden="1" x14ac:dyDescent="0.25">
      <c r="A160" s="711"/>
      <c r="B160" s="391"/>
      <c r="C160" s="391"/>
      <c r="D160" s="391"/>
      <c r="E160" s="391"/>
      <c r="F160" s="1065"/>
      <c r="G160" s="1066"/>
      <c r="H160" s="564"/>
      <c r="I160" s="409"/>
      <c r="J160" s="407"/>
      <c r="K160" s="41">
        <v>0</v>
      </c>
      <c r="L160" s="41">
        <v>0</v>
      </c>
    </row>
    <row r="161" spans="1:12" hidden="1" x14ac:dyDescent="0.25">
      <c r="A161" s="711"/>
      <c r="B161" s="391"/>
      <c r="C161" s="391"/>
      <c r="D161" s="391"/>
      <c r="E161" s="391"/>
      <c r="F161" s="1065"/>
      <c r="G161" s="1066"/>
      <c r="H161" s="564"/>
      <c r="I161" s="409"/>
      <c r="J161" s="407"/>
      <c r="K161" s="84">
        <v>0</v>
      </c>
      <c r="L161" s="84">
        <v>0</v>
      </c>
    </row>
    <row r="162" spans="1:12" hidden="1" x14ac:dyDescent="0.25">
      <c r="A162" s="711"/>
      <c r="B162" s="391"/>
      <c r="C162" s="391"/>
      <c r="D162" s="391"/>
      <c r="E162" s="391"/>
      <c r="F162" s="1065"/>
      <c r="G162" s="1066"/>
      <c r="H162" s="564"/>
      <c r="I162" s="409"/>
      <c r="J162" s="407"/>
      <c r="K162" s="84">
        <v>0</v>
      </c>
      <c r="L162" s="84">
        <v>0</v>
      </c>
    </row>
    <row r="163" spans="1:12" hidden="1" x14ac:dyDescent="0.25">
      <c r="A163" s="711"/>
      <c r="B163" s="391"/>
      <c r="C163" s="391"/>
      <c r="D163" s="391"/>
      <c r="E163" s="391"/>
      <c r="F163" s="1065"/>
      <c r="G163" s="1066"/>
      <c r="H163" s="564"/>
      <c r="I163" s="409"/>
      <c r="J163" s="407"/>
      <c r="K163" s="84">
        <v>0</v>
      </c>
      <c r="L163" s="84">
        <v>0</v>
      </c>
    </row>
    <row r="164" spans="1:12" hidden="1" x14ac:dyDescent="0.25">
      <c r="A164" s="711"/>
      <c r="B164" s="391"/>
      <c r="C164" s="391"/>
      <c r="D164" s="391"/>
      <c r="E164" s="391"/>
      <c r="F164" s="391"/>
      <c r="G164" s="391"/>
      <c r="H164" s="564"/>
      <c r="I164" s="409"/>
      <c r="J164" s="407"/>
      <c r="K164" s="393"/>
      <c r="L164" s="393"/>
    </row>
    <row r="165" spans="1:12" hidden="1" x14ac:dyDescent="0.25">
      <c r="A165" s="711"/>
      <c r="B165" s="391"/>
      <c r="C165" s="391"/>
      <c r="D165" s="391"/>
      <c r="E165" s="391"/>
      <c r="F165" s="391"/>
      <c r="G165" s="391"/>
      <c r="H165" s="564"/>
      <c r="I165" s="409"/>
      <c r="J165" s="407"/>
      <c r="K165" s="84"/>
      <c r="L165" s="84"/>
    </row>
    <row r="166" spans="1:12" hidden="1" x14ac:dyDescent="0.25">
      <c r="A166" s="711"/>
      <c r="B166" s="391"/>
      <c r="C166" s="391"/>
      <c r="D166" s="391"/>
      <c r="E166" s="391"/>
      <c r="F166" s="391"/>
      <c r="G166" s="391"/>
      <c r="H166" s="564"/>
      <c r="I166" s="409"/>
      <c r="J166" s="407"/>
      <c r="K166" s="393"/>
      <c r="L166" s="393"/>
    </row>
    <row r="167" spans="1:12" hidden="1" x14ac:dyDescent="0.25">
      <c r="A167" s="711"/>
      <c r="B167" s="391"/>
      <c r="C167" s="391"/>
      <c r="D167" s="391"/>
      <c r="E167" s="391"/>
      <c r="F167" s="391"/>
      <c r="G167" s="391"/>
      <c r="H167" s="564"/>
      <c r="I167" s="409"/>
      <c r="J167" s="407"/>
      <c r="K167" s="393"/>
      <c r="L167" s="393"/>
    </row>
    <row r="168" spans="1:12" hidden="1" x14ac:dyDescent="0.25">
      <c r="A168" s="711"/>
      <c r="B168" s="391"/>
      <c r="C168" s="391"/>
      <c r="D168" s="391"/>
      <c r="E168" s="391"/>
      <c r="F168" s="391"/>
      <c r="G168" s="391"/>
      <c r="H168" s="565"/>
      <c r="I168" s="409"/>
      <c r="J168" s="407"/>
      <c r="K168" s="84"/>
      <c r="L168" s="84"/>
    </row>
    <row r="169" spans="1:12" hidden="1" x14ac:dyDescent="0.25">
      <c r="A169" s="711"/>
      <c r="B169" s="391"/>
      <c r="C169" s="391"/>
      <c r="D169" s="391"/>
      <c r="E169" s="391"/>
      <c r="F169" s="391"/>
      <c r="G169" s="391"/>
      <c r="H169" s="564"/>
      <c r="I169" s="409"/>
      <c r="J169" s="407"/>
      <c r="K169" s="84"/>
      <c r="L169" s="84"/>
    </row>
    <row r="170" spans="1:12" hidden="1" x14ac:dyDescent="0.25">
      <c r="A170" s="711"/>
      <c r="B170" s="391"/>
      <c r="C170" s="391"/>
      <c r="D170" s="391"/>
      <c r="E170" s="391"/>
      <c r="F170" s="391"/>
      <c r="G170" s="391"/>
      <c r="H170" s="565"/>
      <c r="I170" s="409"/>
      <c r="J170" s="407"/>
      <c r="K170" s="84"/>
      <c r="L170" s="84"/>
    </row>
    <row r="171" spans="1:12" hidden="1" x14ac:dyDescent="0.25">
      <c r="A171" s="711"/>
      <c r="B171" s="391"/>
      <c r="C171" s="391"/>
      <c r="D171" s="391"/>
      <c r="E171" s="391"/>
      <c r="F171" s="391"/>
      <c r="G171" s="391"/>
      <c r="H171" s="564"/>
      <c r="I171" s="409"/>
      <c r="J171" s="407"/>
      <c r="K171" s="84"/>
      <c r="L171" s="84"/>
    </row>
    <row r="172" spans="1:12" hidden="1" x14ac:dyDescent="0.25">
      <c r="A172" s="711"/>
      <c r="B172" s="391"/>
      <c r="C172" s="391"/>
      <c r="D172" s="391"/>
      <c r="E172" s="391"/>
      <c r="F172" s="391"/>
      <c r="G172" s="391"/>
      <c r="H172" s="564"/>
      <c r="I172" s="409"/>
      <c r="J172" s="407"/>
      <c r="K172" s="84"/>
      <c r="L172" s="84"/>
    </row>
    <row r="173" spans="1:12" hidden="1" x14ac:dyDescent="0.25">
      <c r="A173" s="711"/>
      <c r="B173" s="391"/>
      <c r="C173" s="391"/>
      <c r="D173" s="391"/>
      <c r="E173" s="391"/>
      <c r="F173" s="391"/>
      <c r="G173" s="391"/>
      <c r="H173" s="564"/>
      <c r="I173" s="409"/>
      <c r="J173" s="407"/>
      <c r="K173" s="84"/>
      <c r="L173" s="84"/>
    </row>
    <row r="174" spans="1:12" hidden="1" x14ac:dyDescent="0.25">
      <c r="A174" s="711"/>
      <c r="B174" s="391"/>
      <c r="C174" s="391"/>
      <c r="D174" s="391"/>
      <c r="E174" s="391"/>
      <c r="F174" s="391"/>
      <c r="G174" s="391"/>
      <c r="H174" s="564"/>
      <c r="I174" s="409"/>
      <c r="J174" s="407"/>
      <c r="K174" s="84"/>
      <c r="L174" s="84"/>
    </row>
    <row r="175" spans="1:12" hidden="1" x14ac:dyDescent="0.25">
      <c r="A175" s="711"/>
      <c r="B175" s="391"/>
      <c r="C175" s="391"/>
      <c r="D175" s="391"/>
      <c r="E175" s="391"/>
      <c r="F175" s="1065"/>
      <c r="G175" s="1066"/>
      <c r="H175" s="564"/>
      <c r="I175" s="409"/>
      <c r="J175" s="407"/>
      <c r="K175" s="84">
        <v>0</v>
      </c>
      <c r="L175" s="84">
        <v>0</v>
      </c>
    </row>
    <row r="176" spans="1:12" hidden="1" x14ac:dyDescent="0.25">
      <c r="A176" s="711"/>
      <c r="B176" s="391"/>
      <c r="C176" s="391"/>
      <c r="D176" s="391"/>
      <c r="E176" s="391"/>
      <c r="F176" s="1065"/>
      <c r="G176" s="1066"/>
      <c r="H176" s="564"/>
      <c r="I176" s="409"/>
      <c r="J176" s="407"/>
      <c r="K176" s="84">
        <v>0</v>
      </c>
      <c r="L176" s="84">
        <v>0</v>
      </c>
    </row>
    <row r="177" spans="1:12" hidden="1" x14ac:dyDescent="0.25">
      <c r="A177" s="711"/>
      <c r="B177" s="391"/>
      <c r="C177" s="391"/>
      <c r="D177" s="391"/>
      <c r="E177" s="391"/>
      <c r="F177" s="1065"/>
      <c r="G177" s="1066"/>
      <c r="H177" s="564"/>
      <c r="I177" s="409"/>
      <c r="J177" s="407"/>
      <c r="K177" s="84">
        <v>0</v>
      </c>
      <c r="L177" s="84">
        <v>0</v>
      </c>
    </row>
    <row r="178" spans="1:12" hidden="1" x14ac:dyDescent="0.25">
      <c r="A178" s="711"/>
      <c r="B178" s="737"/>
      <c r="C178" s="739"/>
      <c r="D178" s="739"/>
      <c r="E178" s="739"/>
      <c r="F178" s="1067"/>
      <c r="G178" s="1068"/>
      <c r="H178" s="564"/>
      <c r="I178" s="409"/>
      <c r="J178" s="407"/>
      <c r="K178" s="84">
        <v>0</v>
      </c>
      <c r="L178" s="84">
        <v>0</v>
      </c>
    </row>
    <row r="179" spans="1:12" hidden="1" x14ac:dyDescent="0.25">
      <c r="A179" s="711"/>
      <c r="B179" s="391"/>
      <c r="C179" s="391"/>
      <c r="D179" s="391"/>
      <c r="E179" s="391"/>
      <c r="F179" s="1065"/>
      <c r="G179" s="1066"/>
      <c r="H179" s="564"/>
      <c r="I179" s="409"/>
      <c r="J179" s="407"/>
      <c r="K179" s="84">
        <v>0</v>
      </c>
      <c r="L179" s="84">
        <v>0</v>
      </c>
    </row>
    <row r="180" spans="1:12" hidden="1" x14ac:dyDescent="0.25">
      <c r="A180" s="711"/>
      <c r="B180" s="391"/>
      <c r="C180" s="391"/>
      <c r="D180" s="391"/>
      <c r="E180" s="391"/>
      <c r="F180" s="1065"/>
      <c r="G180" s="1066"/>
      <c r="H180" s="564"/>
      <c r="I180" s="409"/>
      <c r="J180" s="407"/>
      <c r="K180" s="84">
        <v>0</v>
      </c>
      <c r="L180" s="84">
        <v>0</v>
      </c>
    </row>
    <row r="181" spans="1:12" hidden="1" x14ac:dyDescent="0.25">
      <c r="A181" s="711"/>
      <c r="B181" s="391"/>
      <c r="C181" s="391"/>
      <c r="D181" s="391"/>
      <c r="E181" s="391"/>
      <c r="F181" s="1065"/>
      <c r="G181" s="1066"/>
      <c r="H181" s="564"/>
      <c r="I181" s="409"/>
      <c r="J181" s="407"/>
      <c r="K181" s="84">
        <v>0</v>
      </c>
      <c r="L181" s="84">
        <v>0</v>
      </c>
    </row>
    <row r="182" spans="1:12" hidden="1" x14ac:dyDescent="0.25">
      <c r="A182" s="711"/>
      <c r="B182" s="391"/>
      <c r="C182" s="391"/>
      <c r="D182" s="391"/>
      <c r="E182" s="391"/>
      <c r="F182" s="1065"/>
      <c r="G182" s="1066"/>
      <c r="H182" s="564"/>
      <c r="I182" s="409"/>
      <c r="J182" s="407"/>
      <c r="K182" s="84">
        <v>0</v>
      </c>
      <c r="L182" s="84">
        <v>0</v>
      </c>
    </row>
    <row r="183" spans="1:12" hidden="1" x14ac:dyDescent="0.25">
      <c r="A183" s="374"/>
      <c r="B183" s="391"/>
      <c r="C183" s="391"/>
      <c r="D183" s="391"/>
      <c r="E183" s="391"/>
      <c r="F183" s="1065"/>
      <c r="G183" s="1066"/>
      <c r="H183" s="564"/>
      <c r="I183" s="228"/>
      <c r="J183" s="726"/>
      <c r="K183" s="233"/>
      <c r="L183" s="233"/>
    </row>
    <row r="184" spans="1:12" hidden="1" x14ac:dyDescent="0.25">
      <c r="A184" s="374"/>
      <c r="B184" s="391"/>
      <c r="C184" s="391"/>
      <c r="D184" s="391"/>
      <c r="E184" s="391"/>
      <c r="F184" s="1065"/>
      <c r="G184" s="1066"/>
      <c r="H184" s="565"/>
      <c r="I184" s="228"/>
      <c r="J184" s="726"/>
      <c r="K184" s="233"/>
      <c r="L184" s="233"/>
    </row>
    <row r="185" spans="1:12" hidden="1" x14ac:dyDescent="0.25">
      <c r="A185" s="374"/>
      <c r="B185" s="391"/>
      <c r="C185" s="391"/>
      <c r="D185" s="391"/>
      <c r="E185" s="391"/>
      <c r="F185" s="1065"/>
      <c r="G185" s="1066"/>
      <c r="H185" s="564"/>
      <c r="I185" s="228"/>
      <c r="J185" s="407"/>
      <c r="K185" s="84"/>
      <c r="L185" s="84"/>
    </row>
    <row r="186" spans="1:12" hidden="1" x14ac:dyDescent="0.25">
      <c r="A186" s="374"/>
      <c r="B186" s="391"/>
      <c r="C186" s="391"/>
      <c r="D186" s="391"/>
      <c r="E186" s="391"/>
      <c r="F186" s="1065"/>
      <c r="G186" s="1066"/>
      <c r="H186" s="564"/>
      <c r="I186" s="454"/>
      <c r="J186" s="407"/>
      <c r="K186" s="84"/>
      <c r="L186" s="84"/>
    </row>
    <row r="187" spans="1:12" hidden="1" x14ac:dyDescent="0.25">
      <c r="A187" s="374"/>
      <c r="B187" s="391"/>
      <c r="C187" s="391"/>
      <c r="D187" s="391"/>
      <c r="E187" s="391"/>
      <c r="F187" s="1065"/>
      <c r="G187" s="1066"/>
      <c r="H187" s="399"/>
      <c r="I187" s="501"/>
      <c r="J187" s="407"/>
      <c r="K187" s="369"/>
      <c r="L187" s="369"/>
    </row>
    <row r="188" spans="1:12" hidden="1" x14ac:dyDescent="0.25">
      <c r="A188" s="374"/>
      <c r="B188" s="391"/>
      <c r="C188" s="391"/>
      <c r="D188" s="391"/>
      <c r="E188" s="391"/>
      <c r="F188" s="1065"/>
      <c r="G188" s="1066"/>
      <c r="H188" s="399"/>
      <c r="I188" s="455"/>
      <c r="J188" s="407"/>
      <c r="K188" s="369"/>
      <c r="L188" s="369"/>
    </row>
    <row r="189" spans="1:12" hidden="1" x14ac:dyDescent="0.25">
      <c r="A189" s="374"/>
      <c r="B189" s="391"/>
      <c r="C189" s="391"/>
      <c r="D189" s="391"/>
      <c r="E189" s="391"/>
      <c r="F189" s="1065"/>
      <c r="G189" s="1066"/>
      <c r="H189" s="399"/>
      <c r="I189" s="228"/>
      <c r="J189" s="407"/>
      <c r="K189" s="369"/>
      <c r="L189" s="369"/>
    </row>
    <row r="190" spans="1:12" hidden="1" x14ac:dyDescent="0.25">
      <c r="A190" s="374"/>
      <c r="B190" s="391"/>
      <c r="C190" s="391"/>
      <c r="D190" s="391"/>
      <c r="E190" s="391"/>
      <c r="F190" s="1065"/>
      <c r="G190" s="1066"/>
      <c r="H190" s="399"/>
      <c r="I190" s="228"/>
      <c r="J190" s="407"/>
      <c r="K190" s="84"/>
      <c r="L190" s="84"/>
    </row>
    <row r="191" spans="1:12" hidden="1" x14ac:dyDescent="0.25">
      <c r="A191" s="374"/>
      <c r="B191" s="391"/>
      <c r="C191" s="391"/>
      <c r="D191" s="391"/>
      <c r="E191" s="391"/>
      <c r="F191" s="1065"/>
      <c r="G191" s="1066"/>
      <c r="H191" s="564"/>
      <c r="I191" s="420"/>
      <c r="J191" s="410"/>
      <c r="K191" s="84"/>
      <c r="L191" s="84"/>
    </row>
    <row r="192" spans="1:12" hidden="1" x14ac:dyDescent="0.25">
      <c r="A192" s="374"/>
      <c r="B192" s="391"/>
      <c r="C192" s="391"/>
      <c r="D192" s="391"/>
      <c r="E192" s="391"/>
      <c r="F192" s="1065"/>
      <c r="G192" s="1066"/>
      <c r="H192" s="564"/>
      <c r="I192" s="420"/>
      <c r="J192" s="407"/>
      <c r="K192" s="369"/>
      <c r="L192" s="369"/>
    </row>
    <row r="193" spans="1:14" hidden="1" x14ac:dyDescent="0.25">
      <c r="A193" s="719"/>
      <c r="B193" s="397"/>
      <c r="C193" s="397"/>
      <c r="D193" s="397"/>
      <c r="E193" s="397"/>
      <c r="F193" s="1112"/>
      <c r="G193" s="1113"/>
      <c r="H193" s="720"/>
      <c r="I193" s="454"/>
      <c r="J193" s="407"/>
      <c r="K193" s="369"/>
      <c r="L193" s="369"/>
      <c r="N193" s="364"/>
    </row>
    <row r="194" spans="1:14" hidden="1" x14ac:dyDescent="0.25">
      <c r="A194" s="374"/>
      <c r="B194" s="391"/>
      <c r="C194" s="391"/>
      <c r="D194" s="391"/>
      <c r="E194" s="391"/>
      <c r="F194" s="1065"/>
      <c r="G194" s="1066"/>
      <c r="H194" s="716"/>
      <c r="I194" s="228"/>
      <c r="J194" s="407"/>
      <c r="K194" s="110"/>
      <c r="L194" s="110"/>
      <c r="N194" s="364"/>
    </row>
    <row r="195" spans="1:14" hidden="1" x14ac:dyDescent="0.25">
      <c r="A195" s="374"/>
      <c r="B195" s="721"/>
      <c r="C195" s="722"/>
      <c r="D195" s="722"/>
      <c r="E195" s="722"/>
      <c r="F195" s="1117"/>
      <c r="G195" s="1118"/>
      <c r="H195" s="398"/>
      <c r="I195" s="723"/>
      <c r="J195" s="368"/>
      <c r="K195" s="110"/>
      <c r="L195" s="110"/>
      <c r="N195" s="364"/>
    </row>
    <row r="196" spans="1:14" hidden="1" x14ac:dyDescent="0.25">
      <c r="A196" s="374"/>
      <c r="B196" s="414"/>
      <c r="C196" s="414"/>
      <c r="D196" s="414"/>
      <c r="E196" s="414"/>
      <c r="F196" s="1067"/>
      <c r="G196" s="1068"/>
      <c r="H196" s="399"/>
      <c r="I196" s="228"/>
      <c r="J196" s="368"/>
      <c r="K196" s="110"/>
      <c r="L196" s="110"/>
      <c r="N196" s="364"/>
    </row>
    <row r="197" spans="1:14" hidden="1" x14ac:dyDescent="0.25">
      <c r="A197" s="374"/>
      <c r="B197" s="722"/>
      <c r="C197" s="722"/>
      <c r="D197" s="722"/>
      <c r="E197" s="722"/>
      <c r="F197" s="1117"/>
      <c r="G197" s="1118"/>
      <c r="H197" s="398"/>
      <c r="I197" s="454"/>
      <c r="J197" s="368"/>
      <c r="K197" s="110"/>
      <c r="L197" s="110"/>
      <c r="N197" s="364"/>
    </row>
    <row r="198" spans="1:14" hidden="1" x14ac:dyDescent="0.25">
      <c r="A198" s="374"/>
      <c r="B198" s="414"/>
      <c r="C198" s="414"/>
      <c r="D198" s="414"/>
      <c r="E198" s="414"/>
      <c r="F198" s="1067"/>
      <c r="G198" s="1068"/>
      <c r="H198" s="399"/>
      <c r="I198" s="228"/>
      <c r="J198" s="368"/>
      <c r="K198" s="110"/>
      <c r="L198" s="110"/>
      <c r="N198" s="364"/>
    </row>
    <row r="199" spans="1:14" hidden="1" x14ac:dyDescent="0.25">
      <c r="A199" s="374"/>
      <c r="B199" s="414"/>
      <c r="C199" s="414"/>
      <c r="D199" s="414"/>
      <c r="E199" s="414"/>
      <c r="F199" s="1067"/>
      <c r="G199" s="1068"/>
      <c r="H199" s="399"/>
      <c r="I199" s="228"/>
      <c r="J199" s="368"/>
      <c r="K199" s="110"/>
      <c r="L199" s="110"/>
      <c r="N199" s="364"/>
    </row>
    <row r="200" spans="1:14" x14ac:dyDescent="0.25">
      <c r="A200" s="240"/>
      <c r="B200" s="1114" t="s">
        <v>958</v>
      </c>
      <c r="C200" s="1115"/>
      <c r="D200" s="1115"/>
      <c r="E200" s="1115"/>
      <c r="F200" s="1115"/>
      <c r="G200" s="1115"/>
      <c r="H200" s="1115"/>
      <c r="I200" s="1116"/>
      <c r="J200" s="46">
        <f>J202+J203+J204+J205+J211+J201+J210+J212</f>
        <v>0</v>
      </c>
      <c r="K200" s="46">
        <f>K202+K203+K204+K205+K206+K209+K207+K208</f>
        <v>0</v>
      </c>
      <c r="L200" s="46">
        <f>L202+L203+L204+L205+L206+L209+L207+L208</f>
        <v>0</v>
      </c>
    </row>
    <row r="201" spans="1:14" hidden="1" x14ac:dyDescent="0.25">
      <c r="A201" s="713"/>
      <c r="B201" s="708"/>
      <c r="C201" s="739"/>
      <c r="D201" s="739"/>
      <c r="E201" s="739"/>
      <c r="F201" s="1067"/>
      <c r="G201" s="1068"/>
      <c r="H201" s="443"/>
      <c r="I201" s="454"/>
      <c r="J201" s="368"/>
      <c r="K201" s="46">
        <v>0</v>
      </c>
      <c r="L201" s="46">
        <v>0</v>
      </c>
    </row>
    <row r="202" spans="1:14" ht="33.75" hidden="1" customHeight="1" x14ac:dyDescent="0.25">
      <c r="A202" s="753"/>
      <c r="B202" s="560"/>
      <c r="C202" s="811"/>
      <c r="D202" s="811"/>
      <c r="E202" s="811"/>
      <c r="F202" s="1152"/>
      <c r="G202" s="1153"/>
      <c r="H202" s="544"/>
      <c r="I202" s="409"/>
      <c r="J202" s="368"/>
      <c r="K202" s="84">
        <v>0</v>
      </c>
      <c r="L202" s="84">
        <v>0</v>
      </c>
    </row>
    <row r="203" spans="1:14" ht="0.75" hidden="1" customHeight="1" x14ac:dyDescent="0.25">
      <c r="A203" s="753"/>
      <c r="B203" s="560"/>
      <c r="C203" s="811"/>
      <c r="D203" s="811"/>
      <c r="E203" s="811"/>
      <c r="F203" s="811"/>
      <c r="G203" s="811"/>
      <c r="H203" s="399"/>
      <c r="I203" s="409"/>
      <c r="J203" s="368"/>
      <c r="K203" s="84">
        <v>0</v>
      </c>
      <c r="L203" s="84">
        <v>0</v>
      </c>
    </row>
    <row r="204" spans="1:14" ht="15.75" hidden="1" customHeight="1" x14ac:dyDescent="0.25">
      <c r="A204" s="753"/>
      <c r="B204" s="560"/>
      <c r="C204" s="811"/>
      <c r="D204" s="811"/>
      <c r="E204" s="811"/>
      <c r="F204" s="811"/>
      <c r="G204" s="811"/>
      <c r="H204" s="399"/>
      <c r="I204" s="409"/>
      <c r="J204" s="368"/>
      <c r="K204" s="84">
        <v>0</v>
      </c>
      <c r="L204" s="84">
        <v>0</v>
      </c>
    </row>
    <row r="205" spans="1:14" ht="15.75" hidden="1" customHeight="1" x14ac:dyDescent="0.25">
      <c r="A205" s="753"/>
      <c r="B205" s="560"/>
      <c r="C205" s="811"/>
      <c r="D205" s="811"/>
      <c r="E205" s="811"/>
      <c r="F205" s="811"/>
      <c r="G205" s="811"/>
      <c r="H205" s="392"/>
      <c r="I205" s="409"/>
      <c r="J205" s="368"/>
      <c r="K205" s="84"/>
      <c r="L205" s="84">
        <v>0</v>
      </c>
    </row>
    <row r="206" spans="1:14" ht="15.75" hidden="1" customHeight="1" x14ac:dyDescent="0.25">
      <c r="A206" s="753"/>
      <c r="B206" s="560"/>
      <c r="C206" s="811"/>
      <c r="D206" s="811"/>
      <c r="E206" s="811"/>
      <c r="F206" s="811"/>
      <c r="G206" s="811"/>
      <c r="H206" s="415"/>
      <c r="I206" s="409"/>
      <c r="J206" s="368"/>
      <c r="K206" s="84">
        <v>0</v>
      </c>
      <c r="L206" s="84">
        <v>0</v>
      </c>
    </row>
    <row r="207" spans="1:14" ht="15.75" hidden="1" customHeight="1" x14ac:dyDescent="0.25">
      <c r="A207" s="753"/>
      <c r="B207" s="708"/>
      <c r="C207" s="811"/>
      <c r="D207" s="811"/>
      <c r="E207" s="811"/>
      <c r="F207" s="811"/>
      <c r="G207" s="811"/>
      <c r="H207" s="415"/>
      <c r="I207" s="409"/>
      <c r="J207" s="368"/>
      <c r="K207" s="84">
        <v>0</v>
      </c>
      <c r="L207" s="84">
        <v>0</v>
      </c>
    </row>
    <row r="208" spans="1:14" ht="15.75" hidden="1" customHeight="1" x14ac:dyDescent="0.25">
      <c r="A208" s="753"/>
      <c r="B208" s="708"/>
      <c r="C208" s="811"/>
      <c r="D208" s="811"/>
      <c r="E208" s="811"/>
      <c r="F208" s="811"/>
      <c r="G208" s="811"/>
      <c r="H208" s="415"/>
      <c r="I208" s="409"/>
      <c r="J208" s="368"/>
      <c r="K208" s="84">
        <v>0</v>
      </c>
      <c r="L208" s="84">
        <v>0</v>
      </c>
    </row>
    <row r="209" spans="1:14" ht="15.75" hidden="1" customHeight="1" x14ac:dyDescent="0.25">
      <c r="A209" s="753"/>
      <c r="B209" s="708"/>
      <c r="C209" s="811"/>
      <c r="D209" s="811"/>
      <c r="E209" s="811"/>
      <c r="F209" s="811"/>
      <c r="G209" s="811"/>
      <c r="H209" s="415"/>
      <c r="I209" s="409"/>
      <c r="J209" s="368"/>
      <c r="K209" s="84">
        <v>0</v>
      </c>
      <c r="L209" s="84">
        <v>0</v>
      </c>
    </row>
    <row r="210" spans="1:14" ht="15.75" hidden="1" customHeight="1" x14ac:dyDescent="0.25">
      <c r="A210" s="753"/>
      <c r="B210" s="708"/>
      <c r="C210" s="811"/>
      <c r="D210" s="811"/>
      <c r="E210" s="811"/>
      <c r="F210" s="811"/>
      <c r="G210" s="811"/>
      <c r="H210" s="399"/>
      <c r="I210" s="409"/>
      <c r="J210" s="368"/>
      <c r="K210" s="84">
        <v>0</v>
      </c>
      <c r="L210" s="84">
        <v>0</v>
      </c>
    </row>
    <row r="211" spans="1:14" ht="15.75" hidden="1" customHeight="1" x14ac:dyDescent="0.25">
      <c r="A211" s="753"/>
      <c r="B211" s="708"/>
      <c r="C211" s="811"/>
      <c r="D211" s="811"/>
      <c r="E211" s="811"/>
      <c r="F211" s="811"/>
      <c r="G211" s="811"/>
      <c r="H211" s="712"/>
      <c r="I211" s="409"/>
      <c r="J211" s="368"/>
      <c r="K211" s="84">
        <v>0</v>
      </c>
      <c r="L211" s="84">
        <v>0</v>
      </c>
    </row>
    <row r="212" spans="1:14" ht="51" hidden="1" customHeight="1" x14ac:dyDescent="0.25">
      <c r="A212" s="753"/>
      <c r="B212" s="708"/>
      <c r="C212" s="811"/>
      <c r="D212" s="811"/>
      <c r="E212" s="811"/>
      <c r="F212" s="1152"/>
      <c r="G212" s="1153"/>
      <c r="H212" s="399"/>
      <c r="I212" s="409"/>
      <c r="J212" s="771"/>
      <c r="K212" s="84">
        <v>0</v>
      </c>
      <c r="L212" s="84">
        <v>0</v>
      </c>
    </row>
    <row r="213" spans="1:14" x14ac:dyDescent="0.25">
      <c r="A213" s="240"/>
      <c r="B213" s="1107" t="s">
        <v>959</v>
      </c>
      <c r="C213" s="1108"/>
      <c r="D213" s="1108"/>
      <c r="E213" s="1108"/>
      <c r="F213" s="1108"/>
      <c r="G213" s="1108"/>
      <c r="H213" s="1108"/>
      <c r="I213" s="1109"/>
      <c r="J213" s="46">
        <f>J219</f>
        <v>0</v>
      </c>
      <c r="K213" s="46">
        <f>K214+K215+K216</f>
        <v>0</v>
      </c>
      <c r="L213" s="46">
        <f>L214+L215+L216</f>
        <v>0</v>
      </c>
    </row>
    <row r="214" spans="1:14" ht="14.25" hidden="1" customHeight="1" x14ac:dyDescent="0.25">
      <c r="A214" s="240"/>
      <c r="B214" s="98"/>
      <c r="C214" s="98"/>
      <c r="D214" s="98"/>
      <c r="E214" s="98"/>
      <c r="F214" s="1110"/>
      <c r="G214" s="1111"/>
      <c r="H214" s="729"/>
      <c r="I214" s="36"/>
      <c r="J214" s="368"/>
      <c r="K214" s="84"/>
      <c r="L214" s="84"/>
    </row>
    <row r="215" spans="1:14" hidden="1" x14ac:dyDescent="0.25">
      <c r="A215" s="736"/>
      <c r="B215" s="98"/>
      <c r="C215" s="98"/>
      <c r="D215" s="98"/>
      <c r="E215" s="98"/>
      <c r="F215" s="98"/>
      <c r="G215" s="730"/>
      <c r="H215" s="37"/>
      <c r="I215" s="36"/>
      <c r="J215" s="368"/>
      <c r="K215" s="84"/>
      <c r="L215" s="84"/>
    </row>
    <row r="216" spans="1:14" hidden="1" x14ac:dyDescent="0.25">
      <c r="A216" s="240"/>
      <c r="B216" s="98"/>
      <c r="C216" s="98"/>
      <c r="D216" s="98"/>
      <c r="E216" s="98"/>
      <c r="F216" s="98"/>
      <c r="G216" s="730"/>
      <c r="H216" s="37"/>
      <c r="I216" s="36"/>
      <c r="J216" s="368"/>
      <c r="K216" s="84"/>
      <c r="L216" s="84"/>
    </row>
    <row r="217" spans="1:14" hidden="1" x14ac:dyDescent="0.25">
      <c r="A217" s="240"/>
      <c r="B217" s="98"/>
      <c r="C217" s="98"/>
      <c r="D217" s="98"/>
      <c r="E217" s="98"/>
      <c r="F217" s="98"/>
      <c r="G217" s="98"/>
      <c r="H217" s="98"/>
      <c r="I217" s="36"/>
      <c r="J217" s="368"/>
      <c r="K217" s="84"/>
      <c r="L217" s="84"/>
    </row>
    <row r="218" spans="1:14" hidden="1" x14ac:dyDescent="0.25">
      <c r="A218" s="240"/>
      <c r="B218" s="738"/>
      <c r="C218" s="133"/>
      <c r="D218" s="133"/>
      <c r="E218" s="133"/>
      <c r="F218" s="133"/>
      <c r="G218" s="133"/>
      <c r="H218" s="133"/>
      <c r="I218" s="36"/>
      <c r="J218" s="368"/>
      <c r="K218" s="84"/>
      <c r="L218" s="84"/>
    </row>
    <row r="219" spans="1:14" hidden="1" x14ac:dyDescent="0.25">
      <c r="A219" s="240"/>
      <c r="B219" s="738"/>
      <c r="C219" s="133"/>
      <c r="D219" s="133"/>
      <c r="E219" s="133"/>
      <c r="F219" s="1110"/>
      <c r="G219" s="1111"/>
      <c r="H219" s="133"/>
      <c r="I219" s="155"/>
      <c r="J219" s="368"/>
      <c r="K219" s="84">
        <v>0</v>
      </c>
      <c r="L219" s="84">
        <v>0</v>
      </c>
    </row>
    <row r="220" spans="1:14" ht="15" customHeight="1" x14ac:dyDescent="0.25">
      <c r="A220" s="240"/>
      <c r="B220" s="1114" t="s">
        <v>960</v>
      </c>
      <c r="C220" s="1115"/>
      <c r="D220" s="1115"/>
      <c r="E220" s="1115"/>
      <c r="F220" s="1115"/>
      <c r="G220" s="1115"/>
      <c r="H220" s="1115"/>
      <c r="I220" s="1116"/>
      <c r="J220" s="46">
        <f>SUM(J226:J228)+J221+J222+J224+J225+J223+J229+J230+J231+J232</f>
        <v>0</v>
      </c>
      <c r="K220" s="46">
        <f>SUM(K226:K228)+K221+K222+K224+K225+K223+K229+K230+K231+K232</f>
        <v>0</v>
      </c>
      <c r="L220" s="46">
        <f>SUM(L226:L228)+L221+L222+L224+L225+L223+L229+L230+L231+L232</f>
        <v>0</v>
      </c>
    </row>
    <row r="221" spans="1:14" ht="85.5" hidden="1" customHeight="1" x14ac:dyDescent="0.25">
      <c r="A221" s="477"/>
      <c r="B221" s="743"/>
      <c r="C221" s="477"/>
      <c r="D221" s="743"/>
      <c r="E221" s="477"/>
      <c r="F221" s="1162"/>
      <c r="G221" s="1163"/>
      <c r="H221" s="477"/>
      <c r="I221" s="745"/>
      <c r="J221" s="368"/>
      <c r="K221" s="41">
        <v>0</v>
      </c>
      <c r="L221" s="41">
        <v>0</v>
      </c>
    </row>
    <row r="222" spans="1:14" ht="46.5" hidden="1" customHeight="1" x14ac:dyDescent="0.25">
      <c r="A222" s="477"/>
      <c r="B222" s="743"/>
      <c r="C222" s="743"/>
      <c r="D222" s="743"/>
      <c r="E222" s="743"/>
      <c r="F222" s="1067"/>
      <c r="G222" s="1068"/>
      <c r="H222" s="443"/>
      <c r="I222" s="744"/>
      <c r="J222" s="368"/>
      <c r="K222" s="41">
        <v>0</v>
      </c>
      <c r="L222" s="41">
        <v>0</v>
      </c>
      <c r="N222" s="710"/>
    </row>
    <row r="223" spans="1:14" ht="14.25" hidden="1" customHeight="1" x14ac:dyDescent="0.25">
      <c r="A223" s="504"/>
      <c r="B223" s="421"/>
      <c r="C223" s="421"/>
      <c r="D223" s="421"/>
      <c r="E223" s="421"/>
      <c r="F223" s="1164"/>
      <c r="G223" s="1165"/>
      <c r="H223" s="476"/>
      <c r="I223" s="505"/>
      <c r="J223" s="368"/>
      <c r="K223" s="368"/>
      <c r="L223" s="368"/>
    </row>
    <row r="224" spans="1:14" hidden="1" x14ac:dyDescent="0.25">
      <c r="A224" s="477"/>
      <c r="B224" s="421"/>
      <c r="C224" s="421"/>
      <c r="D224" s="421"/>
      <c r="E224" s="421"/>
      <c r="F224" s="1067"/>
      <c r="G224" s="1068"/>
      <c r="H224" s="476"/>
      <c r="I224" s="460"/>
      <c r="J224" s="368"/>
      <c r="K224" s="41"/>
      <c r="L224" s="41"/>
    </row>
    <row r="225" spans="1:12" hidden="1" x14ac:dyDescent="0.25">
      <c r="A225" s="504"/>
      <c r="B225" s="421"/>
      <c r="C225" s="421"/>
      <c r="D225" s="421"/>
      <c r="E225" s="421"/>
      <c r="F225" s="1067"/>
      <c r="G225" s="1068"/>
      <c r="H225" s="476"/>
      <c r="I225" s="460"/>
      <c r="J225" s="368"/>
      <c r="K225" s="41"/>
      <c r="L225" s="41"/>
    </row>
    <row r="226" spans="1:12" s="1" customFormat="1" hidden="1" x14ac:dyDescent="0.25">
      <c r="A226" s="477"/>
      <c r="B226" s="543"/>
      <c r="C226" s="543"/>
      <c r="D226" s="543"/>
      <c r="E226" s="543"/>
      <c r="F226" s="1069"/>
      <c r="G226" s="1070"/>
      <c r="H226" s="544"/>
      <c r="I226" s="228"/>
      <c r="J226" s="368"/>
      <c r="K226" s="84"/>
      <c r="L226" s="84"/>
    </row>
    <row r="227" spans="1:12" s="1" customFormat="1" hidden="1" x14ac:dyDescent="0.25">
      <c r="A227" s="504"/>
      <c r="B227" s="543"/>
      <c r="C227" s="543"/>
      <c r="D227" s="543"/>
      <c r="E227" s="543"/>
      <c r="F227" s="1069"/>
      <c r="G227" s="1070"/>
      <c r="H227" s="391"/>
      <c r="I227" s="375"/>
      <c r="J227" s="368"/>
      <c r="K227" s="84"/>
      <c r="L227" s="84"/>
    </row>
    <row r="228" spans="1:12" hidden="1" x14ac:dyDescent="0.25">
      <c r="A228" s="430"/>
      <c r="B228" s="391"/>
      <c r="C228" s="391"/>
      <c r="D228" s="391"/>
      <c r="E228" s="391"/>
      <c r="F228" s="1065"/>
      <c r="G228" s="1066"/>
      <c r="H228" s="391"/>
      <c r="I228" s="457"/>
      <c r="J228" s="368"/>
      <c r="K228" s="369"/>
      <c r="L228" s="369"/>
    </row>
    <row r="229" spans="1:12" hidden="1" x14ac:dyDescent="0.25">
      <c r="A229" s="430"/>
      <c r="B229" s="349"/>
      <c r="C229" s="349"/>
      <c r="D229" s="349"/>
      <c r="E229" s="349"/>
      <c r="F229" s="1119"/>
      <c r="G229" s="1120"/>
      <c r="H229" s="349"/>
      <c r="I229" s="378"/>
      <c r="J229" s="368"/>
      <c r="K229" s="84"/>
      <c r="L229" s="84"/>
    </row>
    <row r="230" spans="1:12" hidden="1" x14ac:dyDescent="0.25">
      <c r="A230" s="430"/>
      <c r="B230" s="349"/>
      <c r="C230" s="349"/>
      <c r="D230" s="349"/>
      <c r="E230" s="349"/>
      <c r="F230" s="1119"/>
      <c r="G230" s="1120"/>
      <c r="H230" s="349"/>
      <c r="I230" s="378"/>
      <c r="J230" s="368"/>
      <c r="K230" s="84">
        <v>0</v>
      </c>
      <c r="L230" s="84">
        <v>0</v>
      </c>
    </row>
    <row r="231" spans="1:12" hidden="1" x14ac:dyDescent="0.25">
      <c r="A231" s="380"/>
      <c r="B231" s="423"/>
      <c r="C231" s="423"/>
      <c r="D231" s="423"/>
      <c r="E231" s="423"/>
      <c r="F231" s="1121"/>
      <c r="G231" s="1122"/>
      <c r="H231" s="423"/>
      <c r="I231" s="442"/>
      <c r="J231" s="368"/>
      <c r="K231" s="84">
        <v>0</v>
      </c>
      <c r="L231" s="84">
        <v>0</v>
      </c>
    </row>
    <row r="232" spans="1:12" hidden="1" x14ac:dyDescent="0.25">
      <c r="A232" s="387"/>
      <c r="B232" s="423"/>
      <c r="C232" s="423"/>
      <c r="D232" s="423"/>
      <c r="E232" s="423"/>
      <c r="F232" s="1121"/>
      <c r="G232" s="1122"/>
      <c r="H232" s="423"/>
      <c r="I232" s="228"/>
      <c r="J232" s="368"/>
      <c r="K232" s="84">
        <v>0</v>
      </c>
      <c r="L232" s="84">
        <v>0</v>
      </c>
    </row>
    <row r="233" spans="1:12" hidden="1" x14ac:dyDescent="0.25">
      <c r="A233" s="380"/>
      <c r="B233" s="349"/>
      <c r="C233" s="349"/>
      <c r="D233" s="349"/>
      <c r="E233" s="349"/>
      <c r="F233" s="1119"/>
      <c r="G233" s="1120"/>
      <c r="H233" s="349"/>
      <c r="I233" s="424"/>
      <c r="J233" s="368"/>
      <c r="K233" s="84"/>
      <c r="L233" s="84"/>
    </row>
    <row r="234" spans="1:12" x14ac:dyDescent="0.25">
      <c r="A234" s="240"/>
      <c r="B234" s="1123" t="s">
        <v>961</v>
      </c>
      <c r="C234" s="1124"/>
      <c r="D234" s="1124"/>
      <c r="E234" s="1124"/>
      <c r="F234" s="1124"/>
      <c r="G234" s="1124"/>
      <c r="H234" s="1124"/>
      <c r="I234" s="1125"/>
      <c r="J234" s="46">
        <f>J238+J237+J236+J235</f>
        <v>0</v>
      </c>
      <c r="K234" s="46">
        <f>K238+K237+K236+K235</f>
        <v>0</v>
      </c>
      <c r="L234" s="46">
        <f>L238+L237+L236+L235</f>
        <v>0</v>
      </c>
    </row>
    <row r="235" spans="1:12" hidden="1" x14ac:dyDescent="0.25">
      <c r="A235" s="348"/>
      <c r="B235" s="391"/>
      <c r="C235" s="391"/>
      <c r="D235" s="391"/>
      <c r="E235" s="391"/>
      <c r="F235" s="1065"/>
      <c r="G235" s="1066"/>
      <c r="H235" s="399"/>
      <c r="I235" s="228"/>
      <c r="J235" s="368"/>
      <c r="K235" s="84">
        <v>0</v>
      </c>
      <c r="L235" s="84">
        <v>0</v>
      </c>
    </row>
    <row r="236" spans="1:12" hidden="1" x14ac:dyDescent="0.25">
      <c r="A236" s="348"/>
      <c r="B236" s="391"/>
      <c r="C236" s="391"/>
      <c r="D236" s="391"/>
      <c r="E236" s="391"/>
      <c r="F236" s="1065"/>
      <c r="G236" s="1066"/>
      <c r="H236" s="391"/>
      <c r="I236" s="228"/>
      <c r="J236" s="368"/>
      <c r="K236" s="84">
        <v>0</v>
      </c>
      <c r="L236" s="84">
        <v>0</v>
      </c>
    </row>
    <row r="237" spans="1:12" hidden="1" x14ac:dyDescent="0.25">
      <c r="A237" s="82"/>
      <c r="B237" s="391"/>
      <c r="C237" s="391"/>
      <c r="D237" s="391"/>
      <c r="E237" s="391"/>
      <c r="F237" s="1065"/>
      <c r="G237" s="1066"/>
      <c r="H237" s="391"/>
      <c r="I237" s="375"/>
      <c r="J237" s="368"/>
      <c r="K237" s="84">
        <v>0</v>
      </c>
      <c r="L237" s="84">
        <v>0</v>
      </c>
    </row>
    <row r="238" spans="1:12" hidden="1" x14ac:dyDescent="0.25">
      <c r="A238" s="82"/>
      <c r="B238" s="737"/>
      <c r="C238" s="739"/>
      <c r="D238" s="739"/>
      <c r="E238" s="739"/>
      <c r="F238" s="1067"/>
      <c r="G238" s="1068"/>
      <c r="H238" s="416"/>
      <c r="I238" s="228"/>
      <c r="J238" s="368"/>
      <c r="K238" s="84">
        <v>0</v>
      </c>
      <c r="L238" s="84">
        <v>0</v>
      </c>
    </row>
    <row r="239" spans="1:12" x14ac:dyDescent="0.25">
      <c r="A239" s="82"/>
      <c r="B239" s="1123" t="s">
        <v>962</v>
      </c>
      <c r="C239" s="1124"/>
      <c r="D239" s="1124"/>
      <c r="E239" s="1124"/>
      <c r="F239" s="1124"/>
      <c r="G239" s="1124"/>
      <c r="H239" s="1124"/>
      <c r="I239" s="1125"/>
      <c r="J239" s="46">
        <f>J241+J242</f>
        <v>0</v>
      </c>
      <c r="K239" s="46">
        <f>K240</f>
        <v>0</v>
      </c>
      <c r="L239" s="46">
        <f>L240</f>
        <v>0</v>
      </c>
    </row>
    <row r="240" spans="1:12" hidden="1" x14ac:dyDescent="0.25">
      <c r="A240" s="370"/>
      <c r="B240" s="349"/>
      <c r="C240" s="349"/>
      <c r="D240" s="349"/>
      <c r="E240" s="349"/>
      <c r="F240" s="1119"/>
      <c r="G240" s="1120"/>
      <c r="H240" s="349"/>
      <c r="I240" s="400"/>
      <c r="J240" s="41"/>
      <c r="K240" s="84"/>
      <c r="L240" s="84"/>
    </row>
    <row r="241" spans="1:12" ht="14.25" hidden="1" customHeight="1" x14ac:dyDescent="0.25">
      <c r="A241" s="370"/>
      <c r="B241" s="425"/>
      <c r="C241" s="425"/>
      <c r="D241" s="425"/>
      <c r="E241" s="425"/>
      <c r="F241" s="1131"/>
      <c r="G241" s="1132"/>
      <c r="H241" s="425"/>
      <c r="I241" s="426"/>
      <c r="J241" s="427"/>
      <c r="K241" s="84">
        <v>0</v>
      </c>
      <c r="L241" s="84">
        <v>0</v>
      </c>
    </row>
    <row r="242" spans="1:12" hidden="1" x14ac:dyDescent="0.25">
      <c r="A242" s="370"/>
      <c r="B242" s="349"/>
      <c r="C242" s="349"/>
      <c r="D242" s="349"/>
      <c r="E242" s="349"/>
      <c r="F242" s="1119"/>
      <c r="G242" s="1120"/>
      <c r="H242" s="349"/>
      <c r="I242" s="400"/>
      <c r="J242" s="41"/>
      <c r="K242" s="84"/>
      <c r="L242" s="84"/>
    </row>
    <row r="243" spans="1:12" s="1" customFormat="1" x14ac:dyDescent="0.25">
      <c r="A243" s="26"/>
      <c r="B243" s="1133" t="s">
        <v>963</v>
      </c>
      <c r="C243" s="1134"/>
      <c r="D243" s="1134"/>
      <c r="E243" s="1134"/>
      <c r="F243" s="1134"/>
      <c r="G243" s="1134"/>
      <c r="H243" s="1134"/>
      <c r="I243" s="1135"/>
      <c r="J243" s="46">
        <f>SUM(J244:J252)</f>
        <v>0</v>
      </c>
      <c r="K243" s="46">
        <f>SUM(K244:K252)</f>
        <v>0</v>
      </c>
      <c r="L243" s="46">
        <f>SUM(L244:L252)</f>
        <v>0</v>
      </c>
    </row>
    <row r="244" spans="1:12" s="1" customFormat="1" ht="15" hidden="1" customHeight="1" x14ac:dyDescent="0.25">
      <c r="A244" s="428"/>
      <c r="B244" s="349"/>
      <c r="C244" s="349"/>
      <c r="D244" s="349"/>
      <c r="E244" s="349"/>
      <c r="F244" s="1119"/>
      <c r="G244" s="1120"/>
      <c r="H244" s="349"/>
      <c r="I244" s="400"/>
      <c r="J244" s="401"/>
      <c r="K244" s="110"/>
      <c r="L244" s="110"/>
    </row>
    <row r="245" spans="1:12" s="1" customFormat="1" ht="15" hidden="1" customHeight="1" x14ac:dyDescent="0.25">
      <c r="A245" s="428"/>
      <c r="B245" s="349"/>
      <c r="C245" s="349"/>
      <c r="D245" s="349"/>
      <c r="E245" s="349"/>
      <c r="F245" s="1119"/>
      <c r="G245" s="1120"/>
      <c r="H245" s="349"/>
      <c r="I245" s="400"/>
      <c r="J245" s="110"/>
      <c r="K245" s="429"/>
      <c r="L245" s="110"/>
    </row>
    <row r="246" spans="1:12" s="1" customFormat="1" ht="4.5" hidden="1" customHeight="1" x14ac:dyDescent="0.25">
      <c r="A246" s="430"/>
      <c r="B246" s="349"/>
      <c r="C246" s="349"/>
      <c r="D246" s="349"/>
      <c r="E246" s="349"/>
      <c r="F246" s="349"/>
      <c r="G246" s="349"/>
      <c r="H246" s="349"/>
      <c r="I246" s="36"/>
      <c r="J246" s="41"/>
      <c r="K246" s="110"/>
      <c r="L246" s="110"/>
    </row>
    <row r="247" spans="1:12" hidden="1" x14ac:dyDescent="0.25">
      <c r="A247" s="430"/>
      <c r="B247" s="349"/>
      <c r="C247" s="349"/>
      <c r="D247" s="349"/>
      <c r="E247" s="349"/>
      <c r="F247" s="349"/>
      <c r="G247" s="349"/>
      <c r="H247" s="349"/>
      <c r="I247" s="400"/>
      <c r="J247" s="41"/>
      <c r="K247" s="84"/>
      <c r="L247" s="84"/>
    </row>
    <row r="248" spans="1:12" hidden="1" x14ac:dyDescent="0.25">
      <c r="A248" s="78"/>
      <c r="B248" s="349"/>
      <c r="C248" s="349"/>
      <c r="D248" s="349"/>
      <c r="E248" s="349"/>
      <c r="F248" s="349"/>
      <c r="G248" s="349"/>
      <c r="H248" s="349"/>
      <c r="I248" s="431"/>
      <c r="J248" s="41"/>
      <c r="K248" s="84"/>
      <c r="L248" s="84"/>
    </row>
    <row r="249" spans="1:12" hidden="1" x14ac:dyDescent="0.25">
      <c r="A249" s="78"/>
      <c r="B249" s="349"/>
      <c r="C249" s="349"/>
      <c r="D249" s="349"/>
      <c r="E249" s="349"/>
      <c r="F249" s="349"/>
      <c r="G249" s="349"/>
      <c r="H249" s="349"/>
      <c r="I249" s="400"/>
      <c r="J249" s="41"/>
      <c r="K249" s="84"/>
      <c r="L249" s="84"/>
    </row>
    <row r="250" spans="1:12" hidden="1" x14ac:dyDescent="0.25">
      <c r="A250" s="78"/>
      <c r="B250" s="349"/>
      <c r="C250" s="349"/>
      <c r="D250" s="349"/>
      <c r="E250" s="349"/>
      <c r="F250" s="349"/>
      <c r="G250" s="349"/>
      <c r="H250" s="349"/>
      <c r="I250" s="400"/>
      <c r="J250" s="41"/>
      <c r="K250" s="84"/>
      <c r="L250" s="84"/>
    </row>
    <row r="251" spans="1:12" hidden="1" x14ac:dyDescent="0.25">
      <c r="A251" s="78"/>
      <c r="B251" s="349"/>
      <c r="C251" s="349"/>
      <c r="D251" s="349"/>
      <c r="E251" s="349"/>
      <c r="F251" s="1119"/>
      <c r="G251" s="1120"/>
      <c r="H251" s="349"/>
      <c r="I251" s="400"/>
      <c r="J251" s="41"/>
      <c r="K251" s="84"/>
      <c r="L251" s="84"/>
    </row>
    <row r="252" spans="1:12" x14ac:dyDescent="0.25">
      <c r="A252" s="432"/>
      <c r="B252" s="433"/>
      <c r="C252" s="433"/>
      <c r="D252" s="433"/>
      <c r="E252" s="433"/>
      <c r="F252" s="1127"/>
      <c r="G252" s="1128"/>
      <c r="H252" s="433"/>
      <c r="I252" s="434"/>
      <c r="J252" s="435"/>
      <c r="K252" s="436"/>
      <c r="L252" s="436"/>
    </row>
    <row r="253" spans="1:12" hidden="1" x14ac:dyDescent="0.25">
      <c r="A253" s="78"/>
      <c r="B253" s="349"/>
      <c r="C253" s="349"/>
      <c r="D253" s="349"/>
      <c r="E253" s="349"/>
      <c r="F253" s="1119"/>
      <c r="G253" s="1120"/>
      <c r="H253" s="349"/>
      <c r="I253" s="400"/>
      <c r="J253" s="41"/>
      <c r="K253" s="84"/>
      <c r="L253" s="84"/>
    </row>
    <row r="254" spans="1:12" x14ac:dyDescent="0.25">
      <c r="A254" s="82"/>
      <c r="B254" s="1097" t="s">
        <v>964</v>
      </c>
      <c r="C254" s="1098"/>
      <c r="D254" s="1098"/>
      <c r="E254" s="1098"/>
      <c r="F254" s="1098"/>
      <c r="G254" s="1098"/>
      <c r="H254" s="1098"/>
      <c r="I254" s="1099"/>
      <c r="J254" s="46">
        <f>J243+J220+J213+J200+J153+J145+J123+J103+J150+J234+J239+J127+J253</f>
        <v>0</v>
      </c>
      <c r="K254" s="46">
        <f>K243+K220+K213+K200+K153+K145+K123+K103+K150+K234+K239+K127+K253</f>
        <v>0</v>
      </c>
      <c r="L254" s="46">
        <f>L243+L220+L213+L200+L153+L145+L123+L103+L150+L234+L239+L127+L253</f>
        <v>0</v>
      </c>
    </row>
    <row r="255" spans="1:12" x14ac:dyDescent="0.25">
      <c r="I255" s="673"/>
      <c r="J255" s="64"/>
    </row>
    <row r="256" spans="1:12" ht="13.5" customHeight="1" x14ac:dyDescent="0.25">
      <c r="I256" s="673"/>
      <c r="J256" s="64"/>
    </row>
    <row r="257" spans="1:14" hidden="1" x14ac:dyDescent="0.25">
      <c r="I257" s="673"/>
      <c r="J257" s="64"/>
    </row>
    <row r="258" spans="1:14" s="1" customFormat="1" ht="32.25" customHeight="1" x14ac:dyDescent="0.25">
      <c r="A258" s="1129" t="s">
        <v>1062</v>
      </c>
      <c r="B258" s="1129"/>
      <c r="C258" s="1129"/>
      <c r="D258" s="1129"/>
      <c r="E258" s="1129"/>
      <c r="F258" s="1129"/>
      <c r="G258" s="1129"/>
      <c r="H258" s="1129"/>
      <c r="I258" s="976" t="s">
        <v>1088</v>
      </c>
      <c r="J258" s="976"/>
    </row>
    <row r="261" spans="1:14" x14ac:dyDescent="0.25">
      <c r="A261" s="1" t="s">
        <v>967</v>
      </c>
    </row>
    <row r="262" spans="1:14" ht="13.5" customHeight="1" x14ac:dyDescent="0.25">
      <c r="A262" s="1130" t="s">
        <v>968</v>
      </c>
      <c r="B262" s="1130"/>
    </row>
    <row r="263" spans="1:14" hidden="1" x14ac:dyDescent="0.25">
      <c r="B263" s="3"/>
      <c r="C263" s="76"/>
      <c r="D263" s="76"/>
      <c r="E263" s="76"/>
      <c r="F263" s="76"/>
      <c r="G263" s="76"/>
      <c r="H263" s="76"/>
      <c r="I263" s="76"/>
      <c r="J263" s="76" t="s">
        <v>969</v>
      </c>
      <c r="K263" s="364">
        <f>П2ДОХОДЫ!E170</f>
        <v>782475604.05999994</v>
      </c>
      <c r="N263" s="364"/>
    </row>
    <row r="264" spans="1:14" ht="15" hidden="1" customHeight="1" x14ac:dyDescent="0.25">
      <c r="B264" s="1126"/>
      <c r="C264" s="1126"/>
      <c r="D264" s="1126"/>
      <c r="E264" s="1126"/>
      <c r="F264" s="1126"/>
      <c r="G264" s="1126"/>
      <c r="H264" s="1126"/>
      <c r="I264" s="1126"/>
      <c r="J264" s="437"/>
    </row>
    <row r="265" spans="1:14" ht="1.5" hidden="1" customHeight="1" x14ac:dyDescent="0.25">
      <c r="B265" s="976" t="s">
        <v>970</v>
      </c>
      <c r="C265" s="976"/>
      <c r="D265" s="976"/>
      <c r="E265" s="976"/>
      <c r="F265" s="976"/>
      <c r="G265" s="976"/>
      <c r="H265" s="976"/>
      <c r="I265" s="976"/>
      <c r="J265" s="5">
        <f>J266+J267+J268+J269</f>
        <v>0</v>
      </c>
      <c r="K265" s="5" t="e">
        <f>#REF!</f>
        <v>#REF!</v>
      </c>
      <c r="L265" s="5" t="e">
        <f>#REF!</f>
        <v>#REF!</v>
      </c>
    </row>
    <row r="266" spans="1:14" hidden="1" x14ac:dyDescent="0.25">
      <c r="B266" s="733"/>
      <c r="C266" s="733"/>
      <c r="D266" s="733"/>
      <c r="E266" s="733"/>
      <c r="F266" s="733"/>
      <c r="G266" s="733"/>
      <c r="H266" s="733"/>
      <c r="I266" s="438" t="s">
        <v>15</v>
      </c>
      <c r="J266" s="5"/>
      <c r="K266" s="5"/>
      <c r="L266" s="5"/>
    </row>
    <row r="267" spans="1:14" hidden="1" x14ac:dyDescent="0.25">
      <c r="B267" s="733"/>
      <c r="C267" s="733"/>
      <c r="D267" s="733"/>
      <c r="E267" s="733"/>
      <c r="F267" s="733"/>
      <c r="G267" s="733"/>
      <c r="H267" s="733"/>
      <c r="I267" s="438" t="s">
        <v>16</v>
      </c>
      <c r="J267" s="5"/>
      <c r="K267" s="5"/>
      <c r="L267" s="5"/>
    </row>
    <row r="268" spans="1:14" hidden="1" x14ac:dyDescent="0.25">
      <c r="B268" s="733"/>
      <c r="C268" s="733"/>
      <c r="D268" s="733"/>
      <c r="E268" s="733"/>
      <c r="F268" s="733"/>
      <c r="G268" s="733"/>
      <c r="H268" s="733"/>
      <c r="I268" s="438" t="s">
        <v>18</v>
      </c>
      <c r="J268" s="5"/>
      <c r="K268" s="5"/>
      <c r="L268" s="5"/>
    </row>
    <row r="269" spans="1:14" hidden="1" x14ac:dyDescent="0.25">
      <c r="B269" s="733"/>
      <c r="C269" s="733"/>
      <c r="D269" s="733"/>
      <c r="E269" s="733"/>
      <c r="F269" s="733"/>
      <c r="G269" s="733"/>
      <c r="H269" s="733"/>
      <c r="I269" s="438" t="s">
        <v>19</v>
      </c>
      <c r="J269" s="5"/>
      <c r="K269" s="5"/>
      <c r="L269" s="5"/>
    </row>
    <row r="270" spans="1:14" hidden="1" x14ac:dyDescent="0.25">
      <c r="B270" s="976" t="s">
        <v>971</v>
      </c>
      <c r="C270" s="976"/>
      <c r="D270" s="976"/>
      <c r="E270" s="976"/>
      <c r="F270" s="976"/>
      <c r="G270" s="976"/>
      <c r="H270" s="976"/>
      <c r="I270" s="976"/>
      <c r="J270" s="5">
        <f>J271+J272+J273+J274</f>
        <v>0</v>
      </c>
      <c r="K270" s="5" t="e">
        <f>K7+K8+#REF!+#REF!+#REF!+#REF!+#REF!+#REF!+#REF!+#REF!+#REF!+#REF!+#REF!+#REF!</f>
        <v>#REF!</v>
      </c>
      <c r="L270" s="5" t="e">
        <f>L7+L8+#REF!+#REF!+#REF!+#REF!+#REF!+#REF!+#REF!+#REF!+#REF!+#REF!+#REF!+#REF!</f>
        <v>#REF!</v>
      </c>
    </row>
    <row r="271" spans="1:14" hidden="1" x14ac:dyDescent="0.25">
      <c r="B271" s="733"/>
      <c r="C271" s="733"/>
      <c r="D271" s="733"/>
      <c r="E271" s="733"/>
      <c r="F271" s="733"/>
      <c r="G271" s="733"/>
      <c r="H271" s="733"/>
      <c r="I271" s="438" t="s">
        <v>15</v>
      </c>
      <c r="J271" s="5">
        <f>J7+J8</f>
        <v>0</v>
      </c>
      <c r="K271" s="5"/>
      <c r="L271" s="5"/>
    </row>
    <row r="272" spans="1:14" hidden="1" x14ac:dyDescent="0.25">
      <c r="B272" s="733"/>
      <c r="C272" s="733"/>
      <c r="D272" s="733"/>
      <c r="E272" s="733"/>
      <c r="F272" s="733"/>
      <c r="G272" s="733"/>
      <c r="H272" s="733"/>
      <c r="I272" s="438" t="s">
        <v>16</v>
      </c>
      <c r="J272" s="5">
        <f>J10</f>
        <v>0</v>
      </c>
      <c r="K272" s="5"/>
      <c r="L272" s="5"/>
    </row>
    <row r="273" spans="2:12" hidden="1" x14ac:dyDescent="0.25">
      <c r="B273" s="733"/>
      <c r="C273" s="733"/>
      <c r="D273" s="733"/>
      <c r="E273" s="733"/>
      <c r="F273" s="733"/>
      <c r="G273" s="733"/>
      <c r="H273" s="733"/>
      <c r="I273" s="438" t="s">
        <v>18</v>
      </c>
      <c r="J273" s="5">
        <v>0</v>
      </c>
      <c r="K273" s="5"/>
      <c r="L273" s="5"/>
    </row>
    <row r="274" spans="2:12" hidden="1" x14ac:dyDescent="0.25">
      <c r="B274" s="733"/>
      <c r="C274" s="733"/>
      <c r="D274" s="733"/>
      <c r="E274" s="733"/>
      <c r="F274" s="733"/>
      <c r="G274" s="733"/>
      <c r="H274" s="733"/>
      <c r="I274" s="438" t="s">
        <v>19</v>
      </c>
      <c r="J274" s="5">
        <v>0</v>
      </c>
      <c r="K274" s="5"/>
      <c r="L274" s="5"/>
    </row>
    <row r="275" spans="2:12" hidden="1" x14ac:dyDescent="0.25">
      <c r="B275" s="976" t="s">
        <v>260</v>
      </c>
      <c r="C275" s="976"/>
      <c r="D275" s="976"/>
      <c r="E275" s="976"/>
      <c r="F275" s="976"/>
      <c r="G275" s="976"/>
      <c r="H275" s="976"/>
      <c r="I275" s="976"/>
      <c r="J275" s="5">
        <f>SUM(J265:J270)</f>
        <v>0</v>
      </c>
      <c r="K275" s="5" t="e">
        <f>SUM(K265:K270)</f>
        <v>#REF!</v>
      </c>
      <c r="L275" s="5" t="e">
        <f>SUM(L265:L270)</f>
        <v>#REF!</v>
      </c>
    </row>
    <row r="276" spans="2:12" hidden="1" x14ac:dyDescent="0.25">
      <c r="B276" s="1126" t="s">
        <v>948</v>
      </c>
      <c r="C276" s="1126"/>
      <c r="D276" s="1126"/>
      <c r="E276" s="1126"/>
      <c r="F276" s="1126"/>
      <c r="G276" s="1126"/>
      <c r="H276" s="1126"/>
      <c r="I276" s="1126"/>
      <c r="J276" s="437"/>
    </row>
    <row r="277" spans="2:12" hidden="1" x14ac:dyDescent="0.25">
      <c r="B277" s="976" t="s">
        <v>972</v>
      </c>
      <c r="C277" s="976"/>
      <c r="D277" s="976"/>
      <c r="E277" s="976"/>
      <c r="F277" s="976"/>
      <c r="G277" s="976"/>
      <c r="H277" s="976"/>
      <c r="I277" s="976"/>
      <c r="J277" s="5">
        <v>0</v>
      </c>
      <c r="K277" s="5">
        <f>K92+K94</f>
        <v>0</v>
      </c>
      <c r="L277" s="5">
        <f>L92+L94</f>
        <v>0</v>
      </c>
    </row>
    <row r="278" spans="2:12" hidden="1" x14ac:dyDescent="0.25">
      <c r="B278" s="976" t="s">
        <v>973</v>
      </c>
      <c r="C278" s="976"/>
      <c r="D278" s="976"/>
      <c r="E278" s="976"/>
      <c r="F278" s="976"/>
      <c r="G278" s="976"/>
      <c r="H278" s="976"/>
      <c r="I278" s="976"/>
      <c r="J278" s="5">
        <f>J92</f>
        <v>0</v>
      </c>
      <c r="K278" s="5"/>
      <c r="L278" s="5"/>
    </row>
    <row r="279" spans="2:12" hidden="1" x14ac:dyDescent="0.25">
      <c r="B279" s="976" t="s">
        <v>974</v>
      </c>
      <c r="C279" s="976"/>
      <c r="D279" s="976"/>
      <c r="E279" s="976"/>
      <c r="F279" s="976"/>
      <c r="G279" s="976"/>
      <c r="H279" s="976"/>
      <c r="I279" s="976"/>
      <c r="J279" s="5">
        <f>J93</f>
        <v>0</v>
      </c>
      <c r="K279" s="5">
        <f>K93</f>
        <v>0</v>
      </c>
      <c r="L279" s="5">
        <f>L93</f>
        <v>0</v>
      </c>
    </row>
    <row r="280" spans="2:12" hidden="1" x14ac:dyDescent="0.25">
      <c r="B280" s="976" t="s">
        <v>260</v>
      </c>
      <c r="C280" s="976"/>
      <c r="D280" s="976"/>
      <c r="E280" s="976"/>
      <c r="F280" s="976"/>
      <c r="G280" s="976"/>
      <c r="H280" s="976"/>
      <c r="I280" s="976"/>
      <c r="J280" s="5">
        <f>SUM(J277:J279)</f>
        <v>0</v>
      </c>
      <c r="K280" s="5">
        <f>SUM(K277:K279)</f>
        <v>0</v>
      </c>
      <c r="L280" s="5">
        <f>SUM(L277:L279)</f>
        <v>0</v>
      </c>
    </row>
    <row r="281" spans="2:12" hidden="1" x14ac:dyDescent="0.25">
      <c r="B281" s="1126" t="s">
        <v>950</v>
      </c>
      <c r="C281" s="1126"/>
      <c r="D281" s="1126"/>
      <c r="E281" s="1126"/>
      <c r="F281" s="1126"/>
      <c r="G281" s="1126"/>
      <c r="H281" s="1126"/>
      <c r="I281" s="1126"/>
      <c r="J281" s="437"/>
    </row>
    <row r="282" spans="2:12" hidden="1" x14ac:dyDescent="0.25">
      <c r="B282" s="976" t="s">
        <v>975</v>
      </c>
      <c r="C282" s="976"/>
      <c r="D282" s="976"/>
      <c r="E282" s="976"/>
      <c r="F282" s="976"/>
      <c r="G282" s="976"/>
      <c r="H282" s="976"/>
      <c r="I282" s="976"/>
      <c r="J282" s="64" t="e">
        <f>#REF!+#REF!+#REF!+#REF!+#REF!+J104+#REF!+#REF!+J235+J236+J237+#REF!+J105+J106+#REF!+#REF!+J112+J226+#REF!+#REF!</f>
        <v>#REF!</v>
      </c>
      <c r="K282" s="64" t="e">
        <f>#REF!+#REF!+#REF!+K104+K124+#REF!+#REF!+#REF!+#REF!+#REF!</f>
        <v>#REF!</v>
      </c>
      <c r="L282" s="64" t="e">
        <f>#REF!+#REF!+#REF!+L104+L124+#REF!+#REF!+#REF!+#REF!+#REF!</f>
        <v>#REF!</v>
      </c>
    </row>
    <row r="283" spans="2:12" hidden="1" x14ac:dyDescent="0.25">
      <c r="B283" s="976" t="s">
        <v>976</v>
      </c>
      <c r="C283" s="976"/>
      <c r="D283" s="976"/>
      <c r="E283" s="976"/>
      <c r="F283" s="976"/>
      <c r="G283" s="976"/>
      <c r="H283" s="976"/>
      <c r="I283" s="976"/>
      <c r="J283" s="64">
        <f>J239</f>
        <v>0</v>
      </c>
      <c r="K283" s="64">
        <f>K253+K244</f>
        <v>0</v>
      </c>
      <c r="L283" s="64">
        <f>L253+L244</f>
        <v>0</v>
      </c>
    </row>
    <row r="284" spans="2:12" hidden="1" x14ac:dyDescent="0.25">
      <c r="B284" s="976" t="s">
        <v>977</v>
      </c>
      <c r="C284" s="976"/>
      <c r="D284" s="976"/>
      <c r="E284" s="976"/>
      <c r="F284" s="976"/>
      <c r="G284" s="976"/>
      <c r="H284" s="976"/>
      <c r="I284" s="976"/>
      <c r="J284" s="64">
        <f>J154+J155+J156</f>
        <v>0</v>
      </c>
      <c r="K284" s="64">
        <f>K157+K156+K155+K160+K161+K162+K163+K164+K165+K166+K167+K168+K170+K171+K172+K173+K174+K175+K176+K177</f>
        <v>0</v>
      </c>
      <c r="L284" s="64">
        <f>L157+L156+L155+L160+L161+L162+L163+L164+L165+L166+L167+L168+L170+L171+L172+L173+L174+L175+L176+L177</f>
        <v>0</v>
      </c>
    </row>
    <row r="285" spans="2:12" hidden="1" x14ac:dyDescent="0.25">
      <c r="B285" s="976" t="s">
        <v>978</v>
      </c>
      <c r="C285" s="976"/>
      <c r="D285" s="976"/>
      <c r="E285" s="976"/>
      <c r="F285" s="976"/>
      <c r="G285" s="976"/>
      <c r="H285" s="976"/>
      <c r="I285" s="976"/>
      <c r="J285" s="64" t="e">
        <f>#REF!+#REF!</f>
        <v>#REF!</v>
      </c>
      <c r="K285" s="64" t="e">
        <f>K158+#REF!</f>
        <v>#REF!</v>
      </c>
      <c r="L285" s="64" t="e">
        <f>L158+#REF!</f>
        <v>#REF!</v>
      </c>
    </row>
    <row r="286" spans="2:12" hidden="1" x14ac:dyDescent="0.25">
      <c r="B286" s="976" t="s">
        <v>260</v>
      </c>
      <c r="C286" s="976"/>
      <c r="D286" s="976"/>
      <c r="E286" s="976"/>
      <c r="F286" s="976"/>
      <c r="G286" s="976"/>
      <c r="H286" s="976"/>
      <c r="I286" s="976"/>
      <c r="J286" s="64" t="e">
        <f>SUM(J282:J285)</f>
        <v>#REF!</v>
      </c>
      <c r="K286" s="64" t="e">
        <f>SUM(K282:K285)</f>
        <v>#REF!</v>
      </c>
      <c r="L286" s="64" t="e">
        <f>SUM(L282:L285)</f>
        <v>#REF!</v>
      </c>
    </row>
    <row r="287" spans="2:12" ht="15" hidden="1" customHeight="1" x14ac:dyDescent="0.25">
      <c r="B287" s="1126"/>
      <c r="C287" s="1126"/>
      <c r="D287" s="1126"/>
      <c r="E287" s="1126"/>
      <c r="F287" s="1126"/>
      <c r="G287" s="1126"/>
      <c r="H287" s="1126"/>
      <c r="I287" s="1126"/>
      <c r="J287" s="439" t="s">
        <v>969</v>
      </c>
      <c r="K287" s="439">
        <f>П2ДОХОДЫ!E170</f>
        <v>782475604.05999994</v>
      </c>
      <c r="L287" s="439"/>
    </row>
    <row r="288" spans="2:12" hidden="1" x14ac:dyDescent="0.25">
      <c r="J288" s="28" t="s">
        <v>980</v>
      </c>
      <c r="K288" s="364">
        <f>П4ВСР!Z698</f>
        <v>911824309</v>
      </c>
    </row>
    <row r="289" spans="9:12" hidden="1" x14ac:dyDescent="0.25">
      <c r="I289" s="733"/>
      <c r="J289" s="28" t="s">
        <v>981</v>
      </c>
      <c r="K289" s="364">
        <f>П2ДОХОДЫ!E13</f>
        <v>219266470.66000003</v>
      </c>
    </row>
    <row r="290" spans="9:12" hidden="1" x14ac:dyDescent="0.25">
      <c r="J290" s="28" t="s">
        <v>982</v>
      </c>
      <c r="K290" s="364">
        <f>K263-K288</f>
        <v>-129348704.94000006</v>
      </c>
    </row>
    <row r="291" spans="9:12" hidden="1" x14ac:dyDescent="0.25">
      <c r="K291" s="364">
        <f>П1ИВФ!C18</f>
        <v>2360000</v>
      </c>
    </row>
    <row r="292" spans="9:12" hidden="1" x14ac:dyDescent="0.25">
      <c r="K292" s="3">
        <f>K291/K289*100</f>
        <v>1.0763159514978804</v>
      </c>
    </row>
    <row r="293" spans="9:12" hidden="1" x14ac:dyDescent="0.25"/>
    <row r="294" spans="9:12" hidden="1" x14ac:dyDescent="0.25">
      <c r="J294" s="64"/>
      <c r="K294" s="364"/>
    </row>
    <row r="295" spans="9:12" hidden="1" x14ac:dyDescent="0.25">
      <c r="K295" s="364"/>
    </row>
    <row r="296" spans="9:12" x14ac:dyDescent="0.25">
      <c r="K296" s="364"/>
    </row>
    <row r="298" spans="9:12" x14ac:dyDescent="0.25">
      <c r="K298" s="364"/>
    </row>
    <row r="301" spans="9:12" x14ac:dyDescent="0.25">
      <c r="L301" s="364"/>
    </row>
    <row r="302" spans="9:12" x14ac:dyDescent="0.25">
      <c r="L302" s="364"/>
    </row>
    <row r="303" spans="9:12" x14ac:dyDescent="0.25">
      <c r="K303" s="28"/>
      <c r="L303" s="364"/>
    </row>
    <row r="304" spans="9:12" x14ac:dyDescent="0.25">
      <c r="K304" s="28"/>
      <c r="L304" s="364"/>
    </row>
    <row r="305" spans="10:12" x14ac:dyDescent="0.25">
      <c r="J305" s="76"/>
      <c r="K305" s="28"/>
      <c r="L305" s="364"/>
    </row>
    <row r="306" spans="10:12" x14ac:dyDescent="0.25">
      <c r="J306" s="437"/>
    </row>
  </sheetData>
  <mergeCells count="176">
    <mergeCell ref="F163:G163"/>
    <mergeCell ref="F175:G175"/>
    <mergeCell ref="F176:G176"/>
    <mergeCell ref="B153:I153"/>
    <mergeCell ref="F151:G151"/>
    <mergeCell ref="B150:I150"/>
    <mergeCell ref="F177:G177"/>
    <mergeCell ref="F178:G178"/>
    <mergeCell ref="F179:G179"/>
    <mergeCell ref="F154:G154"/>
    <mergeCell ref="F155:G155"/>
    <mergeCell ref="F156:G156"/>
    <mergeCell ref="F157:G157"/>
    <mergeCell ref="F158:G158"/>
    <mergeCell ref="F159:G159"/>
    <mergeCell ref="F160:G160"/>
    <mergeCell ref="F161:G161"/>
    <mergeCell ref="F162:G162"/>
    <mergeCell ref="F187:G187"/>
    <mergeCell ref="F188:G188"/>
    <mergeCell ref="F180:G180"/>
    <mergeCell ref="F181:G181"/>
    <mergeCell ref="F182:G182"/>
    <mergeCell ref="F201:G201"/>
    <mergeCell ref="F195:G195"/>
    <mergeCell ref="F196:G196"/>
    <mergeCell ref="F197:G197"/>
    <mergeCell ref="F198:G198"/>
    <mergeCell ref="F199:G199"/>
    <mergeCell ref="B200:I200"/>
    <mergeCell ref="F189:G189"/>
    <mergeCell ref="F190:G190"/>
    <mergeCell ref="F191:G191"/>
    <mergeCell ref="F192:G192"/>
    <mergeCell ref="F193:G193"/>
    <mergeCell ref="F194:G194"/>
    <mergeCell ref="F183:G183"/>
    <mergeCell ref="F184:G184"/>
    <mergeCell ref="F185:G185"/>
    <mergeCell ref="F186:G186"/>
    <mergeCell ref="B284:I284"/>
    <mergeCell ref="B285:I285"/>
    <mergeCell ref="B286:I286"/>
    <mergeCell ref="B287:I287"/>
    <mergeCell ref="B278:I278"/>
    <mergeCell ref="B279:I279"/>
    <mergeCell ref="B280:I280"/>
    <mergeCell ref="B281:I281"/>
    <mergeCell ref="B282:I282"/>
    <mergeCell ref="B283:I283"/>
    <mergeCell ref="B264:I264"/>
    <mergeCell ref="B265:I265"/>
    <mergeCell ref="B270:I270"/>
    <mergeCell ref="B275:I275"/>
    <mergeCell ref="B276:I276"/>
    <mergeCell ref="B277:I277"/>
    <mergeCell ref="F251:G251"/>
    <mergeCell ref="F252:G252"/>
    <mergeCell ref="B254:I254"/>
    <mergeCell ref="A258:H258"/>
    <mergeCell ref="I258:J258"/>
    <mergeCell ref="A262:B262"/>
    <mergeCell ref="F253:G253"/>
    <mergeCell ref="F242:G242"/>
    <mergeCell ref="B243:I243"/>
    <mergeCell ref="F244:G244"/>
    <mergeCell ref="F245:G245"/>
    <mergeCell ref="F233:G233"/>
    <mergeCell ref="B234:I234"/>
    <mergeCell ref="F235:G235"/>
    <mergeCell ref="F236:G236"/>
    <mergeCell ref="F237:G237"/>
    <mergeCell ref="F238:G238"/>
    <mergeCell ref="F240:G240"/>
    <mergeCell ref="F230:G230"/>
    <mergeCell ref="F231:G231"/>
    <mergeCell ref="F232:G232"/>
    <mergeCell ref="F223:G223"/>
    <mergeCell ref="F224:G224"/>
    <mergeCell ref="F225:G225"/>
    <mergeCell ref="F226:G226"/>
    <mergeCell ref="B239:I239"/>
    <mergeCell ref="F241:G241"/>
    <mergeCell ref="B213:I213"/>
    <mergeCell ref="F214:G214"/>
    <mergeCell ref="F219:G219"/>
    <mergeCell ref="B220:I220"/>
    <mergeCell ref="F221:G221"/>
    <mergeCell ref="F222:G222"/>
    <mergeCell ref="F227:G227"/>
    <mergeCell ref="F228:G228"/>
    <mergeCell ref="F229:G229"/>
    <mergeCell ref="F141:G141"/>
    <mergeCell ref="F144:G144"/>
    <mergeCell ref="B145:I145"/>
    <mergeCell ref="F135:G135"/>
    <mergeCell ref="F136:G136"/>
    <mergeCell ref="F137:G137"/>
    <mergeCell ref="F138:G138"/>
    <mergeCell ref="F139:G139"/>
    <mergeCell ref="F140:G140"/>
    <mergeCell ref="A121:A122"/>
    <mergeCell ref="C121:C122"/>
    <mergeCell ref="D121:D122"/>
    <mergeCell ref="F129:G129"/>
    <mergeCell ref="F130:G130"/>
    <mergeCell ref="F131:G131"/>
    <mergeCell ref="F132:G132"/>
    <mergeCell ref="F133:G133"/>
    <mergeCell ref="F134:G134"/>
    <mergeCell ref="B123:I123"/>
    <mergeCell ref="F124:G124"/>
    <mergeCell ref="F126:G126"/>
    <mergeCell ref="B127:I127"/>
    <mergeCell ref="F128:G128"/>
    <mergeCell ref="F125:G125"/>
    <mergeCell ref="E121:E122"/>
    <mergeCell ref="F121:G122"/>
    <mergeCell ref="I121:I122"/>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6:G106"/>
    <mergeCell ref="F107:G107"/>
    <mergeCell ref="F108:G108"/>
    <mergeCell ref="B100:J100"/>
    <mergeCell ref="A101:A102"/>
    <mergeCell ref="B101:B102"/>
    <mergeCell ref="C101:C102"/>
    <mergeCell ref="D101:D102"/>
    <mergeCell ref="E101:G102"/>
    <mergeCell ref="H101:H102"/>
    <mergeCell ref="I101:I102"/>
    <mergeCell ref="J101:L101"/>
    <mergeCell ref="F202:G202"/>
    <mergeCell ref="F212:G212"/>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46:G146"/>
    <mergeCell ref="F147:G147"/>
    <mergeCell ref="F148:G148"/>
    <mergeCell ref="A142:A143"/>
    <mergeCell ref="I142:I143"/>
    <mergeCell ref="C142:C143"/>
    <mergeCell ref="D142:D143"/>
    <mergeCell ref="E142:E143"/>
    <mergeCell ref="F142:G143"/>
  </mergeCells>
  <pageMargins left="0.70866141732283472" right="0.70866141732283472" top="0.74803149606299213" bottom="0.15748031496062992" header="0.31496062992125984" footer="0.31496062992125984"/>
  <pageSetup paperSize="9"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8"/>
  <sheetViews>
    <sheetView workbookViewId="0">
      <selection activeCell="N295" sqref="N295"/>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82" t="s">
        <v>943</v>
      </c>
      <c r="B1" s="1082"/>
      <c r="C1" s="1082"/>
      <c r="D1" s="1082"/>
      <c r="E1" s="1082"/>
      <c r="F1" s="1082"/>
      <c r="G1" s="1082"/>
      <c r="H1" s="1082"/>
      <c r="I1" s="1082"/>
      <c r="J1" s="1082"/>
      <c r="K1" s="1082"/>
      <c r="L1" s="1082"/>
    </row>
    <row r="2" spans="1:12" x14ac:dyDescent="0.25">
      <c r="A2" s="915" t="s">
        <v>1413</v>
      </c>
      <c r="B2" s="915"/>
      <c r="C2" s="915"/>
      <c r="D2" s="915"/>
      <c r="E2" s="915"/>
      <c r="F2" s="915"/>
      <c r="G2" s="915"/>
      <c r="H2" s="915"/>
      <c r="I2" s="915"/>
      <c r="J2" s="915"/>
      <c r="K2" s="915"/>
      <c r="L2" s="915"/>
    </row>
    <row r="4" spans="1:12" x14ac:dyDescent="0.25">
      <c r="A4" s="1083" t="s">
        <v>944</v>
      </c>
      <c r="B4" s="1083"/>
      <c r="C4" s="1083"/>
      <c r="D4" s="1083"/>
      <c r="E4" s="1083"/>
      <c r="F4" s="1083"/>
      <c r="G4" s="1083"/>
      <c r="H4" s="1083"/>
      <c r="I4" s="1083"/>
      <c r="J4" s="1083"/>
      <c r="K4" s="1083"/>
      <c r="L4" s="1083"/>
    </row>
    <row r="5" spans="1:12" x14ac:dyDescent="0.25">
      <c r="A5" s="1084" t="s">
        <v>945</v>
      </c>
      <c r="B5" s="1086" t="s">
        <v>121</v>
      </c>
      <c r="C5" s="1087"/>
      <c r="D5" s="1087"/>
      <c r="E5" s="1087"/>
      <c r="F5" s="1087"/>
      <c r="G5" s="1087"/>
      <c r="H5" s="1088"/>
      <c r="I5" s="916" t="s">
        <v>1</v>
      </c>
      <c r="J5" s="920" t="s">
        <v>946</v>
      </c>
      <c r="K5" s="921"/>
      <c r="L5" s="922"/>
    </row>
    <row r="6" spans="1:12" x14ac:dyDescent="0.25">
      <c r="A6" s="1085"/>
      <c r="B6" s="1089"/>
      <c r="C6" s="1090"/>
      <c r="D6" s="1090"/>
      <c r="E6" s="1090"/>
      <c r="F6" s="1090"/>
      <c r="G6" s="1090"/>
      <c r="H6" s="1091"/>
      <c r="I6" s="917"/>
      <c r="J6" s="762">
        <v>2019</v>
      </c>
      <c r="K6" s="78">
        <v>2020</v>
      </c>
      <c r="L6" s="78">
        <v>2021</v>
      </c>
    </row>
    <row r="7" spans="1:12" ht="58.5" customHeight="1" x14ac:dyDescent="0.25">
      <c r="A7" s="348"/>
      <c r="B7" s="349"/>
      <c r="C7" s="349"/>
      <c r="D7" s="349"/>
      <c r="E7" s="349"/>
      <c r="F7" s="349"/>
      <c r="G7" s="349"/>
      <c r="H7" s="349"/>
      <c r="I7" s="440"/>
      <c r="J7" s="351"/>
      <c r="K7" s="41">
        <v>0</v>
      </c>
      <c r="L7" s="41">
        <v>0</v>
      </c>
    </row>
    <row r="8" spans="1:12" ht="62.25" customHeight="1" x14ac:dyDescent="0.25">
      <c r="A8" s="348"/>
      <c r="B8" s="349"/>
      <c r="C8" s="349"/>
      <c r="D8" s="349"/>
      <c r="E8" s="349"/>
      <c r="F8" s="349"/>
      <c r="G8" s="349"/>
      <c r="H8" s="349"/>
      <c r="I8" s="440"/>
      <c r="J8" s="351"/>
      <c r="K8" s="41">
        <v>0</v>
      </c>
      <c r="L8" s="41">
        <v>0</v>
      </c>
    </row>
    <row r="9" spans="1:12" hidden="1" x14ac:dyDescent="0.25">
      <c r="A9" s="348"/>
      <c r="B9" s="352"/>
      <c r="C9" s="352"/>
      <c r="D9" s="352"/>
      <c r="E9" s="352"/>
      <c r="F9" s="352"/>
      <c r="G9" s="352"/>
      <c r="H9" s="352"/>
      <c r="I9" s="456"/>
      <c r="J9" s="353"/>
      <c r="K9" s="369"/>
      <c r="L9" s="369"/>
    </row>
    <row r="10" spans="1:12" ht="14.25" hidden="1" customHeight="1" x14ac:dyDescent="0.25">
      <c r="A10" s="348"/>
      <c r="B10" s="354"/>
      <c r="C10" s="354"/>
      <c r="D10" s="354"/>
      <c r="E10" s="354"/>
      <c r="F10" s="354"/>
      <c r="G10" s="354"/>
      <c r="H10" s="354"/>
      <c r="I10" s="440"/>
      <c r="J10" s="355"/>
      <c r="K10" s="110"/>
      <c r="L10" s="110"/>
    </row>
    <row r="11" spans="1:12" hidden="1" x14ac:dyDescent="0.25">
      <c r="A11" s="348"/>
      <c r="B11" s="354"/>
      <c r="C11" s="354"/>
      <c r="D11" s="354"/>
      <c r="E11" s="354"/>
      <c r="F11" s="354"/>
      <c r="G11" s="354"/>
      <c r="H11" s="354"/>
      <c r="I11" s="458"/>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40"/>
      <c r="J13" s="355"/>
      <c r="K13" s="369"/>
      <c r="L13" s="369"/>
    </row>
    <row r="14" spans="1:12" hidden="1" x14ac:dyDescent="0.25">
      <c r="A14" s="348"/>
      <c r="B14" s="354"/>
      <c r="C14" s="354"/>
      <c r="D14" s="354"/>
      <c r="E14" s="354"/>
      <c r="F14" s="354"/>
      <c r="G14" s="354"/>
      <c r="H14" s="354"/>
      <c r="I14" s="479"/>
      <c r="J14" s="355"/>
      <c r="K14" s="110"/>
      <c r="L14" s="110"/>
    </row>
    <row r="15" spans="1:12" hidden="1" x14ac:dyDescent="0.25">
      <c r="A15" s="348"/>
      <c r="B15" s="354"/>
      <c r="C15" s="354"/>
      <c r="D15" s="354"/>
      <c r="E15" s="354"/>
      <c r="F15" s="354"/>
      <c r="G15" s="354"/>
      <c r="H15" s="354"/>
      <c r="I15" s="440"/>
      <c r="J15" s="355"/>
      <c r="K15" s="110"/>
      <c r="L15" s="110"/>
    </row>
    <row r="16" spans="1:12" hidden="1" x14ac:dyDescent="0.25">
      <c r="A16" s="348"/>
      <c r="B16" s="354"/>
      <c r="C16" s="354"/>
      <c r="D16" s="354"/>
      <c r="E16" s="354"/>
      <c r="F16" s="354"/>
      <c r="G16" s="354"/>
      <c r="H16" s="354"/>
      <c r="I16" s="440"/>
      <c r="J16" s="355"/>
      <c r="K16" s="110"/>
      <c r="L16" s="110"/>
    </row>
    <row r="17" spans="1:12" hidden="1" x14ac:dyDescent="0.25">
      <c r="A17" s="348"/>
      <c r="B17" s="354"/>
      <c r="C17" s="354"/>
      <c r="D17" s="354"/>
      <c r="E17" s="354"/>
      <c r="F17" s="354"/>
      <c r="G17" s="354"/>
      <c r="H17" s="354"/>
      <c r="I17" s="440"/>
      <c r="J17" s="355"/>
      <c r="K17" s="369"/>
      <c r="L17" s="369"/>
    </row>
    <row r="18" spans="1:12" hidden="1" x14ac:dyDescent="0.25">
      <c r="A18" s="348"/>
      <c r="B18" s="354"/>
      <c r="C18" s="354"/>
      <c r="D18" s="354"/>
      <c r="E18" s="354"/>
      <c r="F18" s="354"/>
      <c r="G18" s="354"/>
      <c r="H18" s="354"/>
      <c r="I18" s="456"/>
      <c r="J18" s="355"/>
      <c r="K18" s="369"/>
      <c r="L18" s="369"/>
    </row>
    <row r="19" spans="1:12" hidden="1" x14ac:dyDescent="0.25">
      <c r="A19" s="348"/>
      <c r="B19" s="354"/>
      <c r="C19" s="354"/>
      <c r="D19" s="354"/>
      <c r="E19" s="354"/>
      <c r="F19" s="354"/>
      <c r="G19" s="354"/>
      <c r="H19" s="354"/>
      <c r="I19" s="350"/>
      <c r="J19" s="355"/>
      <c r="K19" s="369"/>
      <c r="L19" s="369"/>
    </row>
    <row r="20" spans="1:12" hidden="1" x14ac:dyDescent="0.25">
      <c r="A20" s="348"/>
      <c r="B20" s="354"/>
      <c r="C20" s="354"/>
      <c r="D20" s="354"/>
      <c r="E20" s="354"/>
      <c r="F20" s="354"/>
      <c r="G20" s="354"/>
      <c r="H20" s="354"/>
      <c r="I20" s="440"/>
      <c r="J20" s="355"/>
      <c r="K20" s="110"/>
      <c r="L20" s="110"/>
    </row>
    <row r="21" spans="1:12" hidden="1" x14ac:dyDescent="0.25">
      <c r="A21" s="348"/>
      <c r="B21" s="354"/>
      <c r="C21" s="354"/>
      <c r="D21" s="354"/>
      <c r="E21" s="354"/>
      <c r="F21" s="354"/>
      <c r="G21" s="354"/>
      <c r="H21" s="354"/>
      <c r="I21" s="511"/>
      <c r="J21" s="355"/>
      <c r="K21" s="110"/>
      <c r="L21" s="110"/>
    </row>
    <row r="22" spans="1:12" hidden="1" x14ac:dyDescent="0.25">
      <c r="A22" s="348"/>
      <c r="B22" s="354"/>
      <c r="C22" s="354"/>
      <c r="D22" s="354"/>
      <c r="E22" s="354"/>
      <c r="F22" s="354"/>
      <c r="G22" s="354"/>
      <c r="H22" s="354"/>
      <c r="I22" s="358"/>
      <c r="J22" s="355"/>
      <c r="K22" s="110"/>
      <c r="L22" s="110"/>
    </row>
    <row r="23" spans="1:12" hidden="1" x14ac:dyDescent="0.25">
      <c r="A23" s="348"/>
      <c r="B23" s="354"/>
      <c r="C23" s="354"/>
      <c r="D23" s="354"/>
      <c r="E23" s="354"/>
      <c r="F23" s="354"/>
      <c r="G23" s="354"/>
      <c r="H23" s="354"/>
      <c r="I23" s="356"/>
      <c r="J23" s="355"/>
      <c r="K23" s="110"/>
      <c r="L23" s="110"/>
    </row>
    <row r="24" spans="1:12" hidden="1" x14ac:dyDescent="0.25">
      <c r="A24" s="348"/>
      <c r="B24" s="354"/>
      <c r="C24" s="354"/>
      <c r="D24" s="354"/>
      <c r="E24" s="354"/>
      <c r="F24" s="354"/>
      <c r="G24" s="354"/>
      <c r="H24" s="354"/>
      <c r="I24" s="350"/>
      <c r="J24" s="355"/>
      <c r="K24" s="110"/>
      <c r="L24" s="110"/>
    </row>
    <row r="25" spans="1:12" hidden="1" x14ac:dyDescent="0.25">
      <c r="A25" s="348"/>
      <c r="B25" s="354"/>
      <c r="C25" s="354"/>
      <c r="D25" s="354"/>
      <c r="E25" s="354"/>
      <c r="F25" s="354"/>
      <c r="G25" s="354"/>
      <c r="H25" s="354"/>
      <c r="I25" s="350"/>
      <c r="J25" s="355"/>
      <c r="K25" s="110"/>
      <c r="L25" s="110"/>
    </row>
    <row r="26" spans="1:12" ht="1.5" hidden="1" customHeight="1" x14ac:dyDescent="0.25">
      <c r="A26" s="348"/>
      <c r="B26" s="354"/>
      <c r="C26" s="354"/>
      <c r="D26" s="354"/>
      <c r="E26" s="354"/>
      <c r="F26" s="354"/>
      <c r="G26" s="354"/>
      <c r="H26" s="354"/>
      <c r="I26" s="350"/>
      <c r="J26" s="355"/>
      <c r="K26" s="110"/>
      <c r="L26" s="110"/>
    </row>
    <row r="27" spans="1:12" hidden="1" x14ac:dyDescent="0.25">
      <c r="A27" s="348"/>
      <c r="B27" s="354"/>
      <c r="C27" s="354"/>
      <c r="D27" s="354"/>
      <c r="E27" s="354"/>
      <c r="F27" s="354"/>
      <c r="G27" s="354"/>
      <c r="H27" s="354"/>
      <c r="I27" s="350"/>
      <c r="J27" s="355"/>
      <c r="K27" s="110"/>
      <c r="L27" s="110"/>
    </row>
    <row r="28" spans="1:12" hidden="1" x14ac:dyDescent="0.25">
      <c r="A28" s="348"/>
      <c r="B28" s="354"/>
      <c r="C28" s="354"/>
      <c r="D28" s="354"/>
      <c r="E28" s="354"/>
      <c r="F28" s="354"/>
      <c r="G28" s="354"/>
      <c r="H28" s="354"/>
      <c r="I28" s="359"/>
      <c r="J28" s="355"/>
      <c r="K28" s="110"/>
      <c r="L28" s="110"/>
    </row>
    <row r="29" spans="1:12" ht="13.5" hidden="1" customHeight="1" x14ac:dyDescent="0.25">
      <c r="A29" s="348"/>
      <c r="B29" s="354"/>
      <c r="C29" s="354"/>
      <c r="D29" s="354"/>
      <c r="E29" s="354"/>
      <c r="F29" s="354"/>
      <c r="G29" s="354"/>
      <c r="H29" s="354"/>
      <c r="I29" s="350"/>
      <c r="J29" s="355"/>
      <c r="K29" s="110"/>
      <c r="L29" s="110"/>
    </row>
    <row r="30" spans="1:12" hidden="1" x14ac:dyDescent="0.25">
      <c r="A30" s="348"/>
      <c r="B30" s="354"/>
      <c r="C30" s="354"/>
      <c r="D30" s="354"/>
      <c r="E30" s="354"/>
      <c r="F30" s="354"/>
      <c r="G30" s="354"/>
      <c r="H30" s="354"/>
      <c r="I30" s="350"/>
      <c r="J30" s="355"/>
      <c r="K30" s="110"/>
      <c r="L30" s="110"/>
    </row>
    <row r="31" spans="1:12" hidden="1" x14ac:dyDescent="0.25">
      <c r="A31" s="348"/>
      <c r="B31" s="354"/>
      <c r="C31" s="354"/>
      <c r="D31" s="354"/>
      <c r="E31" s="354"/>
      <c r="F31" s="354"/>
      <c r="G31" s="354"/>
      <c r="H31" s="354"/>
      <c r="I31" s="350"/>
      <c r="J31" s="355"/>
      <c r="K31" s="110"/>
      <c r="L31" s="110"/>
    </row>
    <row r="32" spans="1:12" hidden="1" x14ac:dyDescent="0.25">
      <c r="A32" s="348"/>
      <c r="B32" s="354"/>
      <c r="C32" s="354"/>
      <c r="D32" s="354"/>
      <c r="E32" s="354"/>
      <c r="F32" s="354"/>
      <c r="G32" s="354"/>
      <c r="H32" s="354"/>
      <c r="I32" s="350"/>
      <c r="J32" s="355"/>
      <c r="K32" s="110"/>
      <c r="L32" s="110"/>
    </row>
    <row r="33" spans="1:12" hidden="1" x14ac:dyDescent="0.25">
      <c r="A33" s="348"/>
      <c r="B33" s="354"/>
      <c r="C33" s="354"/>
      <c r="D33" s="354"/>
      <c r="E33" s="354"/>
      <c r="F33" s="354"/>
      <c r="G33" s="354"/>
      <c r="H33" s="354"/>
      <c r="I33" s="360"/>
      <c r="J33" s="355"/>
      <c r="K33" s="110"/>
      <c r="L33" s="110"/>
    </row>
    <row r="34" spans="1:12" hidden="1" x14ac:dyDescent="0.25">
      <c r="A34" s="348"/>
      <c r="B34" s="354"/>
      <c r="C34" s="354"/>
      <c r="D34" s="354"/>
      <c r="E34" s="354"/>
      <c r="F34" s="354"/>
      <c r="G34" s="354"/>
      <c r="H34" s="354"/>
      <c r="I34" s="358"/>
      <c r="J34" s="355"/>
      <c r="K34" s="110"/>
      <c r="L34" s="110"/>
    </row>
    <row r="35" spans="1:12" hidden="1" x14ac:dyDescent="0.25">
      <c r="A35" s="348"/>
      <c r="B35" s="354"/>
      <c r="C35" s="354"/>
      <c r="D35" s="354"/>
      <c r="E35" s="354"/>
      <c r="F35" s="354"/>
      <c r="G35" s="354"/>
      <c r="H35" s="354"/>
      <c r="I35" s="440"/>
      <c r="J35" s="355"/>
      <c r="K35" s="369">
        <v>0</v>
      </c>
      <c r="L35" s="110">
        <v>0</v>
      </c>
    </row>
    <row r="36" spans="1:12" hidden="1" x14ac:dyDescent="0.25">
      <c r="A36" s="348"/>
      <c r="B36" s="354"/>
      <c r="C36" s="354"/>
      <c r="D36" s="354"/>
      <c r="E36" s="354"/>
      <c r="F36" s="354"/>
      <c r="G36" s="354"/>
      <c r="H36" s="354"/>
      <c r="I36" s="440"/>
      <c r="J36" s="355"/>
      <c r="K36" s="369">
        <v>0</v>
      </c>
      <c r="L36" s="369">
        <v>0</v>
      </c>
    </row>
    <row r="37" spans="1:12" hidden="1" x14ac:dyDescent="0.25">
      <c r="A37" s="348"/>
      <c r="B37" s="354"/>
      <c r="C37" s="354"/>
      <c r="D37" s="354"/>
      <c r="E37" s="354"/>
      <c r="F37" s="354"/>
      <c r="G37" s="354"/>
      <c r="H37" s="354"/>
      <c r="I37" s="440"/>
      <c r="J37" s="355"/>
      <c r="K37" s="369">
        <v>0</v>
      </c>
      <c r="L37" s="369">
        <v>0</v>
      </c>
    </row>
    <row r="38" spans="1:12" hidden="1" x14ac:dyDescent="0.25">
      <c r="A38" s="348"/>
      <c r="B38" s="354"/>
      <c r="C38" s="354"/>
      <c r="D38" s="354"/>
      <c r="E38" s="354"/>
      <c r="F38" s="354"/>
      <c r="G38" s="354"/>
      <c r="H38" s="354"/>
      <c r="I38" s="440"/>
      <c r="J38" s="355"/>
      <c r="K38" s="369">
        <v>0</v>
      </c>
      <c r="L38" s="369">
        <v>0</v>
      </c>
    </row>
    <row r="39" spans="1:12" hidden="1" x14ac:dyDescent="0.25">
      <c r="A39" s="348"/>
      <c r="B39" s="354"/>
      <c r="C39" s="354"/>
      <c r="D39" s="354"/>
      <c r="E39" s="354"/>
      <c r="F39" s="354"/>
      <c r="G39" s="354"/>
      <c r="H39" s="354"/>
      <c r="I39" s="440"/>
      <c r="J39" s="355"/>
      <c r="K39" s="369">
        <v>0</v>
      </c>
      <c r="L39" s="369">
        <v>0</v>
      </c>
    </row>
    <row r="40" spans="1:12" hidden="1" x14ac:dyDescent="0.25">
      <c r="A40" s="348"/>
      <c r="B40" s="354"/>
      <c r="C40" s="354"/>
      <c r="D40" s="354"/>
      <c r="E40" s="354"/>
      <c r="F40" s="354"/>
      <c r="G40" s="354"/>
      <c r="H40" s="354"/>
      <c r="I40" s="511"/>
      <c r="J40" s="355"/>
      <c r="K40" s="369">
        <v>0</v>
      </c>
      <c r="L40" s="369">
        <v>0</v>
      </c>
    </row>
    <row r="41" spans="1:12" hidden="1" x14ac:dyDescent="0.25">
      <c r="A41" s="348"/>
      <c r="B41" s="354"/>
      <c r="C41" s="354"/>
      <c r="D41" s="354"/>
      <c r="E41" s="354"/>
      <c r="F41" s="354"/>
      <c r="G41" s="354"/>
      <c r="H41" s="354"/>
      <c r="I41" s="511"/>
      <c r="J41" s="355"/>
      <c r="K41" s="369">
        <v>0</v>
      </c>
      <c r="L41" s="369">
        <v>0</v>
      </c>
    </row>
    <row r="42" spans="1:12" hidden="1" x14ac:dyDescent="0.25">
      <c r="A42" s="348"/>
      <c r="B42" s="354"/>
      <c r="C42" s="354"/>
      <c r="D42" s="354"/>
      <c r="E42" s="354"/>
      <c r="F42" s="354"/>
      <c r="G42" s="354"/>
      <c r="H42" s="354"/>
      <c r="I42" s="511"/>
      <c r="J42" s="355"/>
      <c r="K42" s="369">
        <v>0</v>
      </c>
      <c r="L42" s="369">
        <v>0</v>
      </c>
    </row>
    <row r="43" spans="1:12" hidden="1" x14ac:dyDescent="0.25">
      <c r="A43" s="348"/>
      <c r="B43" s="354"/>
      <c r="C43" s="354"/>
      <c r="D43" s="354"/>
      <c r="E43" s="354"/>
      <c r="F43" s="354"/>
      <c r="G43" s="354"/>
      <c r="H43" s="354"/>
      <c r="I43" s="511"/>
      <c r="J43" s="355"/>
      <c r="K43" s="369">
        <v>0</v>
      </c>
      <c r="L43" s="369">
        <v>0</v>
      </c>
    </row>
    <row r="44" spans="1:12" hidden="1" x14ac:dyDescent="0.25">
      <c r="A44" s="348"/>
      <c r="B44" s="354"/>
      <c r="C44" s="354"/>
      <c r="D44" s="354"/>
      <c r="E44" s="354"/>
      <c r="F44" s="354"/>
      <c r="G44" s="354"/>
      <c r="H44" s="354"/>
      <c r="I44" s="440"/>
      <c r="J44" s="355"/>
      <c r="K44" s="369">
        <v>0</v>
      </c>
      <c r="L44" s="369">
        <v>0</v>
      </c>
    </row>
    <row r="45" spans="1:12" hidden="1" x14ac:dyDescent="0.25">
      <c r="A45" s="348"/>
      <c r="B45" s="354"/>
      <c r="C45" s="354"/>
      <c r="D45" s="354"/>
      <c r="E45" s="354"/>
      <c r="F45" s="354"/>
      <c r="G45" s="354"/>
      <c r="H45" s="354"/>
      <c r="I45" s="523"/>
      <c r="J45" s="355"/>
      <c r="K45" s="369">
        <v>0</v>
      </c>
      <c r="L45" s="369">
        <v>0</v>
      </c>
    </row>
    <row r="46" spans="1:12" hidden="1" x14ac:dyDescent="0.25">
      <c r="A46" s="348"/>
      <c r="B46" s="354"/>
      <c r="C46" s="354"/>
      <c r="D46" s="354"/>
      <c r="E46" s="354"/>
      <c r="F46" s="354"/>
      <c r="G46" s="354"/>
      <c r="H46" s="354"/>
      <c r="I46" s="440"/>
      <c r="J46" s="355"/>
      <c r="K46" s="369">
        <v>0</v>
      </c>
      <c r="L46" s="369">
        <v>0</v>
      </c>
    </row>
    <row r="47" spans="1:12" hidden="1" x14ac:dyDescent="0.25">
      <c r="A47" s="348"/>
      <c r="B47" s="354"/>
      <c r="C47" s="354"/>
      <c r="D47" s="354"/>
      <c r="E47" s="354"/>
      <c r="F47" s="354"/>
      <c r="G47" s="354"/>
      <c r="H47" s="354"/>
      <c r="I47" s="440"/>
      <c r="J47" s="355"/>
      <c r="K47" s="369">
        <v>0</v>
      </c>
      <c r="L47" s="369">
        <v>0</v>
      </c>
    </row>
    <row r="48" spans="1:12" hidden="1" x14ac:dyDescent="0.25">
      <c r="A48" s="348"/>
      <c r="B48" s="354"/>
      <c r="C48" s="354"/>
      <c r="D48" s="354"/>
      <c r="E48" s="354"/>
      <c r="F48" s="354"/>
      <c r="G48" s="354"/>
      <c r="H48" s="354"/>
      <c r="I48" s="440"/>
      <c r="J48" s="355"/>
      <c r="K48" s="369">
        <v>0</v>
      </c>
      <c r="L48" s="369">
        <v>0</v>
      </c>
    </row>
    <row r="49" spans="1:12" hidden="1" x14ac:dyDescent="0.25">
      <c r="A49" s="348"/>
      <c r="B49" s="354"/>
      <c r="C49" s="354"/>
      <c r="D49" s="354"/>
      <c r="E49" s="354"/>
      <c r="F49" s="354"/>
      <c r="G49" s="354"/>
      <c r="H49" s="354"/>
      <c r="I49" s="440"/>
      <c r="J49" s="355"/>
      <c r="K49" s="369">
        <v>0</v>
      </c>
      <c r="L49" s="369">
        <v>0</v>
      </c>
    </row>
    <row r="50" spans="1:12" hidden="1" x14ac:dyDescent="0.25">
      <c r="A50" s="348"/>
      <c r="B50" s="354"/>
      <c r="C50" s="354"/>
      <c r="D50" s="354"/>
      <c r="E50" s="354"/>
      <c r="F50" s="354"/>
      <c r="G50" s="354"/>
      <c r="H50" s="354"/>
      <c r="I50" s="511"/>
      <c r="J50" s="355"/>
      <c r="K50" s="369">
        <v>0</v>
      </c>
      <c r="L50" s="369">
        <v>0</v>
      </c>
    </row>
    <row r="51" spans="1:12" hidden="1" x14ac:dyDescent="0.25">
      <c r="A51" s="348"/>
      <c r="B51" s="354"/>
      <c r="C51" s="354"/>
      <c r="D51" s="354"/>
      <c r="E51" s="354"/>
      <c r="F51" s="354"/>
      <c r="G51" s="354"/>
      <c r="H51" s="354"/>
      <c r="I51" s="511"/>
      <c r="J51" s="355"/>
      <c r="K51" s="369">
        <v>0</v>
      </c>
      <c r="L51" s="369">
        <v>0</v>
      </c>
    </row>
    <row r="52" spans="1:12" hidden="1" x14ac:dyDescent="0.25">
      <c r="A52" s="348"/>
      <c r="B52" s="354"/>
      <c r="C52" s="354"/>
      <c r="D52" s="354"/>
      <c r="E52" s="354"/>
      <c r="F52" s="354"/>
      <c r="G52" s="354"/>
      <c r="H52" s="354"/>
      <c r="I52" s="440"/>
      <c r="J52" s="355"/>
      <c r="K52" s="369">
        <v>0</v>
      </c>
      <c r="L52" s="369">
        <v>0</v>
      </c>
    </row>
    <row r="53" spans="1:12" hidden="1" x14ac:dyDescent="0.25">
      <c r="A53" s="348"/>
      <c r="B53" s="354"/>
      <c r="C53" s="354"/>
      <c r="D53" s="354"/>
      <c r="E53" s="354"/>
      <c r="F53" s="354"/>
      <c r="G53" s="354"/>
      <c r="H53" s="354"/>
      <c r="I53" s="440"/>
      <c r="J53" s="355"/>
      <c r="K53" s="369">
        <v>0</v>
      </c>
      <c r="L53" s="369">
        <v>0</v>
      </c>
    </row>
    <row r="54" spans="1:12" hidden="1" x14ac:dyDescent="0.25">
      <c r="A54" s="348"/>
      <c r="B54" s="354"/>
      <c r="C54" s="354"/>
      <c r="D54" s="354"/>
      <c r="E54" s="354"/>
      <c r="F54" s="354"/>
      <c r="G54" s="354"/>
      <c r="H54" s="354"/>
      <c r="I54" s="511"/>
      <c r="J54" s="355"/>
      <c r="K54" s="110">
        <v>0</v>
      </c>
      <c r="L54" s="110">
        <v>0</v>
      </c>
    </row>
    <row r="55" spans="1:12" hidden="1" x14ac:dyDescent="0.25">
      <c r="A55" s="348"/>
      <c r="B55" s="354"/>
      <c r="C55" s="354"/>
      <c r="D55" s="354"/>
      <c r="E55" s="354"/>
      <c r="F55" s="354"/>
      <c r="G55" s="354"/>
      <c r="H55" s="354"/>
      <c r="I55" s="356"/>
      <c r="J55" s="355"/>
      <c r="K55" s="110">
        <v>0</v>
      </c>
      <c r="L55" s="110">
        <v>0</v>
      </c>
    </row>
    <row r="56" spans="1:12" hidden="1" x14ac:dyDescent="0.25">
      <c r="A56" s="348"/>
      <c r="B56" s="354"/>
      <c r="C56" s="354"/>
      <c r="D56" s="354"/>
      <c r="E56" s="354"/>
      <c r="F56" s="354"/>
      <c r="G56" s="354"/>
      <c r="H56" s="354"/>
      <c r="I56" s="350"/>
      <c r="J56" s="355"/>
      <c r="K56" s="110">
        <v>0</v>
      </c>
      <c r="L56" s="110">
        <v>0</v>
      </c>
    </row>
    <row r="57" spans="1:12" hidden="1" x14ac:dyDescent="0.25">
      <c r="A57" s="348"/>
      <c r="B57" s="354"/>
      <c r="C57" s="354"/>
      <c r="D57" s="354"/>
      <c r="E57" s="354"/>
      <c r="F57" s="354"/>
      <c r="G57" s="354"/>
      <c r="H57" s="354"/>
      <c r="I57" s="350"/>
      <c r="J57" s="355"/>
      <c r="K57" s="110">
        <v>0</v>
      </c>
      <c r="L57" s="110">
        <v>0</v>
      </c>
    </row>
    <row r="58" spans="1:12" hidden="1" x14ac:dyDescent="0.25">
      <c r="A58" s="348"/>
      <c r="B58" s="354"/>
      <c r="C58" s="354"/>
      <c r="D58" s="354"/>
      <c r="E58" s="354"/>
      <c r="F58" s="354"/>
      <c r="G58" s="354"/>
      <c r="H58" s="354"/>
      <c r="I58" s="359"/>
      <c r="J58" s="355"/>
      <c r="K58" s="110">
        <v>0</v>
      </c>
      <c r="L58" s="110">
        <v>0</v>
      </c>
    </row>
    <row r="59" spans="1:12" hidden="1" x14ac:dyDescent="0.25">
      <c r="A59" s="348"/>
      <c r="B59" s="354"/>
      <c r="C59" s="354"/>
      <c r="D59" s="354"/>
      <c r="E59" s="354"/>
      <c r="F59" s="354"/>
      <c r="G59" s="354"/>
      <c r="H59" s="354"/>
      <c r="I59" s="356"/>
      <c r="J59" s="355"/>
      <c r="K59" s="110">
        <v>0</v>
      </c>
      <c r="L59" s="110">
        <v>0</v>
      </c>
    </row>
    <row r="60" spans="1:12" hidden="1" x14ac:dyDescent="0.25">
      <c r="A60" s="348"/>
      <c r="B60" s="354"/>
      <c r="C60" s="354"/>
      <c r="D60" s="354"/>
      <c r="E60" s="354"/>
      <c r="F60" s="354"/>
      <c r="G60" s="354"/>
      <c r="H60" s="354"/>
      <c r="I60" s="361"/>
      <c r="J60" s="355"/>
      <c r="K60" s="110">
        <v>0</v>
      </c>
      <c r="L60" s="110">
        <v>0</v>
      </c>
    </row>
    <row r="61" spans="1:12" hidden="1" x14ac:dyDescent="0.25">
      <c r="A61" s="348"/>
      <c r="B61" s="354"/>
      <c r="C61" s="354"/>
      <c r="D61" s="354"/>
      <c r="E61" s="354"/>
      <c r="F61" s="354"/>
      <c r="G61" s="354"/>
      <c r="H61" s="354"/>
      <c r="I61" s="361"/>
      <c r="J61" s="355"/>
      <c r="K61" s="110">
        <v>0</v>
      </c>
      <c r="L61" s="110">
        <v>0</v>
      </c>
    </row>
    <row r="62" spans="1:12" hidden="1" x14ac:dyDescent="0.25">
      <c r="A62" s="348"/>
      <c r="B62" s="354"/>
      <c r="C62" s="354"/>
      <c r="D62" s="354"/>
      <c r="E62" s="354"/>
      <c r="F62" s="354"/>
      <c r="G62" s="354"/>
      <c r="H62" s="354"/>
      <c r="I62" s="356"/>
      <c r="J62" s="355"/>
      <c r="K62" s="110">
        <v>0</v>
      </c>
      <c r="L62" s="110">
        <v>0</v>
      </c>
    </row>
    <row r="63" spans="1:12" hidden="1" x14ac:dyDescent="0.25">
      <c r="A63" s="348"/>
      <c r="B63" s="354"/>
      <c r="C63" s="354"/>
      <c r="D63" s="354"/>
      <c r="E63" s="354"/>
      <c r="F63" s="354"/>
      <c r="G63" s="354"/>
      <c r="H63" s="354"/>
      <c r="I63" s="356"/>
      <c r="J63" s="355"/>
      <c r="K63" s="110">
        <v>0</v>
      </c>
      <c r="L63" s="110">
        <v>0</v>
      </c>
    </row>
    <row r="64" spans="1:12" hidden="1" x14ac:dyDescent="0.25">
      <c r="A64" s="348"/>
      <c r="B64" s="354"/>
      <c r="C64" s="354"/>
      <c r="D64" s="354"/>
      <c r="E64" s="354"/>
      <c r="F64" s="354"/>
      <c r="G64" s="354"/>
      <c r="H64" s="354"/>
      <c r="I64" s="350"/>
      <c r="J64" s="355"/>
      <c r="K64" s="110">
        <v>0</v>
      </c>
      <c r="L64" s="110">
        <v>0</v>
      </c>
    </row>
    <row r="65" spans="1:14" hidden="1" x14ac:dyDescent="0.25">
      <c r="A65" s="348"/>
      <c r="B65" s="354"/>
      <c r="C65" s="354"/>
      <c r="D65" s="354"/>
      <c r="E65" s="354"/>
      <c r="F65" s="354"/>
      <c r="G65" s="354"/>
      <c r="H65" s="354"/>
      <c r="I65" s="359"/>
      <c r="J65" s="355"/>
      <c r="K65" s="110">
        <v>0</v>
      </c>
      <c r="L65" s="110">
        <v>0</v>
      </c>
    </row>
    <row r="66" spans="1:14" hidden="1" x14ac:dyDescent="0.25">
      <c r="A66" s="348"/>
      <c r="B66" s="354"/>
      <c r="C66" s="354"/>
      <c r="D66" s="354"/>
      <c r="E66" s="354"/>
      <c r="F66" s="354"/>
      <c r="G66" s="354"/>
      <c r="H66" s="354"/>
      <c r="I66" s="357"/>
      <c r="J66" s="355"/>
      <c r="K66" s="110">
        <v>0</v>
      </c>
      <c r="L66" s="110">
        <v>0</v>
      </c>
    </row>
    <row r="67" spans="1:14" hidden="1" x14ac:dyDescent="0.25">
      <c r="A67" s="348"/>
      <c r="B67" s="354"/>
      <c r="C67" s="354"/>
      <c r="D67" s="354"/>
      <c r="E67" s="354"/>
      <c r="F67" s="354"/>
      <c r="G67" s="354"/>
      <c r="H67" s="354"/>
      <c r="I67" s="362"/>
      <c r="J67" s="355"/>
      <c r="K67" s="110">
        <v>0</v>
      </c>
      <c r="L67" s="110">
        <v>0</v>
      </c>
    </row>
    <row r="68" spans="1:14" hidden="1" x14ac:dyDescent="0.25">
      <c r="A68" s="348"/>
      <c r="B68" s="354"/>
      <c r="C68" s="354"/>
      <c r="D68" s="354"/>
      <c r="E68" s="354"/>
      <c r="F68" s="354"/>
      <c r="G68" s="354"/>
      <c r="H68" s="354"/>
      <c r="I68" s="360"/>
      <c r="J68" s="355"/>
      <c r="K68" s="110">
        <v>0</v>
      </c>
      <c r="L68" s="110">
        <v>0</v>
      </c>
    </row>
    <row r="69" spans="1:14" hidden="1" x14ac:dyDescent="0.25">
      <c r="A69" s="348"/>
      <c r="B69" s="354"/>
      <c r="C69" s="354"/>
      <c r="D69" s="354"/>
      <c r="E69" s="354"/>
      <c r="F69" s="354"/>
      <c r="G69" s="354"/>
      <c r="H69" s="354"/>
      <c r="I69" s="360"/>
      <c r="J69" s="355"/>
      <c r="K69" s="110">
        <v>0</v>
      </c>
      <c r="L69" s="110">
        <v>0</v>
      </c>
    </row>
    <row r="70" spans="1:14" hidden="1" x14ac:dyDescent="0.25">
      <c r="A70" s="348"/>
      <c r="B70" s="354"/>
      <c r="C70" s="354"/>
      <c r="D70" s="354"/>
      <c r="E70" s="354"/>
      <c r="F70" s="354"/>
      <c r="G70" s="354"/>
      <c r="H70" s="354"/>
      <c r="I70" s="360"/>
      <c r="J70" s="355"/>
      <c r="K70" s="110">
        <v>0</v>
      </c>
      <c r="L70" s="110">
        <v>0</v>
      </c>
    </row>
    <row r="71" spans="1:14" hidden="1" x14ac:dyDescent="0.25">
      <c r="A71" s="348"/>
      <c r="B71" s="354"/>
      <c r="C71" s="354"/>
      <c r="D71" s="354"/>
      <c r="E71" s="354"/>
      <c r="F71" s="354"/>
      <c r="G71" s="354"/>
      <c r="H71" s="354"/>
      <c r="I71" s="359"/>
      <c r="J71" s="355"/>
      <c r="K71" s="110">
        <v>0</v>
      </c>
      <c r="L71" s="110">
        <v>0</v>
      </c>
    </row>
    <row r="72" spans="1:14" hidden="1" x14ac:dyDescent="0.25">
      <c r="A72" s="348"/>
      <c r="B72" s="354"/>
      <c r="C72" s="354"/>
      <c r="D72" s="354"/>
      <c r="E72" s="354"/>
      <c r="F72" s="354"/>
      <c r="G72" s="354"/>
      <c r="H72" s="354"/>
      <c r="I72" s="362"/>
      <c r="J72" s="355"/>
      <c r="K72" s="110">
        <v>0</v>
      </c>
      <c r="L72" s="110">
        <v>0</v>
      </c>
    </row>
    <row r="73" spans="1:14" hidden="1" x14ac:dyDescent="0.25">
      <c r="A73" s="348"/>
      <c r="B73" s="354"/>
      <c r="C73" s="354"/>
      <c r="D73" s="354"/>
      <c r="E73" s="354"/>
      <c r="F73" s="354"/>
      <c r="G73" s="354"/>
      <c r="H73" s="354"/>
      <c r="I73" s="362"/>
      <c r="J73" s="355"/>
      <c r="K73" s="110">
        <v>0</v>
      </c>
      <c r="L73" s="110">
        <v>0</v>
      </c>
    </row>
    <row r="74" spans="1:14" hidden="1" x14ac:dyDescent="0.25">
      <c r="A74" s="348"/>
      <c r="B74" s="354"/>
      <c r="C74" s="354"/>
      <c r="D74" s="354"/>
      <c r="E74" s="354"/>
      <c r="F74" s="354"/>
      <c r="G74" s="354"/>
      <c r="H74" s="354"/>
      <c r="I74" s="362"/>
      <c r="J74" s="355"/>
      <c r="K74" s="110">
        <v>0</v>
      </c>
      <c r="L74" s="110">
        <v>0</v>
      </c>
    </row>
    <row r="75" spans="1:14" hidden="1" x14ac:dyDescent="0.25">
      <c r="A75" s="348"/>
      <c r="B75" s="354"/>
      <c r="C75" s="354"/>
      <c r="D75" s="354"/>
      <c r="E75" s="354"/>
      <c r="F75" s="354"/>
      <c r="G75" s="354"/>
      <c r="H75" s="354"/>
      <c r="I75" s="511"/>
      <c r="J75" s="355"/>
      <c r="K75" s="110">
        <v>0</v>
      </c>
      <c r="L75" s="110">
        <v>0</v>
      </c>
    </row>
    <row r="76" spans="1:14" hidden="1" x14ac:dyDescent="0.25">
      <c r="A76" s="348"/>
      <c r="B76" s="354"/>
      <c r="C76" s="354"/>
      <c r="D76" s="354"/>
      <c r="E76" s="354"/>
      <c r="F76" s="354"/>
      <c r="G76" s="354"/>
      <c r="H76" s="354"/>
      <c r="I76" s="511"/>
      <c r="J76" s="355"/>
      <c r="K76" s="110">
        <v>0</v>
      </c>
      <c r="L76" s="110">
        <v>0</v>
      </c>
    </row>
    <row r="77" spans="1:14" hidden="1" x14ac:dyDescent="0.25">
      <c r="A77" s="348"/>
      <c r="B77" s="354"/>
      <c r="C77" s="354"/>
      <c r="D77" s="354"/>
      <c r="E77" s="354"/>
      <c r="F77" s="354"/>
      <c r="G77" s="354"/>
      <c r="H77" s="354"/>
      <c r="I77" s="360"/>
      <c r="J77" s="355"/>
      <c r="K77" s="110">
        <v>0</v>
      </c>
      <c r="L77" s="110">
        <v>0</v>
      </c>
    </row>
    <row r="78" spans="1:14" hidden="1" x14ac:dyDescent="0.25">
      <c r="A78" s="348"/>
      <c r="B78" s="354"/>
      <c r="C78" s="354"/>
      <c r="D78" s="354"/>
      <c r="E78" s="354"/>
      <c r="F78" s="354"/>
      <c r="G78" s="354"/>
      <c r="H78" s="354"/>
      <c r="I78" s="440"/>
      <c r="J78" s="355"/>
      <c r="K78" s="110">
        <v>0</v>
      </c>
      <c r="L78" s="110">
        <v>0</v>
      </c>
      <c r="N78" s="364"/>
    </row>
    <row r="79" spans="1:14" hidden="1" x14ac:dyDescent="0.25">
      <c r="A79" s="348"/>
      <c r="B79" s="354"/>
      <c r="C79" s="354"/>
      <c r="D79" s="354"/>
      <c r="E79" s="354"/>
      <c r="F79" s="354"/>
      <c r="G79" s="354"/>
      <c r="H79" s="354"/>
      <c r="I79" s="357"/>
      <c r="J79" s="355"/>
      <c r="K79" s="110">
        <v>0</v>
      </c>
      <c r="L79" s="110">
        <v>0</v>
      </c>
      <c r="N79" s="364"/>
    </row>
    <row r="80" spans="1:14" hidden="1" x14ac:dyDescent="0.25">
      <c r="A80" s="348"/>
      <c r="B80" s="354"/>
      <c r="C80" s="354"/>
      <c r="D80" s="354"/>
      <c r="E80" s="354"/>
      <c r="F80" s="354"/>
      <c r="G80" s="354"/>
      <c r="H80" s="354"/>
      <c r="I80" s="511"/>
      <c r="J80" s="355"/>
      <c r="K80" s="110">
        <v>0</v>
      </c>
      <c r="L80" s="110">
        <v>0</v>
      </c>
      <c r="N80" s="364"/>
    </row>
    <row r="81" spans="1:14" hidden="1" x14ac:dyDescent="0.25">
      <c r="A81" s="348"/>
      <c r="B81" s="354"/>
      <c r="C81" s="354"/>
      <c r="D81" s="354"/>
      <c r="E81" s="354"/>
      <c r="F81" s="354"/>
      <c r="G81" s="354"/>
      <c r="H81" s="354"/>
      <c r="I81" s="357"/>
      <c r="J81" s="355"/>
      <c r="K81" s="110">
        <v>0</v>
      </c>
      <c r="L81" s="110">
        <v>0</v>
      </c>
      <c r="N81" s="364"/>
    </row>
    <row r="82" spans="1:14" hidden="1" x14ac:dyDescent="0.25">
      <c r="A82" s="348"/>
      <c r="B82" s="354"/>
      <c r="C82" s="354"/>
      <c r="D82" s="354"/>
      <c r="E82" s="354"/>
      <c r="F82" s="354"/>
      <c r="G82" s="354"/>
      <c r="H82" s="354"/>
      <c r="I82" s="511"/>
      <c r="J82" s="355"/>
      <c r="K82" s="110">
        <v>0</v>
      </c>
      <c r="L82" s="110">
        <v>0</v>
      </c>
      <c r="N82" s="364"/>
    </row>
    <row r="83" spans="1:14" hidden="1" x14ac:dyDescent="0.25">
      <c r="A83" s="348"/>
      <c r="B83" s="354"/>
      <c r="C83" s="354"/>
      <c r="D83" s="354"/>
      <c r="E83" s="354"/>
      <c r="F83" s="354"/>
      <c r="G83" s="354"/>
      <c r="H83" s="354"/>
      <c r="I83" s="731"/>
      <c r="J83" s="355"/>
      <c r="K83" s="369"/>
      <c r="L83" s="369"/>
      <c r="N83" s="364"/>
    </row>
    <row r="84" spans="1:14" hidden="1" x14ac:dyDescent="0.25">
      <c r="A84" s="348"/>
      <c r="B84" s="354"/>
      <c r="C84" s="354"/>
      <c r="D84" s="354"/>
      <c r="E84" s="354"/>
      <c r="F84" s="354"/>
      <c r="G84" s="354"/>
      <c r="H84" s="354"/>
      <c r="I84" s="731"/>
      <c r="J84" s="355"/>
      <c r="K84" s="369"/>
      <c r="L84" s="369"/>
      <c r="N84" s="364"/>
    </row>
    <row r="85" spans="1:14" hidden="1" x14ac:dyDescent="0.25">
      <c r="A85" s="348"/>
      <c r="B85" s="354"/>
      <c r="C85" s="354"/>
      <c r="D85" s="354"/>
      <c r="E85" s="354"/>
      <c r="F85" s="354"/>
      <c r="G85" s="354"/>
      <c r="H85" s="354"/>
      <c r="I85" s="732"/>
      <c r="J85" s="355"/>
      <c r="K85" s="369"/>
      <c r="L85" s="369"/>
      <c r="N85" s="364"/>
    </row>
    <row r="86" spans="1:14" ht="41.25" customHeight="1" x14ac:dyDescent="0.25">
      <c r="A86" s="348"/>
      <c r="B86" s="354"/>
      <c r="C86" s="354"/>
      <c r="D86" s="354"/>
      <c r="E86" s="354"/>
      <c r="F86" s="354"/>
      <c r="G86" s="354"/>
      <c r="H86" s="354"/>
      <c r="I86" s="440"/>
      <c r="J86" s="355"/>
      <c r="K86" s="110">
        <v>0</v>
      </c>
      <c r="L86" s="110">
        <v>0</v>
      </c>
      <c r="N86" s="364"/>
    </row>
    <row r="87" spans="1:14" ht="70.5" customHeight="1" x14ac:dyDescent="0.25">
      <c r="A87" s="348"/>
      <c r="B87" s="354"/>
      <c r="C87" s="354"/>
      <c r="D87" s="354"/>
      <c r="E87" s="354"/>
      <c r="F87" s="354"/>
      <c r="G87" s="354"/>
      <c r="H87" s="354"/>
      <c r="I87" s="511"/>
      <c r="J87" s="355"/>
      <c r="K87" s="110">
        <v>0</v>
      </c>
      <c r="L87" s="110">
        <v>0</v>
      </c>
      <c r="N87" s="364"/>
    </row>
    <row r="88" spans="1:14" ht="79.5" customHeight="1" x14ac:dyDescent="0.25">
      <c r="A88" s="348"/>
      <c r="B88" s="354"/>
      <c r="C88" s="354"/>
      <c r="D88" s="354"/>
      <c r="E88" s="354"/>
      <c r="F88" s="354"/>
      <c r="G88" s="354"/>
      <c r="H88" s="354"/>
      <c r="I88" s="511"/>
      <c r="J88" s="355"/>
      <c r="K88" s="110">
        <v>0</v>
      </c>
      <c r="L88" s="110">
        <v>0</v>
      </c>
      <c r="N88" s="364"/>
    </row>
    <row r="89" spans="1:14" ht="82.5" customHeight="1" x14ac:dyDescent="0.25">
      <c r="A89" s="348"/>
      <c r="B89" s="354"/>
      <c r="C89" s="354"/>
      <c r="D89" s="354"/>
      <c r="E89" s="354"/>
      <c r="F89" s="354"/>
      <c r="G89" s="354"/>
      <c r="H89" s="354"/>
      <c r="I89" s="511"/>
      <c r="J89" s="355"/>
      <c r="K89" s="110">
        <v>0</v>
      </c>
      <c r="L89" s="110">
        <v>0</v>
      </c>
      <c r="N89" s="364"/>
    </row>
    <row r="90" spans="1:14" ht="72" customHeight="1" x14ac:dyDescent="0.25">
      <c r="A90" s="348"/>
      <c r="B90" s="354"/>
      <c r="C90" s="354"/>
      <c r="D90" s="354"/>
      <c r="E90" s="354"/>
      <c r="F90" s="354"/>
      <c r="G90" s="354"/>
      <c r="H90" s="354"/>
      <c r="I90" s="511"/>
      <c r="J90" s="355"/>
      <c r="K90" s="110">
        <v>0</v>
      </c>
      <c r="L90" s="110">
        <v>0</v>
      </c>
      <c r="N90" s="364"/>
    </row>
    <row r="91" spans="1:14" ht="64.5" customHeight="1" x14ac:dyDescent="0.25">
      <c r="A91" s="348"/>
      <c r="B91" s="354"/>
      <c r="C91" s="354"/>
      <c r="D91" s="354"/>
      <c r="E91" s="354"/>
      <c r="F91" s="354"/>
      <c r="G91" s="354"/>
      <c r="H91" s="354"/>
      <c r="I91" s="440"/>
      <c r="J91" s="355"/>
      <c r="K91" s="110">
        <v>0</v>
      </c>
      <c r="L91" s="110">
        <v>0</v>
      </c>
      <c r="N91" s="364"/>
    </row>
    <row r="92" spans="1:14" ht="22.5" customHeight="1" x14ac:dyDescent="0.25">
      <c r="A92" s="348"/>
      <c r="B92" s="354"/>
      <c r="C92" s="354"/>
      <c r="D92" s="354"/>
      <c r="E92" s="354"/>
      <c r="F92" s="354"/>
      <c r="G92" s="354"/>
      <c r="H92" s="354"/>
      <c r="I92" s="732"/>
      <c r="J92" s="355"/>
      <c r="K92" s="110">
        <v>0</v>
      </c>
      <c r="L92" s="110">
        <v>0</v>
      </c>
      <c r="N92" s="364"/>
    </row>
    <row r="93" spans="1:14" ht="22.5" customHeight="1" x14ac:dyDescent="0.25">
      <c r="A93" s="348"/>
      <c r="B93" s="354"/>
      <c r="C93" s="354"/>
      <c r="D93" s="354"/>
      <c r="E93" s="354"/>
      <c r="F93" s="354"/>
      <c r="G93" s="354"/>
      <c r="H93" s="354"/>
      <c r="I93" s="732"/>
      <c r="J93" s="355"/>
      <c r="K93" s="110">
        <v>0</v>
      </c>
      <c r="L93" s="110">
        <v>0</v>
      </c>
      <c r="N93" s="364"/>
    </row>
    <row r="94" spans="1:14" ht="47.25" customHeight="1" x14ac:dyDescent="0.25">
      <c r="A94" s="348"/>
      <c r="B94" s="354"/>
      <c r="C94" s="354"/>
      <c r="D94" s="354"/>
      <c r="E94" s="354"/>
      <c r="F94" s="354"/>
      <c r="G94" s="354"/>
      <c r="H94" s="354"/>
      <c r="I94" s="440"/>
      <c r="J94" s="355"/>
      <c r="K94" s="110">
        <v>0</v>
      </c>
      <c r="L94" s="110">
        <v>0</v>
      </c>
      <c r="N94" s="364"/>
    </row>
    <row r="95" spans="1:14" ht="48.75" customHeight="1" x14ac:dyDescent="0.25">
      <c r="A95" s="348"/>
      <c r="B95" s="354"/>
      <c r="C95" s="354"/>
      <c r="D95" s="354"/>
      <c r="E95" s="354"/>
      <c r="F95" s="354"/>
      <c r="G95" s="354"/>
      <c r="H95" s="354"/>
      <c r="I95" s="440"/>
      <c r="J95" s="355"/>
      <c r="K95" s="110">
        <v>0</v>
      </c>
      <c r="L95" s="110">
        <v>0</v>
      </c>
      <c r="N95" s="364"/>
    </row>
    <row r="96" spans="1:14" ht="50.25" customHeight="1" x14ac:dyDescent="0.25">
      <c r="A96" s="348"/>
      <c r="B96" s="354"/>
      <c r="C96" s="354"/>
      <c r="D96" s="354"/>
      <c r="E96" s="354"/>
      <c r="F96" s="354"/>
      <c r="G96" s="354"/>
      <c r="H96" s="354"/>
      <c r="I96" s="440"/>
      <c r="J96" s="355"/>
      <c r="K96" s="110">
        <v>0</v>
      </c>
      <c r="L96" s="110">
        <v>0</v>
      </c>
      <c r="N96" s="364"/>
    </row>
    <row r="97" spans="1:14" ht="41.25" customHeight="1" x14ac:dyDescent="0.25">
      <c r="A97" s="348"/>
      <c r="B97" s="354"/>
      <c r="C97" s="354"/>
      <c r="D97" s="354"/>
      <c r="E97" s="354"/>
      <c r="F97" s="354"/>
      <c r="G97" s="354"/>
      <c r="H97" s="354"/>
      <c r="I97" s="511"/>
      <c r="J97" s="355"/>
      <c r="K97" s="110">
        <v>0</v>
      </c>
      <c r="L97" s="110">
        <v>0</v>
      </c>
      <c r="N97" s="364"/>
    </row>
    <row r="98" spans="1:14" ht="41.25" customHeight="1" x14ac:dyDescent="0.25">
      <c r="A98" s="348"/>
      <c r="B98" s="354"/>
      <c r="C98" s="354"/>
      <c r="D98" s="354"/>
      <c r="E98" s="354"/>
      <c r="F98" s="354"/>
      <c r="G98" s="354"/>
      <c r="H98" s="354"/>
      <c r="I98" s="511"/>
      <c r="J98" s="355"/>
      <c r="K98" s="110">
        <v>0</v>
      </c>
      <c r="L98" s="110">
        <v>0</v>
      </c>
      <c r="N98" s="364"/>
    </row>
    <row r="99" spans="1:14" ht="66.75" customHeight="1" x14ac:dyDescent="0.25">
      <c r="A99" s="348"/>
      <c r="B99" s="354"/>
      <c r="C99" s="354"/>
      <c r="D99" s="354"/>
      <c r="E99" s="354"/>
      <c r="F99" s="354"/>
      <c r="G99" s="354"/>
      <c r="H99" s="354"/>
      <c r="I99" s="440"/>
      <c r="J99" s="355"/>
      <c r="K99" s="110">
        <v>0</v>
      </c>
      <c r="L99" s="110">
        <v>0</v>
      </c>
      <c r="N99" s="364"/>
    </row>
    <row r="100" spans="1:14" ht="49.5" customHeight="1" x14ac:dyDescent="0.25">
      <c r="A100" s="348"/>
      <c r="B100" s="354"/>
      <c r="C100" s="354"/>
      <c r="D100" s="354"/>
      <c r="E100" s="354"/>
      <c r="F100" s="354"/>
      <c r="G100" s="354"/>
      <c r="H100" s="354"/>
      <c r="I100" s="357"/>
      <c r="J100" s="355"/>
      <c r="K100" s="110">
        <v>0</v>
      </c>
      <c r="L100" s="110">
        <v>0</v>
      </c>
      <c r="N100" s="364"/>
    </row>
    <row r="101" spans="1:14" ht="54.75" customHeight="1" x14ac:dyDescent="0.25">
      <c r="A101" s="348"/>
      <c r="B101" s="354"/>
      <c r="C101" s="354"/>
      <c r="D101" s="354"/>
      <c r="E101" s="354"/>
      <c r="F101" s="354"/>
      <c r="G101" s="354"/>
      <c r="H101" s="354"/>
      <c r="I101" s="732"/>
      <c r="J101" s="355"/>
      <c r="K101" s="110">
        <v>0</v>
      </c>
      <c r="L101" s="110">
        <v>0</v>
      </c>
      <c r="N101" s="364"/>
    </row>
    <row r="102" spans="1:14" ht="41.25" customHeight="1" x14ac:dyDescent="0.25">
      <c r="A102" s="348"/>
      <c r="B102" s="354"/>
      <c r="C102" s="354"/>
      <c r="D102" s="354"/>
      <c r="E102" s="354"/>
      <c r="F102" s="354"/>
      <c r="G102" s="354"/>
      <c r="H102" s="354"/>
      <c r="I102" s="732"/>
      <c r="J102" s="355"/>
      <c r="K102" s="110">
        <v>0</v>
      </c>
      <c r="L102" s="110">
        <v>0</v>
      </c>
      <c r="N102" s="364"/>
    </row>
    <row r="103" spans="1:14" ht="41.25" customHeight="1" x14ac:dyDescent="0.25">
      <c r="A103" s="348"/>
      <c r="B103" s="354"/>
      <c r="C103" s="354"/>
      <c r="D103" s="354"/>
      <c r="E103" s="354"/>
      <c r="F103" s="354"/>
      <c r="G103" s="354"/>
      <c r="H103" s="354"/>
      <c r="I103" s="511"/>
      <c r="J103" s="355"/>
      <c r="K103" s="110">
        <v>0</v>
      </c>
      <c r="L103" s="110">
        <v>0</v>
      </c>
      <c r="N103" s="364"/>
    </row>
    <row r="104" spans="1:14" ht="63" customHeight="1" x14ac:dyDescent="0.25">
      <c r="A104" s="348"/>
      <c r="B104" s="354"/>
      <c r="C104" s="354"/>
      <c r="D104" s="354"/>
      <c r="E104" s="354"/>
      <c r="F104" s="354"/>
      <c r="G104" s="354"/>
      <c r="H104" s="354"/>
      <c r="I104" s="511"/>
      <c r="J104" s="355"/>
      <c r="K104" s="110">
        <v>0</v>
      </c>
      <c r="L104" s="110">
        <v>0</v>
      </c>
      <c r="N104" s="364"/>
    </row>
    <row r="105" spans="1:14" ht="41.25" customHeight="1" x14ac:dyDescent="0.25">
      <c r="A105" s="348"/>
      <c r="B105" s="354"/>
      <c r="C105" s="354"/>
      <c r="D105" s="354"/>
      <c r="E105" s="354"/>
      <c r="F105" s="354"/>
      <c r="G105" s="354"/>
      <c r="H105" s="354"/>
      <c r="I105" s="511"/>
      <c r="J105" s="355"/>
      <c r="K105" s="110">
        <v>0</v>
      </c>
      <c r="L105" s="110">
        <v>0</v>
      </c>
      <c r="N105" s="364"/>
    </row>
    <row r="106" spans="1:14" ht="54" customHeight="1" x14ac:dyDescent="0.25">
      <c r="A106" s="348"/>
      <c r="B106" s="354"/>
      <c r="C106" s="354"/>
      <c r="D106" s="354"/>
      <c r="E106" s="354"/>
      <c r="F106" s="354"/>
      <c r="G106" s="354"/>
      <c r="H106" s="354"/>
      <c r="I106" s="458"/>
      <c r="J106" s="355"/>
      <c r="K106" s="110">
        <v>0</v>
      </c>
      <c r="L106" s="110">
        <v>0</v>
      </c>
      <c r="N106" s="364"/>
    </row>
    <row r="107" spans="1:14" ht="16.5" customHeight="1" x14ac:dyDescent="0.25">
      <c r="A107" s="348"/>
      <c r="B107" s="354"/>
      <c r="C107" s="354"/>
      <c r="D107" s="354"/>
      <c r="E107" s="354"/>
      <c r="F107" s="354"/>
      <c r="G107" s="354"/>
      <c r="H107" s="354"/>
      <c r="I107" s="846"/>
      <c r="J107" s="355"/>
      <c r="K107" s="110"/>
      <c r="L107" s="110"/>
      <c r="N107" s="364"/>
    </row>
    <row r="108" spans="1:14" x14ac:dyDescent="0.25">
      <c r="A108" s="82"/>
      <c r="B108" s="1100" t="s">
        <v>947</v>
      </c>
      <c r="C108" s="1100"/>
      <c r="D108" s="1100"/>
      <c r="E108" s="1100"/>
      <c r="F108" s="1100"/>
      <c r="G108" s="1100"/>
      <c r="H108" s="1100"/>
      <c r="I108" s="1100"/>
      <c r="J108" s="46">
        <f>SUM(J7:J69)+J70+J71+J74+J75+J76+J72+J73+J78+J77+J79+J80+J81+J82+J83+J84+J85+J86+J87+J88+J89+J90+J91+J92+J93+J94+J95+J96+J97+J98+J99+J100+J101+J102+J103+J104+J105+J106</f>
        <v>0</v>
      </c>
      <c r="K108" s="46">
        <f t="shared" ref="K108:L108" si="0">SUM(K7:K69)</f>
        <v>0</v>
      </c>
      <c r="L108" s="46">
        <f t="shared" si="0"/>
        <v>0</v>
      </c>
    </row>
    <row r="109" spans="1:14" x14ac:dyDescent="0.25">
      <c r="B109" s="365"/>
      <c r="C109" s="365"/>
      <c r="D109" s="365"/>
      <c r="E109" s="365"/>
      <c r="F109" s="365"/>
      <c r="G109" s="365"/>
    </row>
    <row r="110" spans="1:14" x14ac:dyDescent="0.25">
      <c r="B110" s="1083" t="s">
        <v>948</v>
      </c>
      <c r="C110" s="1083"/>
      <c r="D110" s="1083"/>
      <c r="E110" s="1083"/>
      <c r="F110" s="1083"/>
      <c r="G110" s="1083"/>
      <c r="H110" s="1083"/>
      <c r="I110" s="1083"/>
      <c r="J110" s="1083"/>
    </row>
    <row r="111" spans="1:14" x14ac:dyDescent="0.25">
      <c r="A111" s="1101" t="s">
        <v>945</v>
      </c>
      <c r="B111" s="1086" t="s">
        <v>121</v>
      </c>
      <c r="C111" s="1087"/>
      <c r="D111" s="1087"/>
      <c r="E111" s="1087"/>
      <c r="F111" s="1087"/>
      <c r="G111" s="1087"/>
      <c r="H111" s="1088"/>
      <c r="I111" s="916" t="s">
        <v>1</v>
      </c>
      <c r="J111" s="920" t="s">
        <v>946</v>
      </c>
      <c r="K111" s="921"/>
      <c r="L111" s="922"/>
    </row>
    <row r="112" spans="1:14" x14ac:dyDescent="0.25">
      <c r="A112" s="1102"/>
      <c r="B112" s="1089"/>
      <c r="C112" s="1090"/>
      <c r="D112" s="1090"/>
      <c r="E112" s="1090"/>
      <c r="F112" s="1090"/>
      <c r="G112" s="1090"/>
      <c r="H112" s="1091"/>
      <c r="I112" s="917"/>
      <c r="J112" s="762">
        <v>2019</v>
      </c>
      <c r="K112" s="78">
        <v>2020</v>
      </c>
      <c r="L112" s="78">
        <v>2021</v>
      </c>
    </row>
    <row r="113" spans="1:14" x14ac:dyDescent="0.25">
      <c r="A113" s="366"/>
      <c r="B113" s="1092"/>
      <c r="C113" s="1092"/>
      <c r="D113" s="1092"/>
      <c r="E113" s="1092"/>
      <c r="F113" s="1092"/>
      <c r="G113" s="1092"/>
      <c r="H113" s="1092"/>
      <c r="I113" s="367"/>
      <c r="J113" s="41">
        <v>0</v>
      </c>
      <c r="K113" s="110">
        <v>0</v>
      </c>
      <c r="L113" s="84">
        <v>0</v>
      </c>
      <c r="N113" s="364"/>
    </row>
    <row r="114" spans="1:14" ht="0.75" customHeight="1" x14ac:dyDescent="0.25">
      <c r="A114" s="348"/>
      <c r="B114" s="1067"/>
      <c r="C114" s="1093"/>
      <c r="D114" s="1093"/>
      <c r="E114" s="1093"/>
      <c r="F114" s="1093"/>
      <c r="G114" s="1093"/>
      <c r="H114" s="1068"/>
      <c r="I114" s="367"/>
      <c r="J114" s="368"/>
      <c r="K114" s="84"/>
      <c r="L114" s="84">
        <v>0</v>
      </c>
    </row>
    <row r="115" spans="1:14" ht="2.25" hidden="1" customHeight="1" x14ac:dyDescent="0.25">
      <c r="A115" s="370"/>
      <c r="B115" s="1094"/>
      <c r="C115" s="1095"/>
      <c r="D115" s="1095"/>
      <c r="E115" s="1095"/>
      <c r="F115" s="1095"/>
      <c r="G115" s="1095"/>
      <c r="H115" s="1096"/>
      <c r="I115" s="371"/>
      <c r="J115" s="41"/>
      <c r="K115" s="84"/>
      <c r="L115" s="84"/>
    </row>
    <row r="116" spans="1:14" hidden="1" x14ac:dyDescent="0.25">
      <c r="A116" s="370"/>
      <c r="B116" s="1094"/>
      <c r="C116" s="1095"/>
      <c r="D116" s="1095"/>
      <c r="E116" s="1095"/>
      <c r="F116" s="1095"/>
      <c r="G116" s="1095"/>
      <c r="H116" s="1096"/>
      <c r="I116" s="371"/>
      <c r="J116" s="41"/>
      <c r="K116" s="82"/>
      <c r="L116" s="82"/>
    </row>
    <row r="117" spans="1:14" hidden="1" x14ac:dyDescent="0.25">
      <c r="A117" s="82"/>
      <c r="B117" s="1094"/>
      <c r="C117" s="1095"/>
      <c r="D117" s="1095"/>
      <c r="E117" s="1095"/>
      <c r="F117" s="1095"/>
      <c r="G117" s="1095"/>
      <c r="H117" s="1095"/>
      <c r="I117" s="21"/>
      <c r="J117" s="41"/>
      <c r="K117" s="82"/>
      <c r="L117" s="82"/>
    </row>
    <row r="118" spans="1:14" x14ac:dyDescent="0.25">
      <c r="A118" s="82"/>
      <c r="B118" s="1097" t="s">
        <v>949</v>
      </c>
      <c r="C118" s="1098"/>
      <c r="D118" s="1098"/>
      <c r="E118" s="1098"/>
      <c r="F118" s="1098"/>
      <c r="G118" s="1098"/>
      <c r="H118" s="1098"/>
      <c r="I118" s="1099"/>
      <c r="J118" s="46">
        <f>SUM(J113:J117)</f>
        <v>0</v>
      </c>
      <c r="K118" s="46">
        <f>SUM(K113:K117)</f>
        <v>0</v>
      </c>
      <c r="L118" s="46">
        <f>SUM(L113:L117)</f>
        <v>0</v>
      </c>
    </row>
    <row r="119" spans="1:14" x14ac:dyDescent="0.25">
      <c r="B119" s="365"/>
      <c r="C119" s="365"/>
      <c r="D119" s="365"/>
      <c r="E119" s="365"/>
      <c r="F119" s="365"/>
      <c r="G119" s="365"/>
    </row>
    <row r="120" spans="1:14" x14ac:dyDescent="0.25">
      <c r="B120" s="365"/>
      <c r="C120" s="365"/>
      <c r="D120" s="365"/>
      <c r="E120" s="365"/>
      <c r="F120" s="365"/>
      <c r="G120" s="365"/>
    </row>
    <row r="121" spans="1:14" x14ac:dyDescent="0.25">
      <c r="B121" s="1083" t="s">
        <v>950</v>
      </c>
      <c r="C121" s="1083"/>
      <c r="D121" s="1083"/>
      <c r="E121" s="1083"/>
      <c r="F121" s="1083"/>
      <c r="G121" s="1083"/>
      <c r="H121" s="1083"/>
      <c r="I121" s="1083"/>
      <c r="J121" s="1083"/>
    </row>
    <row r="122" spans="1:14" x14ac:dyDescent="0.25">
      <c r="A122" s="1084" t="s">
        <v>945</v>
      </c>
      <c r="B122" s="1105" t="s">
        <v>951</v>
      </c>
      <c r="C122" s="1105" t="s">
        <v>134</v>
      </c>
      <c r="D122" s="1105" t="s">
        <v>264</v>
      </c>
      <c r="E122" s="1086" t="s">
        <v>197</v>
      </c>
      <c r="F122" s="1087"/>
      <c r="G122" s="1088"/>
      <c r="H122" s="1105" t="s">
        <v>225</v>
      </c>
      <c r="I122" s="1106" t="s">
        <v>1</v>
      </c>
      <c r="J122" s="920" t="s">
        <v>946</v>
      </c>
      <c r="K122" s="921"/>
      <c r="L122" s="922"/>
    </row>
    <row r="123" spans="1:14" x14ac:dyDescent="0.25">
      <c r="A123" s="1085"/>
      <c r="B123" s="1105"/>
      <c r="C123" s="1105"/>
      <c r="D123" s="1105"/>
      <c r="E123" s="1089"/>
      <c r="F123" s="1090"/>
      <c r="G123" s="1091"/>
      <c r="H123" s="1105"/>
      <c r="I123" s="1106"/>
      <c r="J123" s="762">
        <v>2019</v>
      </c>
      <c r="K123" s="78">
        <v>2020</v>
      </c>
      <c r="L123" s="78">
        <v>2021</v>
      </c>
    </row>
    <row r="124" spans="1:14" x14ac:dyDescent="0.25">
      <c r="A124" s="372"/>
      <c r="B124" s="1103" t="s">
        <v>952</v>
      </c>
      <c r="C124" s="1103"/>
      <c r="D124" s="1103"/>
      <c r="E124" s="1103"/>
      <c r="F124" s="1103"/>
      <c r="G124" s="1103"/>
      <c r="H124" s="1103"/>
      <c r="I124" s="1104"/>
      <c r="J124" s="373">
        <f>SUM(J125:J133)+J134+J135+J136+J137+J138+J139+J140+J141+J142+J143+J144+J145+J146+J147</f>
        <v>0</v>
      </c>
      <c r="K124" s="373">
        <f>SUM(K125:K133)+K134+K135+K136+K137+K138</f>
        <v>0</v>
      </c>
      <c r="L124" s="373">
        <f>SUM(L125:L133)+L134+L135+L136+L137+L138</f>
        <v>0</v>
      </c>
    </row>
    <row r="125" spans="1:14" ht="54.75" customHeight="1" x14ac:dyDescent="0.25">
      <c r="A125" s="1154"/>
      <c r="B125" s="1136"/>
      <c r="C125" s="1136"/>
      <c r="D125" s="1136"/>
      <c r="E125" s="1136"/>
      <c r="F125" s="1138"/>
      <c r="G125" s="1139"/>
      <c r="H125" s="399"/>
      <c r="I125" s="1081"/>
      <c r="J125" s="368"/>
      <c r="K125" s="84">
        <v>0</v>
      </c>
      <c r="L125" s="84">
        <v>0</v>
      </c>
    </row>
    <row r="126" spans="1:14" s="1" customFormat="1" ht="15.75" hidden="1" customHeight="1" x14ac:dyDescent="0.25">
      <c r="A126" s="1168"/>
      <c r="B126" s="1169"/>
      <c r="C126" s="1169"/>
      <c r="D126" s="1169"/>
      <c r="E126" s="1169"/>
      <c r="F126" s="1170"/>
      <c r="G126" s="1171"/>
      <c r="H126" s="564"/>
      <c r="I126" s="1172"/>
      <c r="J126" s="407"/>
      <c r="K126" s="110">
        <v>0</v>
      </c>
      <c r="L126" s="110">
        <v>0</v>
      </c>
    </row>
    <row r="127" spans="1:14" s="1" customFormat="1" ht="14.25" hidden="1" customHeight="1" x14ac:dyDescent="0.25">
      <c r="A127" s="1168"/>
      <c r="B127" s="1169"/>
      <c r="C127" s="1169"/>
      <c r="D127" s="1169"/>
      <c r="E127" s="1169"/>
      <c r="F127" s="1170"/>
      <c r="G127" s="1171"/>
      <c r="H127" s="391"/>
      <c r="I127" s="1172"/>
      <c r="J127" s="368"/>
      <c r="K127" s="110">
        <v>0</v>
      </c>
      <c r="L127" s="110">
        <v>0</v>
      </c>
    </row>
    <row r="128" spans="1:14" s="1" customFormat="1" ht="11.25" hidden="1" customHeight="1" x14ac:dyDescent="0.3">
      <c r="A128" s="1168"/>
      <c r="B128" s="1169"/>
      <c r="C128" s="1169"/>
      <c r="D128" s="1169"/>
      <c r="E128" s="1169"/>
      <c r="F128" s="1170"/>
      <c r="G128" s="1171"/>
      <c r="H128" s="376"/>
      <c r="I128" s="1172"/>
      <c r="J128" s="368"/>
      <c r="K128" s="110"/>
      <c r="L128" s="110"/>
    </row>
    <row r="129" spans="1:12" s="1" customFormat="1" ht="16.5" hidden="1" customHeight="1" x14ac:dyDescent="0.3">
      <c r="A129" s="1168"/>
      <c r="B129" s="1169"/>
      <c r="C129" s="1169"/>
      <c r="D129" s="1169"/>
      <c r="E129" s="1169"/>
      <c r="F129" s="1170"/>
      <c r="G129" s="1171"/>
      <c r="H129" s="376"/>
      <c r="I129" s="1172"/>
      <c r="J129" s="368"/>
      <c r="K129" s="110"/>
      <c r="L129" s="110"/>
    </row>
    <row r="130" spans="1:12" s="1" customFormat="1" ht="16.5" hidden="1" customHeight="1" x14ac:dyDescent="0.3">
      <c r="A130" s="1168"/>
      <c r="B130" s="1169"/>
      <c r="C130" s="1169"/>
      <c r="D130" s="1169"/>
      <c r="E130" s="1169"/>
      <c r="F130" s="1170"/>
      <c r="G130" s="1171"/>
      <c r="H130" s="376"/>
      <c r="I130" s="1172"/>
      <c r="J130" s="368"/>
      <c r="K130" s="110"/>
      <c r="L130" s="110"/>
    </row>
    <row r="131" spans="1:12" s="1" customFormat="1" ht="16.5" hidden="1" customHeight="1" x14ac:dyDescent="0.3">
      <c r="A131" s="1168"/>
      <c r="B131" s="1169"/>
      <c r="C131" s="1169"/>
      <c r="D131" s="1169"/>
      <c r="E131" s="1169"/>
      <c r="F131" s="1170"/>
      <c r="G131" s="1171"/>
      <c r="H131" s="376"/>
      <c r="I131" s="1172"/>
      <c r="J131" s="368"/>
      <c r="K131" s="110"/>
      <c r="L131" s="110"/>
    </row>
    <row r="132" spans="1:12" s="1" customFormat="1" ht="16.5" hidden="1" customHeight="1" x14ac:dyDescent="0.3">
      <c r="A132" s="1168"/>
      <c r="B132" s="1169"/>
      <c r="C132" s="1169"/>
      <c r="D132" s="1169"/>
      <c r="E132" s="1169"/>
      <c r="F132" s="1170"/>
      <c r="G132" s="1171"/>
      <c r="H132" s="376"/>
      <c r="I132" s="1172"/>
      <c r="J132" s="368"/>
      <c r="K132" s="110"/>
      <c r="L132" s="110"/>
    </row>
    <row r="133" spans="1:12" s="1" customFormat="1" ht="15.75" hidden="1" customHeight="1" x14ac:dyDescent="0.25">
      <c r="A133" s="1168"/>
      <c r="B133" s="1169"/>
      <c r="C133" s="1169"/>
      <c r="D133" s="1169"/>
      <c r="E133" s="1169"/>
      <c r="F133" s="1170"/>
      <c r="G133" s="1171"/>
      <c r="H133" s="423"/>
      <c r="I133" s="1172"/>
      <c r="J133" s="368"/>
      <c r="K133" s="110"/>
      <c r="L133" s="110"/>
    </row>
    <row r="134" spans="1:12" s="1" customFormat="1" ht="15.75" hidden="1" customHeight="1" x14ac:dyDescent="0.25">
      <c r="A134" s="1168"/>
      <c r="B134" s="1169"/>
      <c r="C134" s="1169"/>
      <c r="D134" s="1169"/>
      <c r="E134" s="1169"/>
      <c r="F134" s="1170"/>
      <c r="G134" s="1171"/>
      <c r="H134" s="349"/>
      <c r="I134" s="1172"/>
      <c r="J134" s="368"/>
      <c r="K134" s="369"/>
      <c r="L134" s="369"/>
    </row>
    <row r="135" spans="1:12" s="1" customFormat="1" ht="15.75" hidden="1" customHeight="1" x14ac:dyDescent="0.25">
      <c r="A135" s="1168"/>
      <c r="B135" s="1169"/>
      <c r="C135" s="1169"/>
      <c r="D135" s="1169"/>
      <c r="E135" s="1169"/>
      <c r="F135" s="1170"/>
      <c r="G135" s="1171"/>
      <c r="H135" s="423"/>
      <c r="I135" s="1172"/>
      <c r="J135" s="368"/>
      <c r="K135" s="369"/>
      <c r="L135" s="369"/>
    </row>
    <row r="136" spans="1:12" s="1" customFormat="1" ht="15.75" hidden="1" customHeight="1" x14ac:dyDescent="0.25">
      <c r="A136" s="1168"/>
      <c r="B136" s="1169"/>
      <c r="C136" s="1169"/>
      <c r="D136" s="1169"/>
      <c r="E136" s="1169"/>
      <c r="F136" s="1170"/>
      <c r="G136" s="1171"/>
      <c r="H136" s="397"/>
      <c r="I136" s="1172"/>
      <c r="J136" s="368"/>
      <c r="K136" s="369"/>
      <c r="L136" s="369"/>
    </row>
    <row r="137" spans="1:12" s="1" customFormat="1" ht="15.75" hidden="1" customHeight="1" x14ac:dyDescent="0.25">
      <c r="A137" s="1168"/>
      <c r="B137" s="1169"/>
      <c r="C137" s="1169"/>
      <c r="D137" s="1169"/>
      <c r="E137" s="1169"/>
      <c r="F137" s="1170"/>
      <c r="G137" s="1171"/>
      <c r="H137" s="391"/>
      <c r="I137" s="1172"/>
      <c r="J137" s="368"/>
      <c r="K137" s="369"/>
      <c r="L137" s="369"/>
    </row>
    <row r="138" spans="1:12" s="1" customFormat="1" ht="15.75" hidden="1" customHeight="1" x14ac:dyDescent="0.25">
      <c r="A138" s="1168"/>
      <c r="B138" s="1169"/>
      <c r="C138" s="1169"/>
      <c r="D138" s="1169"/>
      <c r="E138" s="1169"/>
      <c r="F138" s="1170"/>
      <c r="G138" s="1171"/>
      <c r="H138" s="397"/>
      <c r="I138" s="1172"/>
      <c r="J138" s="368"/>
      <c r="K138" s="369"/>
      <c r="L138" s="369"/>
    </row>
    <row r="139" spans="1:12" s="1" customFormat="1" ht="15.75" hidden="1" customHeight="1" x14ac:dyDescent="0.25">
      <c r="A139" s="1168"/>
      <c r="B139" s="1169"/>
      <c r="C139" s="1169"/>
      <c r="D139" s="1169"/>
      <c r="E139" s="1169"/>
      <c r="F139" s="1170"/>
      <c r="G139" s="1171"/>
      <c r="H139" s="728"/>
      <c r="I139" s="1172"/>
      <c r="J139" s="407"/>
      <c r="K139" s="369"/>
      <c r="L139" s="369"/>
    </row>
    <row r="140" spans="1:12" s="1" customFormat="1" ht="15.75" hidden="1" customHeight="1" x14ac:dyDescent="0.25">
      <c r="A140" s="1168"/>
      <c r="B140" s="1169"/>
      <c r="C140" s="1169"/>
      <c r="D140" s="1169"/>
      <c r="E140" s="1169"/>
      <c r="F140" s="1170"/>
      <c r="G140" s="1171"/>
      <c r="H140" s="391"/>
      <c r="I140" s="1172"/>
      <c r="J140" s="368"/>
      <c r="K140" s="369"/>
      <c r="L140" s="369"/>
    </row>
    <row r="141" spans="1:12" s="1" customFormat="1" ht="15.75" hidden="1" customHeight="1" x14ac:dyDescent="0.25">
      <c r="A141" s="1168"/>
      <c r="B141" s="1169"/>
      <c r="C141" s="1169"/>
      <c r="D141" s="1169"/>
      <c r="E141" s="1169"/>
      <c r="F141" s="1170"/>
      <c r="G141" s="1171"/>
      <c r="H141" s="391"/>
      <c r="I141" s="1172"/>
      <c r="J141" s="368"/>
      <c r="K141" s="369"/>
      <c r="L141" s="369"/>
    </row>
    <row r="142" spans="1:12" s="1" customFormat="1" ht="15.75" hidden="1" customHeight="1" x14ac:dyDescent="0.25">
      <c r="A142" s="1168"/>
      <c r="B142" s="1169"/>
      <c r="C142" s="1169"/>
      <c r="D142" s="1169"/>
      <c r="E142" s="1169"/>
      <c r="F142" s="1170"/>
      <c r="G142" s="1171"/>
      <c r="H142" s="397"/>
      <c r="I142" s="1172"/>
      <c r="J142" s="368"/>
      <c r="K142" s="110">
        <v>0</v>
      </c>
      <c r="L142" s="110">
        <v>0</v>
      </c>
    </row>
    <row r="143" spans="1:12" s="1" customFormat="1" ht="46.5" customHeight="1" x14ac:dyDescent="0.25">
      <c r="A143" s="1155"/>
      <c r="B143" s="1137"/>
      <c r="C143" s="1137"/>
      <c r="D143" s="1137"/>
      <c r="E143" s="1137"/>
      <c r="F143" s="1140"/>
      <c r="G143" s="1141"/>
      <c r="H143" s="399"/>
      <c r="I143" s="1074"/>
      <c r="J143" s="368"/>
      <c r="K143" s="110">
        <v>0</v>
      </c>
      <c r="L143" s="110">
        <v>0</v>
      </c>
    </row>
    <row r="144" spans="1:12" s="1" customFormat="1" ht="70.5" customHeight="1" x14ac:dyDescent="0.25">
      <c r="A144" s="852"/>
      <c r="B144" s="851"/>
      <c r="C144" s="851"/>
      <c r="D144" s="851"/>
      <c r="E144" s="851"/>
      <c r="F144" s="1138"/>
      <c r="G144" s="1139"/>
      <c r="H144" s="859"/>
      <c r="I144" s="454"/>
      <c r="J144" s="368"/>
      <c r="K144" s="110">
        <v>0</v>
      </c>
      <c r="L144" s="110">
        <v>0</v>
      </c>
    </row>
    <row r="145" spans="1:12" s="1" customFormat="1" ht="114.75" customHeight="1" x14ac:dyDescent="0.25">
      <c r="A145" s="366"/>
      <c r="B145" s="842"/>
      <c r="C145" s="842"/>
      <c r="D145" s="842"/>
      <c r="E145" s="842"/>
      <c r="F145" s="1152"/>
      <c r="G145" s="1153"/>
      <c r="H145" s="843"/>
      <c r="I145" s="501"/>
      <c r="J145" s="771"/>
      <c r="K145" s="110">
        <v>0</v>
      </c>
      <c r="L145" s="110">
        <v>0</v>
      </c>
    </row>
    <row r="146" spans="1:12" s="1" customFormat="1" ht="96.75" customHeight="1" x14ac:dyDescent="0.25">
      <c r="A146" s="366"/>
      <c r="B146" s="842"/>
      <c r="C146" s="842"/>
      <c r="D146" s="842"/>
      <c r="E146" s="842"/>
      <c r="F146" s="1152"/>
      <c r="G146" s="1153"/>
      <c r="H146" s="843"/>
      <c r="I146" s="455"/>
      <c r="J146" s="771"/>
      <c r="K146" s="110">
        <v>0</v>
      </c>
      <c r="L146" s="110">
        <v>0</v>
      </c>
    </row>
    <row r="147" spans="1:12" s="1" customFormat="1" ht="111" customHeight="1" x14ac:dyDescent="0.25">
      <c r="A147" s="366"/>
      <c r="B147" s="860"/>
      <c r="C147" s="860"/>
      <c r="D147" s="860"/>
      <c r="E147" s="860"/>
      <c r="F147" s="1138"/>
      <c r="G147" s="1139"/>
      <c r="H147" s="859"/>
      <c r="I147" s="454"/>
      <c r="J147" s="368"/>
      <c r="K147" s="110">
        <v>0</v>
      </c>
      <c r="L147" s="110">
        <v>0</v>
      </c>
    </row>
    <row r="148" spans="1:12" s="1" customFormat="1" ht="111" customHeight="1" x14ac:dyDescent="0.25">
      <c r="A148" s="366"/>
      <c r="B148" s="842"/>
      <c r="C148" s="842"/>
      <c r="D148" s="842"/>
      <c r="E148" s="842"/>
      <c r="F148" s="1152"/>
      <c r="G148" s="1153"/>
      <c r="H148" s="865"/>
      <c r="I148" s="270"/>
      <c r="J148" s="407"/>
      <c r="K148" s="110">
        <v>0</v>
      </c>
      <c r="L148" s="110">
        <v>0</v>
      </c>
    </row>
    <row r="149" spans="1:12" s="1" customFormat="1" ht="41.25" customHeight="1" x14ac:dyDescent="0.25">
      <c r="A149" s="1154"/>
      <c r="B149" s="1136"/>
      <c r="C149" s="1136"/>
      <c r="D149" s="1136"/>
      <c r="E149" s="1136"/>
      <c r="F149" s="1138"/>
      <c r="G149" s="1139"/>
      <c r="H149" s="859"/>
      <c r="I149" s="1175"/>
      <c r="J149" s="368"/>
      <c r="K149" s="110">
        <v>0</v>
      </c>
      <c r="L149" s="110">
        <v>0</v>
      </c>
    </row>
    <row r="150" spans="1:12" s="1" customFormat="1" ht="49.5" customHeight="1" x14ac:dyDescent="0.25">
      <c r="A150" s="1155"/>
      <c r="B150" s="1137"/>
      <c r="C150" s="1137"/>
      <c r="D150" s="1137"/>
      <c r="E150" s="1137"/>
      <c r="F150" s="1140"/>
      <c r="G150" s="1141"/>
      <c r="H150" s="843"/>
      <c r="I150" s="1176"/>
      <c r="J150" s="368"/>
      <c r="K150" s="110">
        <v>0</v>
      </c>
      <c r="L150" s="110">
        <v>0</v>
      </c>
    </row>
    <row r="151" spans="1:12" s="1" customFormat="1" ht="21.75" customHeight="1" x14ac:dyDescent="0.25">
      <c r="A151" s="869"/>
      <c r="B151" s="842"/>
      <c r="C151" s="842"/>
      <c r="D151" s="842"/>
      <c r="E151" s="842"/>
      <c r="F151" s="1152"/>
      <c r="G151" s="1153"/>
      <c r="H151" s="843"/>
      <c r="I151" s="455"/>
      <c r="J151" s="368"/>
      <c r="K151" s="110">
        <v>0</v>
      </c>
      <c r="L151" s="110">
        <v>0</v>
      </c>
    </row>
    <row r="152" spans="1:12" s="1" customFormat="1" ht="33" customHeight="1" x14ac:dyDescent="0.25">
      <c r="A152" s="241"/>
      <c r="B152" s="1123" t="s">
        <v>953</v>
      </c>
      <c r="C152" s="1124"/>
      <c r="D152" s="1124"/>
      <c r="E152" s="1124"/>
      <c r="F152" s="1124"/>
      <c r="G152" s="1124"/>
      <c r="H152" s="1124"/>
      <c r="I152" s="1125"/>
      <c r="J152" s="46">
        <f>J153+J154</f>
        <v>0</v>
      </c>
      <c r="K152" s="46">
        <f>K153+K154</f>
        <v>0</v>
      </c>
      <c r="L152" s="46">
        <f>L153+L154</f>
        <v>0</v>
      </c>
    </row>
    <row r="153" spans="1:12" s="1" customFormat="1" ht="15.75" customHeight="1" x14ac:dyDescent="0.3">
      <c r="A153" s="366"/>
      <c r="B153" s="376"/>
      <c r="C153" s="376"/>
      <c r="D153" s="376"/>
      <c r="E153" s="376"/>
      <c r="F153" s="1143"/>
      <c r="G153" s="1144"/>
      <c r="H153" s="376"/>
      <c r="I153" s="228"/>
      <c r="J153" s="368"/>
      <c r="K153" s="110">
        <v>0</v>
      </c>
      <c r="L153" s="110">
        <v>0</v>
      </c>
    </row>
    <row r="154" spans="1:12" s="1" customFormat="1" ht="16.5" hidden="1" x14ac:dyDescent="0.3">
      <c r="A154" s="241"/>
      <c r="B154" s="376"/>
      <c r="C154" s="376"/>
      <c r="D154" s="376"/>
      <c r="E154" s="376"/>
      <c r="F154" s="1143"/>
      <c r="G154" s="1144"/>
      <c r="H154" s="376"/>
      <c r="I154" s="153"/>
      <c r="J154" s="368"/>
      <c r="K154" s="369">
        <v>0</v>
      </c>
      <c r="L154" s="369">
        <v>0</v>
      </c>
    </row>
    <row r="155" spans="1:12" s="1" customFormat="1" x14ac:dyDescent="0.25">
      <c r="A155" s="382"/>
      <c r="B155" s="1145" t="s">
        <v>954</v>
      </c>
      <c r="C155" s="1146"/>
      <c r="D155" s="1146"/>
      <c r="E155" s="1146"/>
      <c r="F155" s="1146"/>
      <c r="G155" s="1146"/>
      <c r="H155" s="1146"/>
      <c r="I155" s="1147"/>
      <c r="J155" s="373">
        <f>SUM(J156:J161)+J163+J162+J164+J165+J166+J167+J168++J169+J170+J171+J172</f>
        <v>0</v>
      </c>
      <c r="K155" s="373">
        <f>SUM(K156:K161)+K163+K162+K164+K165+K166+K167+K168++K169+K170+K171</f>
        <v>0</v>
      </c>
      <c r="L155" s="373">
        <f>SUM(L156:L161)+L163+L162+L164+L165+L166+L167+L168++L169+L170+L171</f>
        <v>0</v>
      </c>
    </row>
    <row r="156" spans="1:12" s="1" customFormat="1" ht="67.5" customHeight="1" x14ac:dyDescent="0.3">
      <c r="A156" s="1154"/>
      <c r="B156" s="376"/>
      <c r="C156" s="1185"/>
      <c r="D156" s="1185"/>
      <c r="E156" s="1185"/>
      <c r="F156" s="1188"/>
      <c r="G156" s="1189"/>
      <c r="H156" s="502"/>
      <c r="I156" s="1081"/>
      <c r="J156" s="368"/>
      <c r="K156" s="110">
        <v>0</v>
      </c>
      <c r="L156" s="110">
        <v>0</v>
      </c>
    </row>
    <row r="157" spans="1:12" s="1" customFormat="1" ht="13.5" hidden="1" customHeight="1" x14ac:dyDescent="0.3">
      <c r="A157" s="1168"/>
      <c r="B157" s="376"/>
      <c r="C157" s="1186"/>
      <c r="D157" s="1186"/>
      <c r="E157" s="1186"/>
      <c r="F157" s="1190"/>
      <c r="G157" s="1191"/>
      <c r="H157" s="502"/>
      <c r="I157" s="1172"/>
      <c r="J157" s="368"/>
      <c r="K157" s="110">
        <v>0</v>
      </c>
      <c r="L157" s="110">
        <v>0</v>
      </c>
    </row>
    <row r="158" spans="1:12" s="1" customFormat="1" ht="16.5" hidden="1" customHeight="1" x14ac:dyDescent="0.3">
      <c r="A158" s="1168"/>
      <c r="B158" s="376"/>
      <c r="C158" s="1186"/>
      <c r="D158" s="1186"/>
      <c r="E158" s="1186"/>
      <c r="F158" s="1190"/>
      <c r="G158" s="1191"/>
      <c r="H158" s="376"/>
      <c r="I158" s="1172"/>
      <c r="J158" s="368"/>
      <c r="K158" s="110">
        <v>0</v>
      </c>
      <c r="L158" s="110">
        <v>0</v>
      </c>
    </row>
    <row r="159" spans="1:12" s="1" customFormat="1" ht="16.5" hidden="1" customHeight="1" x14ac:dyDescent="0.3">
      <c r="A159" s="1168"/>
      <c r="B159" s="376"/>
      <c r="C159" s="1186"/>
      <c r="D159" s="1186"/>
      <c r="E159" s="1186"/>
      <c r="F159" s="1190"/>
      <c r="G159" s="1191"/>
      <c r="H159" s="376"/>
      <c r="I159" s="1172"/>
      <c r="J159" s="368"/>
      <c r="K159" s="110">
        <v>0</v>
      </c>
      <c r="L159" s="110">
        <v>0</v>
      </c>
    </row>
    <row r="160" spans="1:12" s="1" customFormat="1" ht="16.5" hidden="1" customHeight="1" x14ac:dyDescent="0.3">
      <c r="A160" s="1168"/>
      <c r="B160" s="376"/>
      <c r="C160" s="1186"/>
      <c r="D160" s="1186"/>
      <c r="E160" s="1186"/>
      <c r="F160" s="1190"/>
      <c r="G160" s="1191"/>
      <c r="H160" s="376"/>
      <c r="I160" s="1172"/>
      <c r="J160" s="368"/>
      <c r="K160" s="110">
        <v>0</v>
      </c>
      <c r="L160" s="110">
        <v>0</v>
      </c>
    </row>
    <row r="161" spans="1:12" s="1" customFormat="1" ht="16.5" hidden="1" customHeight="1" x14ac:dyDescent="0.3">
      <c r="A161" s="1168"/>
      <c r="B161" s="383"/>
      <c r="C161" s="1186"/>
      <c r="D161" s="1186"/>
      <c r="E161" s="1186"/>
      <c r="F161" s="1190"/>
      <c r="G161" s="1191"/>
      <c r="H161" s="383"/>
      <c r="I161" s="1172"/>
      <c r="J161" s="368"/>
      <c r="K161" s="41">
        <v>0</v>
      </c>
      <c r="L161" s="41">
        <v>0</v>
      </c>
    </row>
    <row r="162" spans="1:12" s="1" customFormat="1" ht="16.5" hidden="1" customHeight="1" x14ac:dyDescent="0.3">
      <c r="A162" s="1168"/>
      <c r="B162" s="383"/>
      <c r="C162" s="1186"/>
      <c r="D162" s="1186"/>
      <c r="E162" s="1186"/>
      <c r="F162" s="1190"/>
      <c r="G162" s="1191"/>
      <c r="H162" s="383"/>
      <c r="I162" s="1172"/>
      <c r="J162" s="388"/>
      <c r="K162" s="388">
        <v>0</v>
      </c>
      <c r="L162" s="388">
        <v>0</v>
      </c>
    </row>
    <row r="163" spans="1:12" s="1" customFormat="1" ht="16.5" hidden="1" customHeight="1" x14ac:dyDescent="0.3">
      <c r="A163" s="1168"/>
      <c r="B163" s="453"/>
      <c r="C163" s="1186"/>
      <c r="D163" s="1186"/>
      <c r="E163" s="1186"/>
      <c r="F163" s="1190"/>
      <c r="G163" s="1191"/>
      <c r="H163" s="453"/>
      <c r="I163" s="1172"/>
      <c r="J163" s="388"/>
      <c r="K163" s="389">
        <v>0</v>
      </c>
      <c r="L163" s="389">
        <v>0</v>
      </c>
    </row>
    <row r="164" spans="1:12" s="1" customFormat="1" ht="16.5" hidden="1" customHeight="1" x14ac:dyDescent="0.3">
      <c r="A164" s="1168"/>
      <c r="B164" s="383"/>
      <c r="C164" s="1186"/>
      <c r="D164" s="1186"/>
      <c r="E164" s="1186"/>
      <c r="F164" s="1190"/>
      <c r="G164" s="1191"/>
      <c r="H164" s="383"/>
      <c r="I164" s="1172"/>
      <c r="J164" s="388"/>
      <c r="K164" s="389">
        <v>0</v>
      </c>
      <c r="L164" s="389">
        <v>0</v>
      </c>
    </row>
    <row r="165" spans="1:12" s="1" customFormat="1" ht="16.5" hidden="1" customHeight="1" x14ac:dyDescent="0.3">
      <c r="A165" s="1168"/>
      <c r="B165" s="383"/>
      <c r="C165" s="1186"/>
      <c r="D165" s="1186"/>
      <c r="E165" s="1186"/>
      <c r="F165" s="1190"/>
      <c r="G165" s="1191"/>
      <c r="H165" s="383"/>
      <c r="I165" s="1172"/>
      <c r="J165" s="388"/>
      <c r="K165" s="389">
        <v>0</v>
      </c>
      <c r="L165" s="389">
        <v>0</v>
      </c>
    </row>
    <row r="166" spans="1:12" s="1" customFormat="1" ht="16.5" hidden="1" customHeight="1" x14ac:dyDescent="0.3">
      <c r="A166" s="1168"/>
      <c r="B166" s="453"/>
      <c r="C166" s="1186"/>
      <c r="D166" s="1186"/>
      <c r="E166" s="1186"/>
      <c r="F166" s="1190"/>
      <c r="G166" s="1191"/>
      <c r="H166" s="453"/>
      <c r="I166" s="1172"/>
      <c r="J166" s="388"/>
      <c r="K166" s="389">
        <v>0</v>
      </c>
      <c r="L166" s="389">
        <v>0</v>
      </c>
    </row>
    <row r="167" spans="1:12" s="1" customFormat="1" ht="16.5" hidden="1" customHeight="1" x14ac:dyDescent="0.3">
      <c r="A167" s="1168"/>
      <c r="B167" s="383"/>
      <c r="C167" s="1186"/>
      <c r="D167" s="1186"/>
      <c r="E167" s="1186"/>
      <c r="F167" s="1190"/>
      <c r="G167" s="1191"/>
      <c r="H167" s="383"/>
      <c r="I167" s="1172"/>
      <c r="J167" s="388"/>
      <c r="K167" s="389">
        <v>0</v>
      </c>
      <c r="L167" s="389">
        <v>0</v>
      </c>
    </row>
    <row r="168" spans="1:12" s="1" customFormat="1" ht="16.5" hidden="1" customHeight="1" x14ac:dyDescent="0.3">
      <c r="A168" s="1168"/>
      <c r="B168" s="383"/>
      <c r="C168" s="1186"/>
      <c r="D168" s="1186"/>
      <c r="E168" s="1186"/>
      <c r="F168" s="1190"/>
      <c r="G168" s="1191"/>
      <c r="H168" s="383"/>
      <c r="I168" s="1172"/>
      <c r="J168" s="388"/>
      <c r="K168" s="389">
        <v>0</v>
      </c>
      <c r="L168" s="389">
        <v>0</v>
      </c>
    </row>
    <row r="169" spans="1:12" s="1" customFormat="1" ht="16.5" hidden="1" customHeight="1" x14ac:dyDescent="0.3">
      <c r="A169" s="1168"/>
      <c r="B169" s="453"/>
      <c r="C169" s="1186"/>
      <c r="D169" s="1186"/>
      <c r="E169" s="1186"/>
      <c r="F169" s="1190"/>
      <c r="G169" s="1191"/>
      <c r="H169" s="453"/>
      <c r="I169" s="1172"/>
      <c r="J169" s="388"/>
      <c r="K169" s="389">
        <v>0</v>
      </c>
      <c r="L169" s="389">
        <v>0</v>
      </c>
    </row>
    <row r="170" spans="1:12" s="1" customFormat="1" ht="16.5" hidden="1" customHeight="1" x14ac:dyDescent="0.3">
      <c r="A170" s="1168"/>
      <c r="B170" s="383"/>
      <c r="C170" s="1186"/>
      <c r="D170" s="1186"/>
      <c r="E170" s="1186"/>
      <c r="F170" s="1190"/>
      <c r="G170" s="1191"/>
      <c r="H170" s="383"/>
      <c r="I170" s="1172"/>
      <c r="J170" s="388"/>
      <c r="K170" s="389">
        <v>0</v>
      </c>
      <c r="L170" s="389">
        <v>0</v>
      </c>
    </row>
    <row r="171" spans="1:12" s="1" customFormat="1" ht="20.25" hidden="1" customHeight="1" x14ac:dyDescent="0.3">
      <c r="A171" s="1168"/>
      <c r="B171" s="383"/>
      <c r="C171" s="1186"/>
      <c r="D171" s="1186"/>
      <c r="E171" s="1186"/>
      <c r="F171" s="1190"/>
      <c r="G171" s="1191"/>
      <c r="H171" s="383"/>
      <c r="I171" s="1172"/>
      <c r="J171" s="388"/>
      <c r="K171" s="459">
        <v>0</v>
      </c>
      <c r="L171" s="459">
        <v>0</v>
      </c>
    </row>
    <row r="172" spans="1:12" s="1" customFormat="1" ht="53.25" customHeight="1" x14ac:dyDescent="0.3">
      <c r="A172" s="1155"/>
      <c r="B172" s="383"/>
      <c r="C172" s="1187"/>
      <c r="D172" s="1187"/>
      <c r="E172" s="1187"/>
      <c r="F172" s="1192"/>
      <c r="G172" s="1193"/>
      <c r="H172" s="383"/>
      <c r="I172" s="1074"/>
      <c r="J172" s="388"/>
      <c r="K172" s="389">
        <v>0</v>
      </c>
      <c r="L172" s="389">
        <v>0</v>
      </c>
    </row>
    <row r="173" spans="1:12" s="1" customFormat="1" x14ac:dyDescent="0.25">
      <c r="A173" s="382"/>
      <c r="B173" s="1149" t="s">
        <v>955</v>
      </c>
      <c r="C173" s="1150"/>
      <c r="D173" s="1150"/>
      <c r="E173" s="1150"/>
      <c r="F173" s="1150"/>
      <c r="G173" s="1150"/>
      <c r="H173" s="1150"/>
      <c r="I173" s="1160"/>
      <c r="J173" s="373">
        <f>SUM(J174:J183)+J184+J185+J186+J187+J188+J189+J190</f>
        <v>0</v>
      </c>
      <c r="K173" s="373">
        <f>SUM(K174:K183)</f>
        <v>0</v>
      </c>
      <c r="L173" s="373">
        <f>SUM(L174:L183)</f>
        <v>0</v>
      </c>
    </row>
    <row r="174" spans="1:12" s="394" customFormat="1" ht="51" customHeight="1" x14ac:dyDescent="0.25">
      <c r="A174" s="755"/>
      <c r="B174" s="391"/>
      <c r="C174" s="391"/>
      <c r="D174" s="391"/>
      <c r="E174" s="391"/>
      <c r="F174" s="1065"/>
      <c r="G174" s="1066"/>
      <c r="H174" s="392"/>
      <c r="I174" s="228"/>
      <c r="J174" s="368"/>
      <c r="K174" s="41">
        <v>0</v>
      </c>
      <c r="L174" s="41">
        <v>0</v>
      </c>
    </row>
    <row r="175" spans="1:12" s="394" customFormat="1" ht="5.25" hidden="1" customHeight="1" x14ac:dyDescent="0.25">
      <c r="A175" s="756"/>
      <c r="B175" s="391"/>
      <c r="C175" s="391"/>
      <c r="D175" s="391"/>
      <c r="E175" s="391"/>
      <c r="F175" s="1065"/>
      <c r="G175" s="1066"/>
      <c r="H175" s="392"/>
      <c r="I175" s="228"/>
      <c r="J175" s="368"/>
      <c r="K175" s="41">
        <v>0</v>
      </c>
      <c r="L175" s="393">
        <v>0</v>
      </c>
    </row>
    <row r="176" spans="1:12" s="394" customFormat="1" hidden="1" x14ac:dyDescent="0.25">
      <c r="A176" s="757"/>
      <c r="B176" s="391"/>
      <c r="C176" s="391"/>
      <c r="D176" s="391"/>
      <c r="E176" s="391"/>
      <c r="F176" s="1065"/>
      <c r="G176" s="1066"/>
      <c r="H176" s="392"/>
      <c r="I176" s="228"/>
      <c r="J176" s="368"/>
      <c r="K176" s="393">
        <v>0</v>
      </c>
      <c r="L176" s="393">
        <v>0</v>
      </c>
    </row>
    <row r="177" spans="1:12" s="394" customFormat="1" hidden="1" x14ac:dyDescent="0.25">
      <c r="A177" s="757"/>
      <c r="B177" s="391"/>
      <c r="C177" s="391"/>
      <c r="D177" s="391"/>
      <c r="E177" s="391"/>
      <c r="F177" s="1065"/>
      <c r="G177" s="1066"/>
      <c r="H177" s="392"/>
      <c r="I177" s="228"/>
      <c r="J177" s="368"/>
      <c r="K177" s="368">
        <v>0</v>
      </c>
      <c r="L177" s="368">
        <v>0</v>
      </c>
    </row>
    <row r="178" spans="1:12" hidden="1" x14ac:dyDescent="0.25">
      <c r="A178" s="366"/>
      <c r="B178" s="391"/>
      <c r="C178" s="391"/>
      <c r="D178" s="391"/>
      <c r="E178" s="391"/>
      <c r="F178" s="1065"/>
      <c r="G178" s="1066"/>
      <c r="H178" s="392"/>
      <c r="I178" s="228"/>
      <c r="J178" s="368"/>
      <c r="K178" s="84">
        <v>0</v>
      </c>
      <c r="L178" s="84">
        <v>0</v>
      </c>
    </row>
    <row r="179" spans="1:12" hidden="1" x14ac:dyDescent="0.25">
      <c r="A179" s="366"/>
      <c r="B179" s="391"/>
      <c r="C179" s="391"/>
      <c r="D179" s="391"/>
      <c r="E179" s="391"/>
      <c r="F179" s="1065"/>
      <c r="G179" s="1066"/>
      <c r="H179" s="392"/>
      <c r="I179" s="228"/>
      <c r="J179" s="368"/>
      <c r="K179" s="84">
        <v>0</v>
      </c>
      <c r="L179" s="84">
        <v>0</v>
      </c>
    </row>
    <row r="180" spans="1:12" hidden="1" x14ac:dyDescent="0.25">
      <c r="A180" s="366"/>
      <c r="B180" s="391"/>
      <c r="C180" s="391"/>
      <c r="D180" s="391"/>
      <c r="E180" s="391"/>
      <c r="F180" s="1065"/>
      <c r="G180" s="1066"/>
      <c r="H180" s="392"/>
      <c r="I180" s="228"/>
      <c r="J180" s="368"/>
      <c r="K180" s="84">
        <v>0</v>
      </c>
      <c r="L180" s="84">
        <v>0</v>
      </c>
    </row>
    <row r="181" spans="1:12" hidden="1" x14ac:dyDescent="0.25">
      <c r="A181" s="366"/>
      <c r="B181" s="391"/>
      <c r="C181" s="391"/>
      <c r="D181" s="391"/>
      <c r="E181" s="391"/>
      <c r="F181" s="1065"/>
      <c r="G181" s="1066"/>
      <c r="H181" s="392"/>
      <c r="I181" s="228"/>
      <c r="J181" s="368"/>
      <c r="K181" s="84">
        <v>0</v>
      </c>
      <c r="L181" s="84">
        <v>0</v>
      </c>
    </row>
    <row r="182" spans="1:12" hidden="1" x14ac:dyDescent="0.25">
      <c r="A182" s="366"/>
      <c r="B182" s="349"/>
      <c r="C182" s="349"/>
      <c r="D182" s="349"/>
      <c r="E182" s="349"/>
      <c r="F182" s="1119"/>
      <c r="G182" s="1120"/>
      <c r="H182" s="395"/>
      <c r="I182" s="381"/>
      <c r="J182" s="368"/>
      <c r="K182" s="84">
        <v>0</v>
      </c>
      <c r="L182" s="84">
        <v>0</v>
      </c>
    </row>
    <row r="183" spans="1:12" hidden="1" x14ac:dyDescent="0.25">
      <c r="A183" s="769"/>
      <c r="B183" s="391"/>
      <c r="C183" s="391"/>
      <c r="D183" s="391"/>
      <c r="E183" s="391"/>
      <c r="F183" s="1065"/>
      <c r="G183" s="1066"/>
      <c r="H183" s="392"/>
      <c r="I183" s="228"/>
      <c r="J183" s="368"/>
      <c r="K183" s="84">
        <v>0</v>
      </c>
      <c r="L183" s="84">
        <v>0</v>
      </c>
    </row>
    <row r="184" spans="1:12" ht="62.25" customHeight="1" x14ac:dyDescent="0.25">
      <c r="A184" s="1154"/>
      <c r="B184" s="397"/>
      <c r="C184" s="1136"/>
      <c r="D184" s="1136"/>
      <c r="E184" s="1136"/>
      <c r="F184" s="1138"/>
      <c r="G184" s="1139"/>
      <c r="H184" s="398"/>
      <c r="I184" s="1173"/>
      <c r="J184" s="368"/>
      <c r="K184" s="84">
        <v>0</v>
      </c>
      <c r="L184" s="84">
        <v>0</v>
      </c>
    </row>
    <row r="185" spans="1:12" ht="84" customHeight="1" x14ac:dyDescent="0.25">
      <c r="A185" s="1155"/>
      <c r="B185" s="391"/>
      <c r="C185" s="1137"/>
      <c r="D185" s="1137"/>
      <c r="E185" s="1137"/>
      <c r="F185" s="1140"/>
      <c r="G185" s="1141"/>
      <c r="H185" s="399"/>
      <c r="I185" s="1174"/>
      <c r="J185" s="368"/>
      <c r="K185" s="84">
        <v>0</v>
      </c>
      <c r="L185" s="84">
        <v>0</v>
      </c>
    </row>
    <row r="186" spans="1:12" ht="66.75" customHeight="1" x14ac:dyDescent="0.25">
      <c r="A186" s="366"/>
      <c r="B186" s="397"/>
      <c r="C186" s="712"/>
      <c r="D186" s="712"/>
      <c r="E186" s="712"/>
      <c r="F186" s="1112"/>
      <c r="G186" s="1113"/>
      <c r="H186" s="398"/>
      <c r="I186" s="454"/>
      <c r="J186" s="368"/>
      <c r="K186" s="84">
        <v>0</v>
      </c>
      <c r="L186" s="84">
        <v>0</v>
      </c>
    </row>
    <row r="187" spans="1:12" ht="45.75" customHeight="1" x14ac:dyDescent="0.25">
      <c r="A187" s="366"/>
      <c r="B187" s="391"/>
      <c r="C187" s="416"/>
      <c r="D187" s="416"/>
      <c r="E187" s="416"/>
      <c r="F187" s="1065"/>
      <c r="G187" s="1066"/>
      <c r="H187" s="399"/>
      <c r="I187" s="228"/>
      <c r="J187" s="368"/>
      <c r="K187" s="84">
        <v>0</v>
      </c>
      <c r="L187" s="84">
        <v>0</v>
      </c>
    </row>
    <row r="188" spans="1:12" ht="100.5" customHeight="1" x14ac:dyDescent="0.25">
      <c r="A188" s="1154"/>
      <c r="B188" s="391"/>
      <c r="C188" s="1177"/>
      <c r="D188" s="1177"/>
      <c r="E188" s="1177"/>
      <c r="F188" s="1179"/>
      <c r="G188" s="1180"/>
      <c r="H188" s="399"/>
      <c r="I188" s="1183"/>
      <c r="J188" s="368"/>
      <c r="K188" s="84">
        <v>0</v>
      </c>
      <c r="L188" s="84">
        <v>0</v>
      </c>
    </row>
    <row r="189" spans="1:12" ht="45.75" customHeight="1" x14ac:dyDescent="0.25">
      <c r="A189" s="1155"/>
      <c r="B189" s="560"/>
      <c r="C189" s="1178"/>
      <c r="D189" s="1178"/>
      <c r="E189" s="1178"/>
      <c r="F189" s="1181"/>
      <c r="G189" s="1182"/>
      <c r="H189" s="399"/>
      <c r="I189" s="1184"/>
      <c r="J189" s="368"/>
      <c r="K189" s="84">
        <v>0</v>
      </c>
      <c r="L189" s="84">
        <v>0</v>
      </c>
    </row>
    <row r="190" spans="1:12" ht="68.25" customHeight="1" x14ac:dyDescent="0.25">
      <c r="A190" s="870"/>
      <c r="B190" s="560"/>
      <c r="C190" s="871"/>
      <c r="D190" s="871"/>
      <c r="E190" s="871"/>
      <c r="F190" s="1065"/>
      <c r="G190" s="1066"/>
      <c r="H190" s="399"/>
      <c r="I190" s="228"/>
      <c r="J190" s="368"/>
      <c r="K190" s="84">
        <v>0</v>
      </c>
      <c r="L190" s="84">
        <v>0</v>
      </c>
    </row>
    <row r="191" spans="1:12" x14ac:dyDescent="0.25">
      <c r="A191" s="240"/>
      <c r="B191" s="1123" t="s">
        <v>956</v>
      </c>
      <c r="C191" s="1124"/>
      <c r="D191" s="1124"/>
      <c r="E191" s="1124"/>
      <c r="F191" s="1124"/>
      <c r="G191" s="1124"/>
      <c r="H191" s="1124"/>
      <c r="I191" s="1125"/>
      <c r="J191" s="46"/>
      <c r="K191" s="46">
        <f>K192</f>
        <v>0</v>
      </c>
      <c r="L191" s="46">
        <f>L192</f>
        <v>0</v>
      </c>
    </row>
    <row r="192" spans="1:12" ht="15" customHeight="1" x14ac:dyDescent="0.25">
      <c r="A192" s="348"/>
      <c r="B192" s="349"/>
      <c r="C192" s="349"/>
      <c r="D192" s="349"/>
      <c r="E192" s="349"/>
      <c r="F192" s="1119"/>
      <c r="G192" s="1120"/>
      <c r="H192" s="395"/>
      <c r="I192" s="400"/>
      <c r="J192" s="401"/>
      <c r="K192" s="393"/>
      <c r="L192" s="393"/>
    </row>
    <row r="193" spans="1:12" hidden="1" x14ac:dyDescent="0.25">
      <c r="A193" s="240"/>
      <c r="B193" s="402"/>
      <c r="C193" s="26"/>
      <c r="D193" s="26"/>
      <c r="E193" s="26"/>
      <c r="F193" s="26"/>
      <c r="G193" s="26"/>
      <c r="H193" s="103"/>
      <c r="I193" s="26"/>
      <c r="J193" s="41"/>
      <c r="K193" s="84"/>
      <c r="L193" s="84"/>
    </row>
    <row r="194" spans="1:12" x14ac:dyDescent="0.25">
      <c r="A194" s="766"/>
      <c r="B194" s="1142" t="s">
        <v>957</v>
      </c>
      <c r="C194" s="1142"/>
      <c r="D194" s="1142"/>
      <c r="E194" s="1142"/>
      <c r="F194" s="1142"/>
      <c r="G194" s="1142"/>
      <c r="H194" s="1142"/>
      <c r="I194" s="1142"/>
      <c r="J194" s="373">
        <f>SUM(J195:J234)+J235+J236+J237+J238+J239+J240</f>
        <v>0</v>
      </c>
      <c r="K194" s="373">
        <f>SUM(K196:K234)</f>
        <v>0</v>
      </c>
      <c r="L194" s="373">
        <f>SUM(L196:L234)</f>
        <v>0</v>
      </c>
    </row>
    <row r="195" spans="1:12" ht="71.25" customHeight="1" x14ac:dyDescent="0.25">
      <c r="A195" s="753"/>
      <c r="B195" s="391"/>
      <c r="C195" s="391"/>
      <c r="D195" s="391"/>
      <c r="E195" s="391"/>
      <c r="F195" s="1065"/>
      <c r="G195" s="1066"/>
      <c r="H195" s="564"/>
      <c r="I195" s="228"/>
      <c r="J195" s="407"/>
      <c r="K195" s="404">
        <v>0</v>
      </c>
      <c r="L195" s="404">
        <v>0</v>
      </c>
    </row>
    <row r="196" spans="1:12" ht="3.75" hidden="1" customHeight="1" x14ac:dyDescent="0.25">
      <c r="A196" s="374"/>
      <c r="B196" s="391"/>
      <c r="C196" s="391"/>
      <c r="D196" s="391"/>
      <c r="E196" s="391"/>
      <c r="F196" s="1065"/>
      <c r="G196" s="1066"/>
      <c r="H196" s="565"/>
      <c r="I196" s="409"/>
      <c r="J196" s="407"/>
      <c r="K196" s="84">
        <v>0</v>
      </c>
      <c r="L196" s="84">
        <v>0</v>
      </c>
    </row>
    <row r="197" spans="1:12" hidden="1" x14ac:dyDescent="0.25">
      <c r="A197" s="374"/>
      <c r="B197" s="391"/>
      <c r="C197" s="391"/>
      <c r="D197" s="391"/>
      <c r="E197" s="391"/>
      <c r="F197" s="1065"/>
      <c r="G197" s="1066"/>
      <c r="H197" s="564"/>
      <c r="I197" s="409"/>
      <c r="J197" s="407"/>
      <c r="K197" s="84">
        <v>0</v>
      </c>
      <c r="L197" s="84">
        <v>0</v>
      </c>
    </row>
    <row r="198" spans="1:12" hidden="1" x14ac:dyDescent="0.25">
      <c r="A198" s="711"/>
      <c r="B198" s="391"/>
      <c r="C198" s="391"/>
      <c r="D198" s="391"/>
      <c r="E198" s="391"/>
      <c r="F198" s="1065"/>
      <c r="G198" s="1066"/>
      <c r="H198" s="564"/>
      <c r="I198" s="409"/>
      <c r="J198" s="407"/>
      <c r="K198" s="41">
        <v>0</v>
      </c>
      <c r="L198" s="41">
        <v>0</v>
      </c>
    </row>
    <row r="199" spans="1:12" hidden="1" x14ac:dyDescent="0.25">
      <c r="A199" s="711"/>
      <c r="B199" s="391"/>
      <c r="C199" s="391"/>
      <c r="D199" s="391"/>
      <c r="E199" s="391"/>
      <c r="F199" s="1065"/>
      <c r="G199" s="1066"/>
      <c r="H199" s="564"/>
      <c r="I199" s="409"/>
      <c r="J199" s="407"/>
      <c r="K199" s="41">
        <v>0</v>
      </c>
      <c r="L199" s="41">
        <v>0</v>
      </c>
    </row>
    <row r="200" spans="1:12" hidden="1" x14ac:dyDescent="0.25">
      <c r="A200" s="711"/>
      <c r="B200" s="391"/>
      <c r="C200" s="391"/>
      <c r="D200" s="391"/>
      <c r="E200" s="391"/>
      <c r="F200" s="1065"/>
      <c r="G200" s="1066"/>
      <c r="H200" s="564"/>
      <c r="I200" s="409"/>
      <c r="J200" s="407"/>
      <c r="K200" s="41">
        <v>0</v>
      </c>
      <c r="L200" s="41">
        <v>0</v>
      </c>
    </row>
    <row r="201" spans="1:12" hidden="1" x14ac:dyDescent="0.25">
      <c r="A201" s="711"/>
      <c r="B201" s="391"/>
      <c r="C201" s="391"/>
      <c r="D201" s="391"/>
      <c r="E201" s="391"/>
      <c r="F201" s="1065"/>
      <c r="G201" s="1066"/>
      <c r="H201" s="564"/>
      <c r="I201" s="409"/>
      <c r="J201" s="407"/>
      <c r="K201" s="41">
        <v>0</v>
      </c>
      <c r="L201" s="41">
        <v>0</v>
      </c>
    </row>
    <row r="202" spans="1:12" ht="11.25" hidden="1" customHeight="1" x14ac:dyDescent="0.25">
      <c r="A202" s="711"/>
      <c r="B202" s="391"/>
      <c r="C202" s="391"/>
      <c r="D202" s="391"/>
      <c r="E202" s="391"/>
      <c r="F202" s="1065"/>
      <c r="G202" s="1066"/>
      <c r="H202" s="564"/>
      <c r="I202" s="409"/>
      <c r="J202" s="407"/>
      <c r="K202" s="84">
        <v>0</v>
      </c>
      <c r="L202" s="84">
        <v>0</v>
      </c>
    </row>
    <row r="203" spans="1:12" hidden="1" x14ac:dyDescent="0.25">
      <c r="A203" s="711"/>
      <c r="B203" s="391"/>
      <c r="C203" s="391"/>
      <c r="D203" s="391"/>
      <c r="E203" s="391"/>
      <c r="F203" s="1065"/>
      <c r="G203" s="1066"/>
      <c r="H203" s="564"/>
      <c r="I203" s="409"/>
      <c r="J203" s="407"/>
      <c r="K203" s="84">
        <v>0</v>
      </c>
      <c r="L203" s="84">
        <v>0</v>
      </c>
    </row>
    <row r="204" spans="1:12" hidden="1" x14ac:dyDescent="0.25">
      <c r="A204" s="711"/>
      <c r="B204" s="391"/>
      <c r="C204" s="391"/>
      <c r="D204" s="391"/>
      <c r="E204" s="391"/>
      <c r="F204" s="1065"/>
      <c r="G204" s="1066"/>
      <c r="H204" s="564"/>
      <c r="I204" s="409"/>
      <c r="J204" s="407"/>
      <c r="K204" s="84">
        <v>0</v>
      </c>
      <c r="L204" s="84">
        <v>0</v>
      </c>
    </row>
    <row r="205" spans="1:12" hidden="1" x14ac:dyDescent="0.25">
      <c r="A205" s="711"/>
      <c r="B205" s="391"/>
      <c r="C205" s="391"/>
      <c r="D205" s="391"/>
      <c r="E205" s="391"/>
      <c r="F205" s="391"/>
      <c r="G205" s="391"/>
      <c r="H205" s="564"/>
      <c r="I205" s="409"/>
      <c r="J205" s="407"/>
      <c r="K205" s="393"/>
      <c r="L205" s="393"/>
    </row>
    <row r="206" spans="1:12" hidden="1" x14ac:dyDescent="0.25">
      <c r="A206" s="711"/>
      <c r="B206" s="391"/>
      <c r="C206" s="391"/>
      <c r="D206" s="391"/>
      <c r="E206" s="391"/>
      <c r="F206" s="391"/>
      <c r="G206" s="391"/>
      <c r="H206" s="564"/>
      <c r="I206" s="409"/>
      <c r="J206" s="407"/>
      <c r="K206" s="84"/>
      <c r="L206" s="84"/>
    </row>
    <row r="207" spans="1:12" hidden="1" x14ac:dyDescent="0.25">
      <c r="A207" s="711"/>
      <c r="B207" s="391"/>
      <c r="C207" s="391"/>
      <c r="D207" s="391"/>
      <c r="E207" s="391"/>
      <c r="F207" s="391"/>
      <c r="G207" s="391"/>
      <c r="H207" s="564"/>
      <c r="I207" s="409"/>
      <c r="J207" s="407"/>
      <c r="K207" s="393"/>
      <c r="L207" s="393"/>
    </row>
    <row r="208" spans="1:12" hidden="1" x14ac:dyDescent="0.25">
      <c r="A208" s="711"/>
      <c r="B208" s="391"/>
      <c r="C208" s="391"/>
      <c r="D208" s="391"/>
      <c r="E208" s="391"/>
      <c r="F208" s="391"/>
      <c r="G208" s="391"/>
      <c r="H208" s="564"/>
      <c r="I208" s="409"/>
      <c r="J208" s="407"/>
      <c r="K208" s="393"/>
      <c r="L208" s="393"/>
    </row>
    <row r="209" spans="1:12" hidden="1" x14ac:dyDescent="0.25">
      <c r="A209" s="711"/>
      <c r="B209" s="391"/>
      <c r="C209" s="391"/>
      <c r="D209" s="391"/>
      <c r="E209" s="391"/>
      <c r="F209" s="391"/>
      <c r="G209" s="391"/>
      <c r="H209" s="565"/>
      <c r="I209" s="409"/>
      <c r="J209" s="407"/>
      <c r="K209" s="84"/>
      <c r="L209" s="84"/>
    </row>
    <row r="210" spans="1:12" hidden="1" x14ac:dyDescent="0.25">
      <c r="A210" s="711"/>
      <c r="B210" s="391"/>
      <c r="C210" s="391"/>
      <c r="D210" s="391"/>
      <c r="E210" s="391"/>
      <c r="F210" s="391"/>
      <c r="G210" s="391"/>
      <c r="H210" s="564"/>
      <c r="I210" s="409"/>
      <c r="J210" s="407"/>
      <c r="K210" s="84"/>
      <c r="L210" s="84"/>
    </row>
    <row r="211" spans="1:12" hidden="1" x14ac:dyDescent="0.25">
      <c r="A211" s="711"/>
      <c r="B211" s="391"/>
      <c r="C211" s="391"/>
      <c r="D211" s="391"/>
      <c r="E211" s="391"/>
      <c r="F211" s="391"/>
      <c r="G211" s="391"/>
      <c r="H211" s="565"/>
      <c r="I211" s="409"/>
      <c r="J211" s="407"/>
      <c r="K211" s="84"/>
      <c r="L211" s="84"/>
    </row>
    <row r="212" spans="1:12" hidden="1" x14ac:dyDescent="0.25">
      <c r="A212" s="711"/>
      <c r="B212" s="391"/>
      <c r="C212" s="391"/>
      <c r="D212" s="391"/>
      <c r="E212" s="391"/>
      <c r="F212" s="391"/>
      <c r="G212" s="391"/>
      <c r="H212" s="564"/>
      <c r="I212" s="409"/>
      <c r="J212" s="407"/>
      <c r="K212" s="84"/>
      <c r="L212" s="84"/>
    </row>
    <row r="213" spans="1:12" hidden="1" x14ac:dyDescent="0.25">
      <c r="A213" s="711"/>
      <c r="B213" s="391"/>
      <c r="C213" s="391"/>
      <c r="D213" s="391"/>
      <c r="E213" s="391"/>
      <c r="F213" s="391"/>
      <c r="G213" s="391"/>
      <c r="H213" s="564"/>
      <c r="I213" s="409"/>
      <c r="J213" s="407"/>
      <c r="K213" s="84"/>
      <c r="L213" s="84"/>
    </row>
    <row r="214" spans="1:12" hidden="1" x14ac:dyDescent="0.25">
      <c r="A214" s="711"/>
      <c r="B214" s="391"/>
      <c r="C214" s="391"/>
      <c r="D214" s="391"/>
      <c r="E214" s="391"/>
      <c r="F214" s="391"/>
      <c r="G214" s="391"/>
      <c r="H214" s="564"/>
      <c r="I214" s="409"/>
      <c r="J214" s="407"/>
      <c r="K214" s="84"/>
      <c r="L214" s="84"/>
    </row>
    <row r="215" spans="1:12" hidden="1" x14ac:dyDescent="0.25">
      <c r="A215" s="711"/>
      <c r="B215" s="391"/>
      <c r="C215" s="391"/>
      <c r="D215" s="391"/>
      <c r="E215" s="391"/>
      <c r="F215" s="391"/>
      <c r="G215" s="391"/>
      <c r="H215" s="564"/>
      <c r="I215" s="409"/>
      <c r="J215" s="407"/>
      <c r="K215" s="84"/>
      <c r="L215" s="84"/>
    </row>
    <row r="216" spans="1:12" hidden="1" x14ac:dyDescent="0.25">
      <c r="A216" s="711"/>
      <c r="B216" s="391"/>
      <c r="C216" s="391"/>
      <c r="D216" s="391"/>
      <c r="E216" s="391"/>
      <c r="F216" s="1065"/>
      <c r="G216" s="1066"/>
      <c r="H216" s="564"/>
      <c r="I216" s="409"/>
      <c r="J216" s="407"/>
      <c r="K216" s="84">
        <v>0</v>
      </c>
      <c r="L216" s="84">
        <v>0</v>
      </c>
    </row>
    <row r="217" spans="1:12" hidden="1" x14ac:dyDescent="0.25">
      <c r="A217" s="711"/>
      <c r="B217" s="391"/>
      <c r="C217" s="391"/>
      <c r="D217" s="391"/>
      <c r="E217" s="391"/>
      <c r="F217" s="1065"/>
      <c r="G217" s="1066"/>
      <c r="H217" s="564"/>
      <c r="I217" s="409"/>
      <c r="J217" s="407"/>
      <c r="K217" s="84">
        <v>0</v>
      </c>
      <c r="L217" s="84">
        <v>0</v>
      </c>
    </row>
    <row r="218" spans="1:12" hidden="1" x14ac:dyDescent="0.25">
      <c r="A218" s="711"/>
      <c r="B218" s="391"/>
      <c r="C218" s="391"/>
      <c r="D218" s="391"/>
      <c r="E218" s="391"/>
      <c r="F218" s="1065"/>
      <c r="G218" s="1066"/>
      <c r="H218" s="564"/>
      <c r="I218" s="409"/>
      <c r="J218" s="407"/>
      <c r="K218" s="84">
        <v>0</v>
      </c>
      <c r="L218" s="84">
        <v>0</v>
      </c>
    </row>
    <row r="219" spans="1:12" hidden="1" x14ac:dyDescent="0.25">
      <c r="A219" s="711"/>
      <c r="B219" s="764"/>
      <c r="C219" s="763"/>
      <c r="D219" s="763"/>
      <c r="E219" s="763"/>
      <c r="F219" s="1067"/>
      <c r="G219" s="1068"/>
      <c r="H219" s="564"/>
      <c r="I219" s="409"/>
      <c r="J219" s="407"/>
      <c r="K219" s="84">
        <v>0</v>
      </c>
      <c r="L219" s="84">
        <v>0</v>
      </c>
    </row>
    <row r="220" spans="1:12" hidden="1" x14ac:dyDescent="0.25">
      <c r="A220" s="711"/>
      <c r="B220" s="391"/>
      <c r="C220" s="391"/>
      <c r="D220" s="391"/>
      <c r="E220" s="391"/>
      <c r="F220" s="1065"/>
      <c r="G220" s="1066"/>
      <c r="H220" s="564"/>
      <c r="I220" s="409"/>
      <c r="J220" s="407"/>
      <c r="K220" s="84">
        <v>0</v>
      </c>
      <c r="L220" s="84">
        <v>0</v>
      </c>
    </row>
    <row r="221" spans="1:12" hidden="1" x14ac:dyDescent="0.25">
      <c r="A221" s="711"/>
      <c r="B221" s="391"/>
      <c r="C221" s="391"/>
      <c r="D221" s="391"/>
      <c r="E221" s="391"/>
      <c r="F221" s="1065"/>
      <c r="G221" s="1066"/>
      <c r="H221" s="564"/>
      <c r="I221" s="409"/>
      <c r="J221" s="407"/>
      <c r="K221" s="84">
        <v>0</v>
      </c>
      <c r="L221" s="84">
        <v>0</v>
      </c>
    </row>
    <row r="222" spans="1:12" hidden="1" x14ac:dyDescent="0.25">
      <c r="A222" s="711"/>
      <c r="B222" s="391"/>
      <c r="C222" s="391"/>
      <c r="D222" s="391"/>
      <c r="E222" s="391"/>
      <c r="F222" s="1065"/>
      <c r="G222" s="1066"/>
      <c r="H222" s="564"/>
      <c r="I222" s="409"/>
      <c r="J222" s="407"/>
      <c r="K222" s="84">
        <v>0</v>
      </c>
      <c r="L222" s="84">
        <v>0</v>
      </c>
    </row>
    <row r="223" spans="1:12" hidden="1" x14ac:dyDescent="0.25">
      <c r="A223" s="711"/>
      <c r="B223" s="391"/>
      <c r="C223" s="391"/>
      <c r="D223" s="391"/>
      <c r="E223" s="391"/>
      <c r="F223" s="1065"/>
      <c r="G223" s="1066"/>
      <c r="H223" s="564"/>
      <c r="I223" s="409"/>
      <c r="J223" s="407"/>
      <c r="K223" s="84">
        <v>0</v>
      </c>
      <c r="L223" s="84">
        <v>0</v>
      </c>
    </row>
    <row r="224" spans="1:12" hidden="1" x14ac:dyDescent="0.25">
      <c r="A224" s="374"/>
      <c r="B224" s="391"/>
      <c r="C224" s="391"/>
      <c r="D224" s="391"/>
      <c r="E224" s="391"/>
      <c r="F224" s="1065"/>
      <c r="G224" s="1066"/>
      <c r="H224" s="564"/>
      <c r="I224" s="228"/>
      <c r="J224" s="726"/>
      <c r="K224" s="233"/>
      <c r="L224" s="233"/>
    </row>
    <row r="225" spans="1:14" hidden="1" x14ac:dyDescent="0.25">
      <c r="A225" s="374"/>
      <c r="B225" s="391"/>
      <c r="C225" s="391"/>
      <c r="D225" s="391"/>
      <c r="E225" s="391"/>
      <c r="F225" s="1065"/>
      <c r="G225" s="1066"/>
      <c r="H225" s="565"/>
      <c r="I225" s="228"/>
      <c r="J225" s="726"/>
      <c r="K225" s="233"/>
      <c r="L225" s="233"/>
    </row>
    <row r="226" spans="1:14" hidden="1" x14ac:dyDescent="0.25">
      <c r="A226" s="374"/>
      <c r="B226" s="391"/>
      <c r="C226" s="391"/>
      <c r="D226" s="391"/>
      <c r="E226" s="391"/>
      <c r="F226" s="1065"/>
      <c r="G226" s="1066"/>
      <c r="H226" s="564"/>
      <c r="I226" s="228"/>
      <c r="J226" s="407"/>
      <c r="K226" s="84"/>
      <c r="L226" s="84"/>
    </row>
    <row r="227" spans="1:14" hidden="1" x14ac:dyDescent="0.25">
      <c r="A227" s="374"/>
      <c r="B227" s="391"/>
      <c r="C227" s="391"/>
      <c r="D227" s="391"/>
      <c r="E227" s="391"/>
      <c r="F227" s="1065"/>
      <c r="G227" s="1066"/>
      <c r="H227" s="564"/>
      <c r="I227" s="454"/>
      <c r="J227" s="407"/>
      <c r="K227" s="84"/>
      <c r="L227" s="84"/>
    </row>
    <row r="228" spans="1:14" hidden="1" x14ac:dyDescent="0.25">
      <c r="A228" s="374"/>
      <c r="B228" s="391"/>
      <c r="C228" s="391"/>
      <c r="D228" s="391"/>
      <c r="E228" s="391"/>
      <c r="F228" s="1065"/>
      <c r="G228" s="1066"/>
      <c r="H228" s="399"/>
      <c r="I228" s="501"/>
      <c r="J228" s="407"/>
      <c r="K228" s="369"/>
      <c r="L228" s="369"/>
    </row>
    <row r="229" spans="1:14" hidden="1" x14ac:dyDescent="0.25">
      <c r="A229" s="374"/>
      <c r="B229" s="391"/>
      <c r="C229" s="391"/>
      <c r="D229" s="391"/>
      <c r="E229" s="391"/>
      <c r="F229" s="1065"/>
      <c r="G229" s="1066"/>
      <c r="H229" s="399"/>
      <c r="I229" s="455"/>
      <c r="J229" s="407"/>
      <c r="K229" s="369"/>
      <c r="L229" s="369"/>
    </row>
    <row r="230" spans="1:14" hidden="1" x14ac:dyDescent="0.25">
      <c r="A230" s="374"/>
      <c r="B230" s="391"/>
      <c r="C230" s="391"/>
      <c r="D230" s="391"/>
      <c r="E230" s="391"/>
      <c r="F230" s="1065"/>
      <c r="G230" s="1066"/>
      <c r="H230" s="399"/>
      <c r="I230" s="228"/>
      <c r="J230" s="407"/>
      <c r="K230" s="369"/>
      <c r="L230" s="369"/>
    </row>
    <row r="231" spans="1:14" hidden="1" x14ac:dyDescent="0.25">
      <c r="A231" s="374"/>
      <c r="B231" s="391"/>
      <c r="C231" s="391"/>
      <c r="D231" s="391"/>
      <c r="E231" s="391"/>
      <c r="F231" s="1065"/>
      <c r="G231" s="1066"/>
      <c r="H231" s="399"/>
      <c r="I231" s="228"/>
      <c r="J231" s="407"/>
      <c r="K231" s="84"/>
      <c r="L231" s="84"/>
    </row>
    <row r="232" spans="1:14" hidden="1" x14ac:dyDescent="0.25">
      <c r="A232" s="374"/>
      <c r="B232" s="391"/>
      <c r="C232" s="391"/>
      <c r="D232" s="391"/>
      <c r="E232" s="391"/>
      <c r="F232" s="1065"/>
      <c r="G232" s="1066"/>
      <c r="H232" s="564"/>
      <c r="I232" s="420"/>
      <c r="J232" s="410"/>
      <c r="K232" s="84"/>
      <c r="L232" s="84"/>
    </row>
    <row r="233" spans="1:14" hidden="1" x14ac:dyDescent="0.25">
      <c r="A233" s="374"/>
      <c r="B233" s="391"/>
      <c r="C233" s="391"/>
      <c r="D233" s="391"/>
      <c r="E233" s="391"/>
      <c r="F233" s="1065"/>
      <c r="G233" s="1066"/>
      <c r="H233" s="564"/>
      <c r="I233" s="420"/>
      <c r="J233" s="407"/>
      <c r="K233" s="369"/>
      <c r="L233" s="369"/>
    </row>
    <row r="234" spans="1:14" hidden="1" x14ac:dyDescent="0.25">
      <c r="A234" s="719"/>
      <c r="B234" s="397"/>
      <c r="C234" s="397"/>
      <c r="D234" s="397"/>
      <c r="E234" s="397"/>
      <c r="F234" s="1112"/>
      <c r="G234" s="1113"/>
      <c r="H234" s="720"/>
      <c r="I234" s="454"/>
      <c r="J234" s="407"/>
      <c r="K234" s="369"/>
      <c r="L234" s="369"/>
      <c r="N234" s="364"/>
    </row>
    <row r="235" spans="1:14" hidden="1" x14ac:dyDescent="0.25">
      <c r="A235" s="374"/>
      <c r="B235" s="391"/>
      <c r="C235" s="391"/>
      <c r="D235" s="391"/>
      <c r="E235" s="391"/>
      <c r="F235" s="1065"/>
      <c r="G235" s="1066"/>
      <c r="H235" s="716"/>
      <c r="I235" s="228"/>
      <c r="J235" s="407"/>
      <c r="K235" s="110"/>
      <c r="L235" s="110"/>
      <c r="N235" s="364"/>
    </row>
    <row r="236" spans="1:14" hidden="1" x14ac:dyDescent="0.25">
      <c r="A236" s="374"/>
      <c r="B236" s="721"/>
      <c r="C236" s="722"/>
      <c r="D236" s="722"/>
      <c r="E236" s="722"/>
      <c r="F236" s="1117"/>
      <c r="G236" s="1118"/>
      <c r="H236" s="398"/>
      <c r="I236" s="723"/>
      <c r="J236" s="368"/>
      <c r="K236" s="110"/>
      <c r="L236" s="110"/>
      <c r="N236" s="364"/>
    </row>
    <row r="237" spans="1:14" hidden="1" x14ac:dyDescent="0.25">
      <c r="A237" s="374"/>
      <c r="B237" s="414"/>
      <c r="C237" s="414"/>
      <c r="D237" s="414"/>
      <c r="E237" s="414"/>
      <c r="F237" s="1067"/>
      <c r="G237" s="1068"/>
      <c r="H237" s="399"/>
      <c r="I237" s="228"/>
      <c r="J237" s="368"/>
      <c r="K237" s="110"/>
      <c r="L237" s="110"/>
      <c r="N237" s="364"/>
    </row>
    <row r="238" spans="1:14" hidden="1" x14ac:dyDescent="0.25">
      <c r="A238" s="374"/>
      <c r="B238" s="722"/>
      <c r="C238" s="722"/>
      <c r="D238" s="722"/>
      <c r="E238" s="722"/>
      <c r="F238" s="1117"/>
      <c r="G238" s="1118"/>
      <c r="H238" s="398"/>
      <c r="I238" s="454"/>
      <c r="J238" s="368"/>
      <c r="K238" s="110"/>
      <c r="L238" s="110"/>
      <c r="N238" s="364"/>
    </row>
    <row r="239" spans="1:14" ht="21.75" hidden="1" customHeight="1" x14ac:dyDescent="0.25">
      <c r="A239" s="374"/>
      <c r="B239" s="414"/>
      <c r="C239" s="414"/>
      <c r="D239" s="414"/>
      <c r="E239" s="414"/>
      <c r="F239" s="1067"/>
      <c r="G239" s="1068"/>
      <c r="H239" s="399"/>
      <c r="I239" s="228"/>
      <c r="J239" s="368"/>
      <c r="K239" s="110"/>
      <c r="L239" s="110"/>
      <c r="N239" s="364"/>
    </row>
    <row r="240" spans="1:14" ht="84" hidden="1" customHeight="1" x14ac:dyDescent="0.25">
      <c r="A240" s="374"/>
      <c r="B240" s="414"/>
      <c r="C240" s="414"/>
      <c r="D240" s="414"/>
      <c r="E240" s="414"/>
      <c r="F240" s="1067"/>
      <c r="G240" s="1068"/>
      <c r="H240" s="399"/>
      <c r="I240" s="228"/>
      <c r="J240" s="368"/>
      <c r="K240" s="110">
        <v>0</v>
      </c>
      <c r="L240" s="110">
        <v>0</v>
      </c>
      <c r="N240" s="364"/>
    </row>
    <row r="241" spans="1:12" x14ac:dyDescent="0.25">
      <c r="A241" s="240"/>
      <c r="B241" s="1114" t="s">
        <v>958</v>
      </c>
      <c r="C241" s="1115"/>
      <c r="D241" s="1115"/>
      <c r="E241" s="1115"/>
      <c r="F241" s="1115"/>
      <c r="G241" s="1115"/>
      <c r="H241" s="1115"/>
      <c r="I241" s="1116"/>
      <c r="J241" s="46">
        <f>J243+J244+J245+J246+J252+J242+J251+J253</f>
        <v>0</v>
      </c>
      <c r="K241" s="46">
        <f>K243+K244+K245+K246+K247+K250+K248+K249</f>
        <v>0</v>
      </c>
      <c r="L241" s="46">
        <f>L243+L244+L245+L246+L247+L250+L248+L249</f>
        <v>0</v>
      </c>
    </row>
    <row r="242" spans="1:12" ht="14.25" customHeight="1" x14ac:dyDescent="0.25">
      <c r="A242" s="713"/>
      <c r="B242" s="708"/>
      <c r="C242" s="763"/>
      <c r="D242" s="763"/>
      <c r="E242" s="763"/>
      <c r="F242" s="1067"/>
      <c r="G242" s="1068"/>
      <c r="H242" s="443"/>
      <c r="I242" s="228"/>
      <c r="J242" s="368"/>
      <c r="K242" s="46">
        <v>0</v>
      </c>
      <c r="L242" s="46">
        <v>0</v>
      </c>
    </row>
    <row r="243" spans="1:12" hidden="1" x14ac:dyDescent="0.25">
      <c r="A243" s="1154"/>
      <c r="B243" s="758"/>
      <c r="C243" s="1136"/>
      <c r="D243" s="1136"/>
      <c r="E243" s="1136"/>
      <c r="F243" s="1138"/>
      <c r="G243" s="1139"/>
      <c r="H243" s="544"/>
      <c r="I243" s="1081"/>
      <c r="J243" s="368"/>
      <c r="K243" s="84">
        <v>0</v>
      </c>
      <c r="L243" s="84">
        <v>0</v>
      </c>
    </row>
    <row r="244" spans="1:12" hidden="1" x14ac:dyDescent="0.25">
      <c r="A244" s="1168"/>
      <c r="B244" s="560"/>
      <c r="C244" s="1169"/>
      <c r="D244" s="1169"/>
      <c r="E244" s="1169"/>
      <c r="F244" s="1170"/>
      <c r="G244" s="1171"/>
      <c r="H244" s="399"/>
      <c r="I244" s="1172"/>
      <c r="J244" s="368"/>
      <c r="K244" s="84">
        <v>0</v>
      </c>
      <c r="L244" s="84">
        <v>0</v>
      </c>
    </row>
    <row r="245" spans="1:12" hidden="1" x14ac:dyDescent="0.25">
      <c r="A245" s="1168"/>
      <c r="B245" s="560"/>
      <c r="C245" s="1169"/>
      <c r="D245" s="1169"/>
      <c r="E245" s="1169"/>
      <c r="F245" s="1170"/>
      <c r="G245" s="1171"/>
      <c r="H245" s="399"/>
      <c r="I245" s="1172"/>
      <c r="J245" s="368"/>
      <c r="K245" s="84">
        <v>0</v>
      </c>
      <c r="L245" s="84">
        <v>0</v>
      </c>
    </row>
    <row r="246" spans="1:12" hidden="1" x14ac:dyDescent="0.25">
      <c r="A246" s="1168"/>
      <c r="B246" s="560"/>
      <c r="C246" s="1169"/>
      <c r="D246" s="1169"/>
      <c r="E246" s="1169"/>
      <c r="F246" s="1170"/>
      <c r="G246" s="1171"/>
      <c r="H246" s="392"/>
      <c r="I246" s="1172"/>
      <c r="J246" s="368"/>
      <c r="K246" s="84"/>
      <c r="L246" s="84">
        <v>0</v>
      </c>
    </row>
    <row r="247" spans="1:12" hidden="1" x14ac:dyDescent="0.25">
      <c r="A247" s="1168"/>
      <c r="B247" s="560"/>
      <c r="C247" s="1169"/>
      <c r="D247" s="1169"/>
      <c r="E247" s="1169"/>
      <c r="F247" s="1170"/>
      <c r="G247" s="1171"/>
      <c r="H247" s="415"/>
      <c r="I247" s="1172"/>
      <c r="J247" s="368"/>
      <c r="K247" s="84">
        <v>0</v>
      </c>
      <c r="L247" s="84">
        <v>0</v>
      </c>
    </row>
    <row r="248" spans="1:12" hidden="1" x14ac:dyDescent="0.25">
      <c r="A248" s="1168"/>
      <c r="B248" s="759"/>
      <c r="C248" s="1169"/>
      <c r="D248" s="1169"/>
      <c r="E248" s="1169"/>
      <c r="F248" s="1170"/>
      <c r="G248" s="1171"/>
      <c r="H248" s="415"/>
      <c r="I248" s="1172"/>
      <c r="J248" s="368"/>
      <c r="K248" s="84">
        <v>0</v>
      </c>
      <c r="L248" s="84">
        <v>0</v>
      </c>
    </row>
    <row r="249" spans="1:12" hidden="1" x14ac:dyDescent="0.25">
      <c r="A249" s="1168"/>
      <c r="B249" s="759"/>
      <c r="C249" s="1169"/>
      <c r="D249" s="1169"/>
      <c r="E249" s="1169"/>
      <c r="F249" s="1170"/>
      <c r="G249" s="1171"/>
      <c r="H249" s="415"/>
      <c r="I249" s="1172"/>
      <c r="J249" s="368"/>
      <c r="K249" s="84">
        <v>0</v>
      </c>
      <c r="L249" s="84">
        <v>0</v>
      </c>
    </row>
    <row r="250" spans="1:12" hidden="1" x14ac:dyDescent="0.25">
      <c r="A250" s="1168"/>
      <c r="B250" s="759"/>
      <c r="C250" s="1169"/>
      <c r="D250" s="1169"/>
      <c r="E250" s="1169"/>
      <c r="F250" s="1170"/>
      <c r="G250" s="1171"/>
      <c r="H250" s="415"/>
      <c r="I250" s="1172"/>
      <c r="J250" s="368"/>
      <c r="K250" s="84">
        <v>0</v>
      </c>
      <c r="L250" s="84">
        <v>0</v>
      </c>
    </row>
    <row r="251" spans="1:12" hidden="1" x14ac:dyDescent="0.25">
      <c r="A251" s="1168"/>
      <c r="B251" s="759"/>
      <c r="C251" s="1169"/>
      <c r="D251" s="1169"/>
      <c r="E251" s="1169"/>
      <c r="F251" s="1170"/>
      <c r="G251" s="1171"/>
      <c r="H251" s="399"/>
      <c r="I251" s="1172"/>
      <c r="J251" s="368"/>
      <c r="K251" s="84">
        <v>0</v>
      </c>
      <c r="L251" s="84">
        <v>0</v>
      </c>
    </row>
    <row r="252" spans="1:12" hidden="1" x14ac:dyDescent="0.25">
      <c r="A252" s="1168"/>
      <c r="B252" s="760"/>
      <c r="C252" s="1169"/>
      <c r="D252" s="1169"/>
      <c r="E252" s="1169"/>
      <c r="F252" s="1170"/>
      <c r="G252" s="1171"/>
      <c r="H252" s="712"/>
      <c r="I252" s="1172"/>
      <c r="J252" s="368"/>
      <c r="K252" s="84">
        <v>0</v>
      </c>
      <c r="L252" s="84">
        <v>0</v>
      </c>
    </row>
    <row r="253" spans="1:12" hidden="1" x14ac:dyDescent="0.25">
      <c r="A253" s="1155"/>
      <c r="B253" s="708"/>
      <c r="C253" s="1137"/>
      <c r="D253" s="1137"/>
      <c r="E253" s="1137"/>
      <c r="F253" s="1140"/>
      <c r="G253" s="1141"/>
      <c r="H253" s="399"/>
      <c r="I253" s="1074"/>
      <c r="J253" s="368"/>
      <c r="K253" s="84">
        <v>0</v>
      </c>
      <c r="L253" s="84">
        <v>0</v>
      </c>
    </row>
    <row r="254" spans="1:12" x14ac:dyDescent="0.25">
      <c r="A254" s="240"/>
      <c r="B254" s="1107" t="s">
        <v>959</v>
      </c>
      <c r="C254" s="1108"/>
      <c r="D254" s="1108"/>
      <c r="E254" s="1108"/>
      <c r="F254" s="1108"/>
      <c r="G254" s="1108"/>
      <c r="H254" s="1108"/>
      <c r="I254" s="1109"/>
      <c r="J254" s="727">
        <f>J260</f>
        <v>0</v>
      </c>
      <c r="K254" s="46">
        <f>K255+K256+K257</f>
        <v>0</v>
      </c>
      <c r="L254" s="46">
        <f>L255+L256+L257</f>
        <v>0</v>
      </c>
    </row>
    <row r="255" spans="1:12" ht="15" customHeight="1" x14ac:dyDescent="0.25">
      <c r="A255" s="240"/>
      <c r="B255" s="98"/>
      <c r="C255" s="98"/>
      <c r="D255" s="98"/>
      <c r="E255" s="98"/>
      <c r="F255" s="1110"/>
      <c r="G255" s="1111"/>
      <c r="H255" s="729"/>
      <c r="I255" s="36"/>
      <c r="J255" s="368"/>
      <c r="K255" s="84"/>
      <c r="L255" s="84"/>
    </row>
    <row r="256" spans="1:12" ht="3" hidden="1" customHeight="1" x14ac:dyDescent="0.25">
      <c r="A256" s="767"/>
      <c r="B256" s="98"/>
      <c r="C256" s="98"/>
      <c r="D256" s="98"/>
      <c r="E256" s="98"/>
      <c r="F256" s="98"/>
      <c r="G256" s="730"/>
      <c r="H256" s="37"/>
      <c r="I256" s="36"/>
      <c r="J256" s="368"/>
      <c r="K256" s="84"/>
      <c r="L256" s="84"/>
    </row>
    <row r="257" spans="1:14" hidden="1" x14ac:dyDescent="0.25">
      <c r="A257" s="240"/>
      <c r="B257" s="98"/>
      <c r="C257" s="98"/>
      <c r="D257" s="98"/>
      <c r="E257" s="98"/>
      <c r="F257" s="98"/>
      <c r="G257" s="730"/>
      <c r="H257" s="37"/>
      <c r="I257" s="36"/>
      <c r="J257" s="368"/>
      <c r="K257" s="84"/>
      <c r="L257" s="84"/>
    </row>
    <row r="258" spans="1:14" hidden="1" x14ac:dyDescent="0.25">
      <c r="A258" s="240"/>
      <c r="B258" s="98"/>
      <c r="C258" s="98"/>
      <c r="D258" s="98"/>
      <c r="E258" s="98"/>
      <c r="F258" s="98"/>
      <c r="G258" s="98"/>
      <c r="H258" s="98"/>
      <c r="I258" s="36"/>
      <c r="J258" s="368"/>
      <c r="K258" s="84"/>
      <c r="L258" s="84"/>
    </row>
    <row r="259" spans="1:14" hidden="1" x14ac:dyDescent="0.25">
      <c r="A259" s="240"/>
      <c r="B259" s="765"/>
      <c r="C259" s="133"/>
      <c r="D259" s="133"/>
      <c r="E259" s="133"/>
      <c r="F259" s="133"/>
      <c r="G259" s="133"/>
      <c r="H259" s="133"/>
      <c r="I259" s="36"/>
      <c r="J259" s="368"/>
      <c r="K259" s="84"/>
      <c r="L259" s="84"/>
    </row>
    <row r="260" spans="1:14" hidden="1" x14ac:dyDescent="0.25">
      <c r="A260" s="240"/>
      <c r="B260" s="765"/>
      <c r="C260" s="133"/>
      <c r="D260" s="133"/>
      <c r="E260" s="133"/>
      <c r="F260" s="1110"/>
      <c r="G260" s="1111"/>
      <c r="H260" s="133"/>
      <c r="I260" s="155"/>
      <c r="J260" s="368"/>
      <c r="K260" s="84">
        <v>0</v>
      </c>
      <c r="L260" s="84">
        <v>0</v>
      </c>
    </row>
    <row r="261" spans="1:14" x14ac:dyDescent="0.25">
      <c r="A261" s="240"/>
      <c r="B261" s="1114" t="s">
        <v>960</v>
      </c>
      <c r="C261" s="1115"/>
      <c r="D261" s="1115"/>
      <c r="E261" s="1115"/>
      <c r="F261" s="1115"/>
      <c r="G261" s="1115"/>
      <c r="H261" s="1115"/>
      <c r="I261" s="1116"/>
      <c r="J261" s="46">
        <f>SUM(J267:J269)+J262+J263+J265+J266+J264+J270+J271+J272+J273+J274+J275</f>
        <v>0</v>
      </c>
      <c r="K261" s="46">
        <f>SUM(K267:K269)+K262+K263+K265+K266+K264+K270+K271+K272+K273</f>
        <v>0</v>
      </c>
      <c r="L261" s="46">
        <f>SUM(L267:L269)+L262+L263+L265+L266+L264+L270+L271+L272+L273</f>
        <v>0</v>
      </c>
    </row>
    <row r="262" spans="1:14" ht="121.5" customHeight="1" x14ac:dyDescent="0.25">
      <c r="A262" s="477"/>
      <c r="B262" s="840"/>
      <c r="C262" s="841"/>
      <c r="D262" s="840"/>
      <c r="E262" s="708"/>
      <c r="F262" s="1166"/>
      <c r="G262" s="1167"/>
      <c r="H262" s="841"/>
      <c r="I262" s="228"/>
      <c r="J262" s="368"/>
      <c r="K262" s="41">
        <v>0</v>
      </c>
      <c r="L262" s="41">
        <v>0</v>
      </c>
    </row>
    <row r="263" spans="1:14" ht="7.5" hidden="1" customHeight="1" x14ac:dyDescent="0.25">
      <c r="A263" s="477"/>
      <c r="B263" s="763"/>
      <c r="C263" s="763"/>
      <c r="D263" s="763"/>
      <c r="E263" s="763"/>
      <c r="F263" s="1067"/>
      <c r="G263" s="1068"/>
      <c r="H263" s="443"/>
      <c r="I263" s="768"/>
      <c r="J263" s="368"/>
      <c r="K263" s="41">
        <v>0</v>
      </c>
      <c r="L263" s="41">
        <v>0</v>
      </c>
      <c r="N263" s="710"/>
    </row>
    <row r="264" spans="1:14" hidden="1" x14ac:dyDescent="0.25">
      <c r="A264" s="504"/>
      <c r="B264" s="421"/>
      <c r="C264" s="421"/>
      <c r="D264" s="421"/>
      <c r="E264" s="421"/>
      <c r="F264" s="1164"/>
      <c r="G264" s="1165"/>
      <c r="H264" s="476"/>
      <c r="I264" s="505"/>
      <c r="J264" s="368"/>
      <c r="K264" s="368"/>
      <c r="L264" s="368"/>
    </row>
    <row r="265" spans="1:14" hidden="1" x14ac:dyDescent="0.25">
      <c r="A265" s="477"/>
      <c r="B265" s="421"/>
      <c r="C265" s="421"/>
      <c r="D265" s="421"/>
      <c r="E265" s="421"/>
      <c r="F265" s="1067"/>
      <c r="G265" s="1068"/>
      <c r="H265" s="476"/>
      <c r="I265" s="460"/>
      <c r="J265" s="368"/>
      <c r="K265" s="41"/>
      <c r="L265" s="41"/>
    </row>
    <row r="266" spans="1:14" hidden="1" x14ac:dyDescent="0.25">
      <c r="A266" s="504"/>
      <c r="B266" s="421"/>
      <c r="C266" s="421"/>
      <c r="D266" s="421"/>
      <c r="E266" s="421"/>
      <c r="F266" s="1067"/>
      <c r="G266" s="1068"/>
      <c r="H266" s="476"/>
      <c r="I266" s="460"/>
      <c r="J266" s="368"/>
      <c r="K266" s="41"/>
      <c r="L266" s="41"/>
    </row>
    <row r="267" spans="1:14" s="1" customFormat="1" hidden="1" x14ac:dyDescent="0.25">
      <c r="A267" s="477"/>
      <c r="B267" s="543"/>
      <c r="C267" s="543"/>
      <c r="D267" s="543"/>
      <c r="E267" s="543"/>
      <c r="F267" s="1069"/>
      <c r="G267" s="1070"/>
      <c r="H267" s="544"/>
      <c r="I267" s="228"/>
      <c r="J267" s="368"/>
      <c r="K267" s="84"/>
      <c r="L267" s="84"/>
    </row>
    <row r="268" spans="1:14" s="1" customFormat="1" hidden="1" x14ac:dyDescent="0.25">
      <c r="A268" s="504"/>
      <c r="B268" s="543"/>
      <c r="C268" s="543"/>
      <c r="D268" s="543"/>
      <c r="E268" s="543"/>
      <c r="F268" s="1069"/>
      <c r="G268" s="1070"/>
      <c r="H268" s="391"/>
      <c r="I268" s="375"/>
      <c r="J268" s="368"/>
      <c r="K268" s="84"/>
      <c r="L268" s="84"/>
    </row>
    <row r="269" spans="1:14" hidden="1" x14ac:dyDescent="0.25">
      <c r="A269" s="430"/>
      <c r="B269" s="391"/>
      <c r="C269" s="391"/>
      <c r="D269" s="391"/>
      <c r="E269" s="391"/>
      <c r="F269" s="1065"/>
      <c r="G269" s="1066"/>
      <c r="H269" s="391"/>
      <c r="I269" s="457"/>
      <c r="J269" s="368"/>
      <c r="K269" s="369"/>
      <c r="L269" s="369"/>
    </row>
    <row r="270" spans="1:14" hidden="1" x14ac:dyDescent="0.25">
      <c r="A270" s="430"/>
      <c r="B270" s="349"/>
      <c r="C270" s="349"/>
      <c r="D270" s="349"/>
      <c r="E270" s="349"/>
      <c r="F270" s="1119"/>
      <c r="G270" s="1120"/>
      <c r="H270" s="349"/>
      <c r="I270" s="378"/>
      <c r="J270" s="368"/>
      <c r="K270" s="84"/>
      <c r="L270" s="84"/>
    </row>
    <row r="271" spans="1:14" hidden="1" x14ac:dyDescent="0.25">
      <c r="A271" s="430"/>
      <c r="B271" s="349"/>
      <c r="C271" s="349"/>
      <c r="D271" s="349"/>
      <c r="E271" s="349"/>
      <c r="F271" s="1119"/>
      <c r="G271" s="1120"/>
      <c r="H271" s="349"/>
      <c r="I271" s="378"/>
      <c r="J271" s="368"/>
      <c r="K271" s="84">
        <v>0</v>
      </c>
      <c r="L271" s="84">
        <v>0</v>
      </c>
    </row>
    <row r="272" spans="1:14" hidden="1" x14ac:dyDescent="0.25">
      <c r="A272" s="380"/>
      <c r="B272" s="423"/>
      <c r="C272" s="423"/>
      <c r="D272" s="423"/>
      <c r="E272" s="423"/>
      <c r="F272" s="1121"/>
      <c r="G272" s="1122"/>
      <c r="H272" s="423"/>
      <c r="I272" s="442"/>
      <c r="J272" s="368"/>
      <c r="K272" s="84">
        <v>0</v>
      </c>
      <c r="L272" s="84">
        <v>0</v>
      </c>
    </row>
    <row r="273" spans="1:12" hidden="1" x14ac:dyDescent="0.25">
      <c r="A273" s="387"/>
      <c r="B273" s="423"/>
      <c r="C273" s="423"/>
      <c r="D273" s="423"/>
      <c r="E273" s="423"/>
      <c r="F273" s="1121"/>
      <c r="G273" s="1122"/>
      <c r="H273" s="423"/>
      <c r="I273" s="228"/>
      <c r="J273" s="368"/>
      <c r="K273" s="84">
        <v>0</v>
      </c>
      <c r="L273" s="84">
        <v>0</v>
      </c>
    </row>
    <row r="274" spans="1:12" ht="78.75" customHeight="1" x14ac:dyDescent="0.25">
      <c r="A274" s="380"/>
      <c r="B274" s="423"/>
      <c r="C274" s="423"/>
      <c r="D274" s="423"/>
      <c r="E274" s="423"/>
      <c r="F274" s="1121"/>
      <c r="G274" s="1122"/>
      <c r="H274" s="844"/>
      <c r="I274" s="381"/>
      <c r="J274" s="368"/>
      <c r="K274" s="84">
        <v>0</v>
      </c>
      <c r="L274" s="84">
        <v>0</v>
      </c>
    </row>
    <row r="275" spans="1:12" ht="109.5" customHeight="1" x14ac:dyDescent="0.25">
      <c r="A275" s="380"/>
      <c r="B275" s="349"/>
      <c r="C275" s="349"/>
      <c r="D275" s="349"/>
      <c r="E275" s="349"/>
      <c r="F275" s="1119"/>
      <c r="G275" s="1120"/>
      <c r="H275" s="417"/>
      <c r="I275" s="845"/>
      <c r="J275" s="368"/>
      <c r="K275" s="84">
        <v>0</v>
      </c>
      <c r="L275" s="84">
        <v>0</v>
      </c>
    </row>
    <row r="276" spans="1:12" x14ac:dyDescent="0.25">
      <c r="A276" s="240"/>
      <c r="B276" s="1123" t="s">
        <v>961</v>
      </c>
      <c r="C276" s="1124"/>
      <c r="D276" s="1124"/>
      <c r="E276" s="1124"/>
      <c r="F276" s="1124"/>
      <c r="G276" s="1124"/>
      <c r="H276" s="1124"/>
      <c r="I276" s="1125"/>
      <c r="J276" s="46">
        <f>J280+J279+J278+J277</f>
        <v>0</v>
      </c>
      <c r="K276" s="46">
        <f>K280+K279+K278+K277</f>
        <v>0</v>
      </c>
      <c r="L276" s="46">
        <f>L280+L279+L278+L277</f>
        <v>0</v>
      </c>
    </row>
    <row r="277" spans="1:12" ht="12.75" customHeight="1" x14ac:dyDescent="0.25">
      <c r="A277" s="348"/>
      <c r="B277" s="391"/>
      <c r="C277" s="391"/>
      <c r="D277" s="391"/>
      <c r="E277" s="391"/>
      <c r="F277" s="1065"/>
      <c r="G277" s="1066"/>
      <c r="H277" s="399"/>
      <c r="I277" s="228"/>
      <c r="J277" s="368"/>
      <c r="K277" s="84">
        <v>0</v>
      </c>
      <c r="L277" s="84">
        <v>0</v>
      </c>
    </row>
    <row r="278" spans="1:12" ht="0.75" hidden="1" customHeight="1" x14ac:dyDescent="0.25">
      <c r="A278" s="348"/>
      <c r="B278" s="391"/>
      <c r="C278" s="391"/>
      <c r="D278" s="391"/>
      <c r="E278" s="391"/>
      <c r="F278" s="1065"/>
      <c r="G278" s="1066"/>
      <c r="H278" s="391"/>
      <c r="I278" s="228"/>
      <c r="J278" s="368"/>
      <c r="K278" s="84">
        <v>0</v>
      </c>
      <c r="L278" s="84">
        <v>0</v>
      </c>
    </row>
    <row r="279" spans="1:12" hidden="1" x14ac:dyDescent="0.25">
      <c r="A279" s="82"/>
      <c r="B279" s="391"/>
      <c r="C279" s="391"/>
      <c r="D279" s="391"/>
      <c r="E279" s="391"/>
      <c r="F279" s="1065"/>
      <c r="G279" s="1066"/>
      <c r="H279" s="391"/>
      <c r="I279" s="375"/>
      <c r="J279" s="368"/>
      <c r="K279" s="84">
        <v>0</v>
      </c>
      <c r="L279" s="84">
        <v>0</v>
      </c>
    </row>
    <row r="280" spans="1:12" hidden="1" x14ac:dyDescent="0.25">
      <c r="A280" s="82"/>
      <c r="B280" s="764"/>
      <c r="C280" s="763"/>
      <c r="D280" s="763"/>
      <c r="E280" s="763"/>
      <c r="F280" s="1067"/>
      <c r="G280" s="1068"/>
      <c r="H280" s="416"/>
      <c r="I280" s="228"/>
      <c r="J280" s="368"/>
      <c r="K280" s="84">
        <v>0</v>
      </c>
      <c r="L280" s="84">
        <v>0</v>
      </c>
    </row>
    <row r="281" spans="1:12" x14ac:dyDescent="0.25">
      <c r="A281" s="82"/>
      <c r="B281" s="1123" t="s">
        <v>962</v>
      </c>
      <c r="C281" s="1124"/>
      <c r="D281" s="1124"/>
      <c r="E281" s="1124"/>
      <c r="F281" s="1124"/>
      <c r="G281" s="1124"/>
      <c r="H281" s="1124"/>
      <c r="I281" s="1125"/>
      <c r="J281" s="46">
        <f>J283+J284</f>
        <v>0</v>
      </c>
      <c r="K281" s="46">
        <f>K282</f>
        <v>0</v>
      </c>
      <c r="L281" s="46">
        <f>L282</f>
        <v>0</v>
      </c>
    </row>
    <row r="282" spans="1:12" x14ac:dyDescent="0.25">
      <c r="A282" s="370"/>
      <c r="B282" s="349"/>
      <c r="C282" s="349"/>
      <c r="D282" s="349"/>
      <c r="E282" s="349"/>
      <c r="F282" s="1119"/>
      <c r="G282" s="1120"/>
      <c r="H282" s="349"/>
      <c r="I282" s="400"/>
      <c r="J282" s="41"/>
      <c r="K282" s="84"/>
      <c r="L282" s="84"/>
    </row>
    <row r="283" spans="1:12" ht="2.25" hidden="1" customHeight="1" x14ac:dyDescent="0.25">
      <c r="A283" s="370"/>
      <c r="B283" s="425"/>
      <c r="C283" s="425"/>
      <c r="D283" s="425"/>
      <c r="E283" s="425"/>
      <c r="F283" s="1131"/>
      <c r="G283" s="1132"/>
      <c r="H283" s="425"/>
      <c r="I283" s="426"/>
      <c r="J283" s="427"/>
      <c r="K283" s="84">
        <v>0</v>
      </c>
      <c r="L283" s="84">
        <v>0</v>
      </c>
    </row>
    <row r="284" spans="1:12" hidden="1" x14ac:dyDescent="0.25">
      <c r="A284" s="370"/>
      <c r="B284" s="349"/>
      <c r="C284" s="349"/>
      <c r="D284" s="349"/>
      <c r="E284" s="349"/>
      <c r="F284" s="1119"/>
      <c r="G284" s="1120"/>
      <c r="H284" s="349"/>
      <c r="I284" s="400"/>
      <c r="J284" s="41"/>
      <c r="K284" s="84"/>
      <c r="L284" s="84"/>
    </row>
    <row r="285" spans="1:12" s="1" customFormat="1" x14ac:dyDescent="0.25">
      <c r="A285" s="26"/>
      <c r="B285" s="1133" t="s">
        <v>963</v>
      </c>
      <c r="C285" s="1134"/>
      <c r="D285" s="1134"/>
      <c r="E285" s="1134"/>
      <c r="F285" s="1134"/>
      <c r="G285" s="1134"/>
      <c r="H285" s="1134"/>
      <c r="I285" s="1135"/>
      <c r="J285" s="46">
        <f>SUM(J286:J294)</f>
        <v>0</v>
      </c>
      <c r="K285" s="46">
        <f>SUM(K286:K294)</f>
        <v>0</v>
      </c>
      <c r="L285" s="46">
        <f>SUM(L286:L294)</f>
        <v>0</v>
      </c>
    </row>
    <row r="286" spans="1:12" s="1" customFormat="1" ht="130.5" customHeight="1" x14ac:dyDescent="0.25">
      <c r="A286" s="380"/>
      <c r="B286" s="391"/>
      <c r="C286" s="391"/>
      <c r="D286" s="391"/>
      <c r="E286" s="391"/>
      <c r="F286" s="1065"/>
      <c r="G286" s="1066"/>
      <c r="H286" s="391"/>
      <c r="I286" s="420"/>
      <c r="J286" s="368"/>
      <c r="K286" s="110">
        <v>0</v>
      </c>
      <c r="L286" s="110">
        <v>0</v>
      </c>
    </row>
    <row r="287" spans="1:12" s="1" customFormat="1" ht="5.25" hidden="1" customHeight="1" x14ac:dyDescent="0.25">
      <c r="A287" s="428"/>
      <c r="B287" s="349"/>
      <c r="C287" s="349"/>
      <c r="D287" s="349"/>
      <c r="E287" s="349"/>
      <c r="F287" s="1119"/>
      <c r="G287" s="1120"/>
      <c r="H287" s="349"/>
      <c r="I287" s="400"/>
      <c r="J287" s="110"/>
      <c r="K287" s="429"/>
      <c r="L287" s="110"/>
    </row>
    <row r="288" spans="1:12" s="1" customFormat="1" hidden="1" x14ac:dyDescent="0.25">
      <c r="A288" s="430"/>
      <c r="B288" s="349"/>
      <c r="C288" s="349"/>
      <c r="D288" s="349"/>
      <c r="E288" s="349"/>
      <c r="F288" s="349"/>
      <c r="G288" s="349"/>
      <c r="H288" s="349"/>
      <c r="I288" s="36"/>
      <c r="J288" s="41"/>
      <c r="K288" s="110"/>
      <c r="L288" s="110"/>
    </row>
    <row r="289" spans="1:12" hidden="1" x14ac:dyDescent="0.25">
      <c r="A289" s="430"/>
      <c r="B289" s="349"/>
      <c r="C289" s="349"/>
      <c r="D289" s="349"/>
      <c r="E289" s="349"/>
      <c r="F289" s="349"/>
      <c r="G289" s="349"/>
      <c r="H289" s="349"/>
      <c r="I289" s="400"/>
      <c r="J289" s="41"/>
      <c r="K289" s="84"/>
      <c r="L289" s="84"/>
    </row>
    <row r="290" spans="1:12" ht="14.25" hidden="1" customHeight="1" x14ac:dyDescent="0.25">
      <c r="A290" s="78"/>
      <c r="B290" s="349"/>
      <c r="C290" s="349"/>
      <c r="D290" s="349"/>
      <c r="E290" s="349"/>
      <c r="F290" s="349"/>
      <c r="G290" s="349"/>
      <c r="H290" s="349"/>
      <c r="I290" s="431"/>
      <c r="J290" s="41"/>
      <c r="K290" s="84"/>
      <c r="L290" s="84"/>
    </row>
    <row r="291" spans="1:12" ht="14.25" hidden="1" customHeight="1" x14ac:dyDescent="0.25">
      <c r="A291" s="78"/>
      <c r="B291" s="349"/>
      <c r="C291" s="349"/>
      <c r="D291" s="349"/>
      <c r="E291" s="349"/>
      <c r="F291" s="349"/>
      <c r="G291" s="349"/>
      <c r="H291" s="349"/>
      <c r="I291" s="400"/>
      <c r="J291" s="41"/>
      <c r="K291" s="84"/>
      <c r="L291" s="84"/>
    </row>
    <row r="292" spans="1:12" ht="24.75" hidden="1" customHeight="1" x14ac:dyDescent="0.25">
      <c r="A292" s="78"/>
      <c r="B292" s="349"/>
      <c r="C292" s="349"/>
      <c r="D292" s="349"/>
      <c r="E292" s="349"/>
      <c r="F292" s="349"/>
      <c r="G292" s="349"/>
      <c r="H292" s="349"/>
      <c r="I292" s="400"/>
      <c r="J292" s="41"/>
      <c r="K292" s="84"/>
      <c r="L292" s="84"/>
    </row>
    <row r="293" spans="1:12" ht="18" hidden="1" customHeight="1" x14ac:dyDescent="0.25">
      <c r="A293" s="78"/>
      <c r="B293" s="349"/>
      <c r="C293" s="349"/>
      <c r="D293" s="349"/>
      <c r="E293" s="349"/>
      <c r="F293" s="1119"/>
      <c r="G293" s="1120"/>
      <c r="H293" s="349"/>
      <c r="I293" s="400"/>
      <c r="J293" s="41"/>
      <c r="K293" s="84"/>
      <c r="L293" s="84"/>
    </row>
    <row r="294" spans="1:12" x14ac:dyDescent="0.25">
      <c r="A294" s="432"/>
      <c r="B294" s="433"/>
      <c r="C294" s="433"/>
      <c r="D294" s="433"/>
      <c r="E294" s="433"/>
      <c r="F294" s="1127"/>
      <c r="G294" s="1128"/>
      <c r="H294" s="433"/>
      <c r="I294" s="434"/>
      <c r="J294" s="435"/>
      <c r="K294" s="436"/>
      <c r="L294" s="436"/>
    </row>
    <row r="295" spans="1:12" x14ac:dyDescent="0.25">
      <c r="A295" s="78"/>
      <c r="B295" s="349"/>
      <c r="C295" s="349"/>
      <c r="D295" s="349"/>
      <c r="E295" s="349"/>
      <c r="F295" s="1119"/>
      <c r="G295" s="1120"/>
      <c r="H295" s="349"/>
      <c r="I295" s="400"/>
      <c r="J295" s="41"/>
      <c r="K295" s="84"/>
      <c r="L295" s="84"/>
    </row>
    <row r="296" spans="1:12" x14ac:dyDescent="0.25">
      <c r="A296" s="82"/>
      <c r="B296" s="1097" t="s">
        <v>964</v>
      </c>
      <c r="C296" s="1098"/>
      <c r="D296" s="1098"/>
      <c r="E296" s="1098"/>
      <c r="F296" s="1098"/>
      <c r="G296" s="1098"/>
      <c r="H296" s="1098"/>
      <c r="I296" s="1099"/>
      <c r="J296" s="46">
        <f>J285+J261+J254+J241+J194+J173+J152+J124+J191+J276+J281+J155+J295</f>
        <v>0</v>
      </c>
      <c r="K296" s="46">
        <f>K285+K261+K254+K241+K194+K173+K152+K124+K191+K276+K281+K155+K295</f>
        <v>0</v>
      </c>
      <c r="L296" s="46">
        <f>L285+L261+L254+L241+L194+L173+L152+L124+L191+L276+L281+L155+L295</f>
        <v>0</v>
      </c>
    </row>
    <row r="297" spans="1:12" x14ac:dyDescent="0.25">
      <c r="I297" s="673"/>
      <c r="J297" s="64"/>
    </row>
    <row r="298" spans="1:12" x14ac:dyDescent="0.25">
      <c r="I298" s="673"/>
      <c r="J298" s="64"/>
    </row>
    <row r="299" spans="1:12" x14ac:dyDescent="0.25">
      <c r="I299" s="673"/>
      <c r="J299" s="64"/>
    </row>
    <row r="300" spans="1:12" s="1" customFormat="1" ht="30.75" customHeight="1" x14ac:dyDescent="0.25">
      <c r="A300" s="1129" t="s">
        <v>1515</v>
      </c>
      <c r="B300" s="1129"/>
      <c r="C300" s="1129"/>
      <c r="D300" s="1129"/>
      <c r="E300" s="1129"/>
      <c r="F300" s="1129"/>
      <c r="G300" s="1129"/>
      <c r="H300" s="1129"/>
      <c r="I300" s="976" t="s">
        <v>1516</v>
      </c>
      <c r="J300" s="976"/>
    </row>
    <row r="302" spans="1:12" ht="9" customHeight="1" x14ac:dyDescent="0.25"/>
    <row r="303" spans="1:12" x14ac:dyDescent="0.25">
      <c r="A303" s="1" t="s">
        <v>967</v>
      </c>
    </row>
    <row r="304" spans="1:12" ht="14.25" customHeight="1" x14ac:dyDescent="0.25">
      <c r="A304" s="1130" t="s">
        <v>968</v>
      </c>
      <c r="B304" s="1130"/>
    </row>
    <row r="305" spans="2:14" hidden="1" x14ac:dyDescent="0.25">
      <c r="B305" s="3"/>
      <c r="C305" s="76"/>
      <c r="D305" s="76"/>
      <c r="E305" s="76"/>
      <c r="F305" s="76"/>
      <c r="G305" s="76"/>
      <c r="H305" s="76"/>
      <c r="I305" s="76"/>
      <c r="J305" s="76" t="s">
        <v>969</v>
      </c>
      <c r="K305" s="364">
        <f>П2ДОХОДЫ!E170</f>
        <v>782475604.05999994</v>
      </c>
      <c r="N305" s="364"/>
    </row>
    <row r="306" spans="2:14" ht="6" hidden="1" customHeight="1" x14ac:dyDescent="0.25">
      <c r="B306" s="1126"/>
      <c r="C306" s="1126"/>
      <c r="D306" s="1126"/>
      <c r="E306" s="1126"/>
      <c r="F306" s="1126"/>
      <c r="G306" s="1126"/>
      <c r="H306" s="1126"/>
      <c r="I306" s="1126"/>
      <c r="J306" s="437"/>
    </row>
    <row r="307" spans="2:14" hidden="1" x14ac:dyDescent="0.25">
      <c r="B307" s="976" t="s">
        <v>970</v>
      </c>
      <c r="C307" s="976"/>
      <c r="D307" s="976"/>
      <c r="E307" s="976"/>
      <c r="F307" s="976"/>
      <c r="G307" s="976"/>
      <c r="H307" s="976"/>
      <c r="I307" s="976"/>
      <c r="J307" s="5">
        <f>J308+J309+J310+J311</f>
        <v>0</v>
      </c>
      <c r="K307" s="5" t="e">
        <f>#REF!</f>
        <v>#REF!</v>
      </c>
      <c r="L307" s="5" t="e">
        <f>#REF!</f>
        <v>#REF!</v>
      </c>
    </row>
    <row r="308" spans="2:14" hidden="1" x14ac:dyDescent="0.25">
      <c r="B308" s="761"/>
      <c r="C308" s="761"/>
      <c r="D308" s="761"/>
      <c r="E308" s="761"/>
      <c r="F308" s="761"/>
      <c r="G308" s="761"/>
      <c r="H308" s="761"/>
      <c r="I308" s="438" t="s">
        <v>15</v>
      </c>
      <c r="J308" s="5"/>
      <c r="K308" s="5"/>
      <c r="L308" s="5"/>
    </row>
    <row r="309" spans="2:14" hidden="1" x14ac:dyDescent="0.25">
      <c r="B309" s="761"/>
      <c r="C309" s="761"/>
      <c r="D309" s="761"/>
      <c r="E309" s="761"/>
      <c r="F309" s="761"/>
      <c r="G309" s="761"/>
      <c r="H309" s="761"/>
      <c r="I309" s="438" t="s">
        <v>16</v>
      </c>
      <c r="J309" s="5"/>
      <c r="K309" s="5"/>
      <c r="L309" s="5"/>
    </row>
    <row r="310" spans="2:14" hidden="1" x14ac:dyDescent="0.25">
      <c r="B310" s="761"/>
      <c r="C310" s="761"/>
      <c r="D310" s="761"/>
      <c r="E310" s="761"/>
      <c r="F310" s="761"/>
      <c r="G310" s="761"/>
      <c r="H310" s="761"/>
      <c r="I310" s="438" t="s">
        <v>18</v>
      </c>
      <c r="J310" s="5"/>
      <c r="K310" s="5"/>
      <c r="L310" s="5"/>
    </row>
    <row r="311" spans="2:14" hidden="1" x14ac:dyDescent="0.25">
      <c r="B311" s="761"/>
      <c r="C311" s="761"/>
      <c r="D311" s="761"/>
      <c r="E311" s="761"/>
      <c r="F311" s="761"/>
      <c r="G311" s="761"/>
      <c r="H311" s="761"/>
      <c r="I311" s="438" t="s">
        <v>19</v>
      </c>
      <c r="J311" s="5"/>
      <c r="K311" s="5"/>
      <c r="L311" s="5"/>
    </row>
    <row r="312" spans="2:14" hidden="1" x14ac:dyDescent="0.25">
      <c r="B312" s="976" t="s">
        <v>971</v>
      </c>
      <c r="C312" s="976"/>
      <c r="D312" s="976"/>
      <c r="E312" s="976"/>
      <c r="F312" s="976"/>
      <c r="G312" s="976"/>
      <c r="H312" s="976"/>
      <c r="I312" s="976"/>
      <c r="J312" s="5">
        <f>J313+J314+J315+J316</f>
        <v>0</v>
      </c>
      <c r="K312" s="5" t="e">
        <f>K7+K8+#REF!+#REF!+#REF!+#REF!+#REF!+#REF!+#REF!+#REF!+#REF!+#REF!+#REF!+#REF!</f>
        <v>#REF!</v>
      </c>
      <c r="L312" s="5" t="e">
        <f>L7+L8+#REF!+#REF!+#REF!+#REF!+#REF!+#REF!+#REF!+#REF!+#REF!+#REF!+#REF!+#REF!</f>
        <v>#REF!</v>
      </c>
    </row>
    <row r="313" spans="2:14" hidden="1" x14ac:dyDescent="0.25">
      <c r="B313" s="761"/>
      <c r="C313" s="761"/>
      <c r="D313" s="761"/>
      <c r="E313" s="761"/>
      <c r="F313" s="761"/>
      <c r="G313" s="761"/>
      <c r="H313" s="761"/>
      <c r="I313" s="438" t="s">
        <v>15</v>
      </c>
      <c r="J313" s="5">
        <f>J7+J8</f>
        <v>0</v>
      </c>
      <c r="K313" s="5"/>
      <c r="L313" s="5"/>
    </row>
    <row r="314" spans="2:14" hidden="1" x14ac:dyDescent="0.25">
      <c r="B314" s="761"/>
      <c r="C314" s="761"/>
      <c r="D314" s="761"/>
      <c r="E314" s="761"/>
      <c r="F314" s="761"/>
      <c r="G314" s="761"/>
      <c r="H314" s="761"/>
      <c r="I314" s="438" t="s">
        <v>16</v>
      </c>
      <c r="J314" s="5">
        <f>J10</f>
        <v>0</v>
      </c>
      <c r="K314" s="5"/>
      <c r="L314" s="5"/>
    </row>
    <row r="315" spans="2:14" hidden="1" x14ac:dyDescent="0.25">
      <c r="B315" s="761"/>
      <c r="C315" s="761"/>
      <c r="D315" s="761"/>
      <c r="E315" s="761"/>
      <c r="F315" s="761"/>
      <c r="G315" s="761"/>
      <c r="H315" s="761"/>
      <c r="I315" s="438" t="s">
        <v>18</v>
      </c>
      <c r="J315" s="5">
        <v>0</v>
      </c>
      <c r="K315" s="5"/>
      <c r="L315" s="5"/>
    </row>
    <row r="316" spans="2:14" hidden="1" x14ac:dyDescent="0.25">
      <c r="B316" s="761"/>
      <c r="C316" s="761"/>
      <c r="D316" s="761"/>
      <c r="E316" s="761"/>
      <c r="F316" s="761"/>
      <c r="G316" s="761"/>
      <c r="H316" s="761"/>
      <c r="I316" s="438" t="s">
        <v>19</v>
      </c>
      <c r="J316" s="5">
        <v>0</v>
      </c>
      <c r="K316" s="5"/>
      <c r="L316" s="5"/>
    </row>
    <row r="317" spans="2:14" hidden="1" x14ac:dyDescent="0.25">
      <c r="B317" s="976" t="s">
        <v>260</v>
      </c>
      <c r="C317" s="976"/>
      <c r="D317" s="976"/>
      <c r="E317" s="976"/>
      <c r="F317" s="976"/>
      <c r="G317" s="976"/>
      <c r="H317" s="976"/>
      <c r="I317" s="976"/>
      <c r="J317" s="5">
        <f>SUM(J307:J312)</f>
        <v>0</v>
      </c>
      <c r="K317" s="5" t="e">
        <f>SUM(K307:K312)</f>
        <v>#REF!</v>
      </c>
      <c r="L317" s="5" t="e">
        <f>SUM(L307:L312)</f>
        <v>#REF!</v>
      </c>
    </row>
    <row r="318" spans="2:14" hidden="1" x14ac:dyDescent="0.25">
      <c r="B318" s="1126" t="s">
        <v>948</v>
      </c>
      <c r="C318" s="1126"/>
      <c r="D318" s="1126"/>
      <c r="E318" s="1126"/>
      <c r="F318" s="1126"/>
      <c r="G318" s="1126"/>
      <c r="H318" s="1126"/>
      <c r="I318" s="1126"/>
      <c r="J318" s="437"/>
    </row>
    <row r="319" spans="2:14" hidden="1" x14ac:dyDescent="0.25">
      <c r="B319" s="976" t="s">
        <v>972</v>
      </c>
      <c r="C319" s="976"/>
      <c r="D319" s="976"/>
      <c r="E319" s="976"/>
      <c r="F319" s="976"/>
      <c r="G319" s="976"/>
      <c r="H319" s="976"/>
      <c r="I319" s="976"/>
      <c r="J319" s="5">
        <v>0</v>
      </c>
      <c r="K319" s="5">
        <f>K113+K115</f>
        <v>0</v>
      </c>
      <c r="L319" s="5">
        <f>L113+L115</f>
        <v>0</v>
      </c>
    </row>
    <row r="320" spans="2:14" hidden="1" x14ac:dyDescent="0.25">
      <c r="B320" s="976" t="s">
        <v>973</v>
      </c>
      <c r="C320" s="976"/>
      <c r="D320" s="976"/>
      <c r="E320" s="976"/>
      <c r="F320" s="976"/>
      <c r="G320" s="976"/>
      <c r="H320" s="976"/>
      <c r="I320" s="976"/>
      <c r="J320" s="5">
        <f>J113</f>
        <v>0</v>
      </c>
      <c r="K320" s="5"/>
      <c r="L320" s="5"/>
    </row>
    <row r="321" spans="2:12" hidden="1" x14ac:dyDescent="0.25">
      <c r="B321" s="976" t="s">
        <v>974</v>
      </c>
      <c r="C321" s="976"/>
      <c r="D321" s="976"/>
      <c r="E321" s="976"/>
      <c r="F321" s="976"/>
      <c r="G321" s="976"/>
      <c r="H321" s="976"/>
      <c r="I321" s="976"/>
      <c r="J321" s="5">
        <f>J114</f>
        <v>0</v>
      </c>
      <c r="K321" s="5">
        <f>K114</f>
        <v>0</v>
      </c>
      <c r="L321" s="5">
        <f>L114</f>
        <v>0</v>
      </c>
    </row>
    <row r="322" spans="2:12" hidden="1" x14ac:dyDescent="0.25">
      <c r="B322" s="976" t="s">
        <v>260</v>
      </c>
      <c r="C322" s="976"/>
      <c r="D322" s="976"/>
      <c r="E322" s="976"/>
      <c r="F322" s="976"/>
      <c r="G322" s="976"/>
      <c r="H322" s="976"/>
      <c r="I322" s="976"/>
      <c r="J322" s="5">
        <f>SUM(J319:J321)</f>
        <v>0</v>
      </c>
      <c r="K322" s="5">
        <f>SUM(K319:K321)</f>
        <v>0</v>
      </c>
      <c r="L322" s="5">
        <f>SUM(L319:L321)</f>
        <v>0</v>
      </c>
    </row>
    <row r="323" spans="2:12" hidden="1" x14ac:dyDescent="0.25">
      <c r="B323" s="1126" t="s">
        <v>950</v>
      </c>
      <c r="C323" s="1126"/>
      <c r="D323" s="1126"/>
      <c r="E323" s="1126"/>
      <c r="F323" s="1126"/>
      <c r="G323" s="1126"/>
      <c r="H323" s="1126"/>
      <c r="I323" s="1126"/>
      <c r="J323" s="437"/>
    </row>
    <row r="324" spans="2:12" hidden="1" x14ac:dyDescent="0.25">
      <c r="B324" s="976" t="s">
        <v>975</v>
      </c>
      <c r="C324" s="976"/>
      <c r="D324" s="976"/>
      <c r="E324" s="976"/>
      <c r="F324" s="976"/>
      <c r="G324" s="976"/>
      <c r="H324" s="976"/>
      <c r="I324" s="976"/>
      <c r="J324" s="64" t="e">
        <f>#REF!+#REF!+#REF!+#REF!+#REF!+J125+#REF!+#REF!+J277+J278+J279+#REF!+J126+J127+J174+J175+J133+J267+J176+#REF!</f>
        <v>#REF!</v>
      </c>
      <c r="K324" s="64" t="e">
        <f>#REF!+#REF!+#REF!+K125+K153+#REF!+#REF!+#REF!+K174+K175</f>
        <v>#REF!</v>
      </c>
      <c r="L324" s="64" t="e">
        <f>#REF!+#REF!+#REF!+L125+L153+#REF!+#REF!+#REF!+L174+L175</f>
        <v>#REF!</v>
      </c>
    </row>
    <row r="325" spans="2:12" hidden="1" x14ac:dyDescent="0.25">
      <c r="B325" s="976" t="s">
        <v>976</v>
      </c>
      <c r="C325" s="976"/>
      <c r="D325" s="976"/>
      <c r="E325" s="976"/>
      <c r="F325" s="976"/>
      <c r="G325" s="976"/>
      <c r="H325" s="976"/>
      <c r="I325" s="976"/>
      <c r="J325" s="64">
        <f>J281</f>
        <v>0</v>
      </c>
      <c r="K325" s="64">
        <f>K295+K286</f>
        <v>0</v>
      </c>
      <c r="L325" s="64">
        <f>L295+L286</f>
        <v>0</v>
      </c>
    </row>
    <row r="326" spans="2:12" hidden="1" x14ac:dyDescent="0.25">
      <c r="B326" s="976" t="s">
        <v>977</v>
      </c>
      <c r="C326" s="976"/>
      <c r="D326" s="976"/>
      <c r="E326" s="976"/>
      <c r="F326" s="976"/>
      <c r="G326" s="976"/>
      <c r="H326" s="976"/>
      <c r="I326" s="976"/>
      <c r="J326" s="64">
        <f>J195+J196+J197</f>
        <v>0</v>
      </c>
      <c r="K326" s="64">
        <f>K198+K197+K196+K201+K202+K203+K204+K205+K206+K207+K208+K209+K211+K212+K213+K214+K215+K216+K217+K218</f>
        <v>0</v>
      </c>
      <c r="L326" s="64">
        <f>L198+L197+L196+L201+L202+L203+L204+L205+L206+L207+L208+L209+L211+L212+L213+L214+L215+L216+L217+L218</f>
        <v>0</v>
      </c>
    </row>
    <row r="327" spans="2:12" hidden="1" x14ac:dyDescent="0.25">
      <c r="B327" s="976" t="s">
        <v>978</v>
      </c>
      <c r="C327" s="976"/>
      <c r="D327" s="976"/>
      <c r="E327" s="976"/>
      <c r="F327" s="976"/>
      <c r="G327" s="976"/>
      <c r="H327" s="976"/>
      <c r="I327" s="976"/>
      <c r="J327" s="64" t="e">
        <f>#REF!+#REF!</f>
        <v>#REF!</v>
      </c>
      <c r="K327" s="64" t="e">
        <f>K199+#REF!</f>
        <v>#REF!</v>
      </c>
      <c r="L327" s="64" t="e">
        <f>L199+#REF!</f>
        <v>#REF!</v>
      </c>
    </row>
    <row r="328" spans="2:12" hidden="1" x14ac:dyDescent="0.25">
      <c r="B328" s="976" t="s">
        <v>260</v>
      </c>
      <c r="C328" s="976"/>
      <c r="D328" s="976"/>
      <c r="E328" s="976"/>
      <c r="F328" s="976"/>
      <c r="G328" s="976"/>
      <c r="H328" s="976"/>
      <c r="I328" s="976"/>
      <c r="J328" s="64" t="e">
        <f>SUM(J324:J327)</f>
        <v>#REF!</v>
      </c>
      <c r="K328" s="64" t="e">
        <f>SUM(K324:K327)</f>
        <v>#REF!</v>
      </c>
      <c r="L328" s="64" t="e">
        <f>SUM(L324:L327)</f>
        <v>#REF!</v>
      </c>
    </row>
    <row r="329" spans="2:12" ht="15.75" customHeight="1" x14ac:dyDescent="0.25">
      <c r="B329" s="1126"/>
      <c r="C329" s="1126"/>
      <c r="D329" s="1126"/>
      <c r="E329" s="1126"/>
      <c r="F329" s="1126"/>
      <c r="G329" s="1126"/>
      <c r="H329" s="1126"/>
      <c r="I329" s="1126"/>
      <c r="J329" s="64" t="s">
        <v>969</v>
      </c>
      <c r="K329" s="64">
        <f>П2ДОХОДЫ!E170</f>
        <v>782475604.05999994</v>
      </c>
      <c r="L329" s="439"/>
    </row>
    <row r="330" spans="2:12" x14ac:dyDescent="0.25">
      <c r="J330" s="28" t="s">
        <v>980</v>
      </c>
      <c r="K330" s="364">
        <f>П4ВСР!Z698</f>
        <v>911824309</v>
      </c>
    </row>
    <row r="331" spans="2:12" x14ac:dyDescent="0.25">
      <c r="I331" s="761"/>
      <c r="J331" s="28" t="s">
        <v>981</v>
      </c>
      <c r="K331" s="364">
        <f>П2ДОХОДЫ!E13</f>
        <v>219266470.66000003</v>
      </c>
    </row>
    <row r="332" spans="2:12" x14ac:dyDescent="0.25">
      <c r="J332" s="28" t="s">
        <v>982</v>
      </c>
      <c r="K332" s="364">
        <f>K305-K330</f>
        <v>-129348704.94000006</v>
      </c>
    </row>
    <row r="333" spans="2:12" x14ac:dyDescent="0.25">
      <c r="K333" s="364">
        <f>П1ИВФ!C18</f>
        <v>2360000</v>
      </c>
    </row>
    <row r="334" spans="2:12" x14ac:dyDescent="0.25">
      <c r="K334" s="3">
        <f>K333/K331*100</f>
        <v>1.0763159514978804</v>
      </c>
    </row>
    <row r="336" spans="2:12" x14ac:dyDescent="0.25">
      <c r="J336" s="64"/>
      <c r="K336" s="364"/>
    </row>
    <row r="337" spans="10:12" x14ac:dyDescent="0.25">
      <c r="K337" s="364"/>
    </row>
    <row r="338" spans="10:12" x14ac:dyDescent="0.25">
      <c r="K338" s="364"/>
    </row>
    <row r="340" spans="10:12" x14ac:dyDescent="0.25">
      <c r="K340" s="364"/>
    </row>
    <row r="343" spans="10:12" x14ac:dyDescent="0.25">
      <c r="L343" s="364"/>
    </row>
    <row r="344" spans="10:12" x14ac:dyDescent="0.25">
      <c r="L344" s="364"/>
    </row>
    <row r="345" spans="10:12" x14ac:dyDescent="0.25">
      <c r="K345" s="28"/>
      <c r="L345" s="364"/>
    </row>
    <row r="346" spans="10:12" x14ac:dyDescent="0.25">
      <c r="K346" s="28"/>
      <c r="L346" s="364"/>
    </row>
    <row r="347" spans="10:12" x14ac:dyDescent="0.25">
      <c r="J347" s="76"/>
      <c r="K347" s="28"/>
      <c r="L347" s="364"/>
    </row>
    <row r="348" spans="10:12" x14ac:dyDescent="0.25">
      <c r="J348" s="437"/>
    </row>
  </sheetData>
  <mergeCells count="184">
    <mergeCell ref="E149:E150"/>
    <mergeCell ref="F149:G150"/>
    <mergeCell ref="C188:C189"/>
    <mergeCell ref="D188:D189"/>
    <mergeCell ref="E188:E189"/>
    <mergeCell ref="F188:G189"/>
    <mergeCell ref="I188:I189"/>
    <mergeCell ref="A188:A189"/>
    <mergeCell ref="A156:A172"/>
    <mergeCell ref="C156:C172"/>
    <mergeCell ref="D156:D172"/>
    <mergeCell ref="E156:E172"/>
    <mergeCell ref="F156:G172"/>
    <mergeCell ref="F151:G151"/>
    <mergeCell ref="F145:G145"/>
    <mergeCell ref="F146:G146"/>
    <mergeCell ref="A184:A185"/>
    <mergeCell ref="C184:C185"/>
    <mergeCell ref="D184:D185"/>
    <mergeCell ref="E184:E185"/>
    <mergeCell ref="F184:G185"/>
    <mergeCell ref="B152:I152"/>
    <mergeCell ref="F153:G153"/>
    <mergeCell ref="F154:G154"/>
    <mergeCell ref="B155:I155"/>
    <mergeCell ref="I156:I172"/>
    <mergeCell ref="B173:I173"/>
    <mergeCell ref="F174:G174"/>
    <mergeCell ref="F175:G175"/>
    <mergeCell ref="F182:G182"/>
    <mergeCell ref="F183:G183"/>
    <mergeCell ref="F147:G147"/>
    <mergeCell ref="F148:G148"/>
    <mergeCell ref="I149:I150"/>
    <mergeCell ref="A149:A150"/>
    <mergeCell ref="B149:B150"/>
    <mergeCell ref="C149:C150"/>
    <mergeCell ref="D149:D150"/>
    <mergeCell ref="B121:J121"/>
    <mergeCell ref="A122:A123"/>
    <mergeCell ref="B122:B123"/>
    <mergeCell ref="C122:C123"/>
    <mergeCell ref="D122:D123"/>
    <mergeCell ref="E122:G123"/>
    <mergeCell ref="H122:H123"/>
    <mergeCell ref="I122:I123"/>
    <mergeCell ref="J122:L122"/>
    <mergeCell ref="B124:I124"/>
    <mergeCell ref="I125:I143"/>
    <mergeCell ref="B125:B143"/>
    <mergeCell ref="C125:C143"/>
    <mergeCell ref="D125:D143"/>
    <mergeCell ref="E125:E143"/>
    <mergeCell ref="F125:G143"/>
    <mergeCell ref="A125:A143"/>
    <mergeCell ref="F144:G144"/>
    <mergeCell ref="B115:H115"/>
    <mergeCell ref="B116:H116"/>
    <mergeCell ref="B117:H117"/>
    <mergeCell ref="B118:I118"/>
    <mergeCell ref="B108:I108"/>
    <mergeCell ref="B110:J110"/>
    <mergeCell ref="A111:A112"/>
    <mergeCell ref="B111:H112"/>
    <mergeCell ref="I111:I112"/>
    <mergeCell ref="J111:L111"/>
    <mergeCell ref="A1:L1"/>
    <mergeCell ref="A2:L2"/>
    <mergeCell ref="A4:L4"/>
    <mergeCell ref="A5:A6"/>
    <mergeCell ref="B5:H6"/>
    <mergeCell ref="I5:I6"/>
    <mergeCell ref="J5:L5"/>
    <mergeCell ref="B113:H113"/>
    <mergeCell ref="B114:H114"/>
    <mergeCell ref="B191:I191"/>
    <mergeCell ref="F192:G192"/>
    <mergeCell ref="F176:G176"/>
    <mergeCell ref="F177:G177"/>
    <mergeCell ref="F178:G178"/>
    <mergeCell ref="F179:G179"/>
    <mergeCell ref="F180:G180"/>
    <mergeCell ref="F181:G181"/>
    <mergeCell ref="I184:I185"/>
    <mergeCell ref="F186:G186"/>
    <mergeCell ref="F187:G187"/>
    <mergeCell ref="F190:G190"/>
    <mergeCell ref="F200:G200"/>
    <mergeCell ref="F201:G201"/>
    <mergeCell ref="F202:G202"/>
    <mergeCell ref="F203:G203"/>
    <mergeCell ref="F204:G204"/>
    <mergeCell ref="F216:G216"/>
    <mergeCell ref="B194:I194"/>
    <mergeCell ref="F195:G195"/>
    <mergeCell ref="F196:G196"/>
    <mergeCell ref="F197:G197"/>
    <mergeCell ref="F198:G198"/>
    <mergeCell ref="F199:G199"/>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35:G235"/>
    <mergeCell ref="F236:G236"/>
    <mergeCell ref="F237:G237"/>
    <mergeCell ref="F238:G238"/>
    <mergeCell ref="F239:G239"/>
    <mergeCell ref="F240:G240"/>
    <mergeCell ref="F229:G229"/>
    <mergeCell ref="F230:G230"/>
    <mergeCell ref="F231:G231"/>
    <mergeCell ref="F232:G232"/>
    <mergeCell ref="F233:G233"/>
    <mergeCell ref="F234:G234"/>
    <mergeCell ref="B254:I254"/>
    <mergeCell ref="F255:G255"/>
    <mergeCell ref="F260:G260"/>
    <mergeCell ref="B261:I261"/>
    <mergeCell ref="F262:G262"/>
    <mergeCell ref="F263:G263"/>
    <mergeCell ref="B241:I241"/>
    <mergeCell ref="F242:G242"/>
    <mergeCell ref="A243:A253"/>
    <mergeCell ref="C243:C253"/>
    <mergeCell ref="D243:D253"/>
    <mergeCell ref="E243:E253"/>
    <mergeCell ref="F243:G253"/>
    <mergeCell ref="I243:I253"/>
    <mergeCell ref="F270:G270"/>
    <mergeCell ref="F271:G271"/>
    <mergeCell ref="F272:G272"/>
    <mergeCell ref="F273:G273"/>
    <mergeCell ref="F274:G274"/>
    <mergeCell ref="B276:I276"/>
    <mergeCell ref="F264:G264"/>
    <mergeCell ref="F265:G265"/>
    <mergeCell ref="F266:G266"/>
    <mergeCell ref="F267:G267"/>
    <mergeCell ref="F268:G268"/>
    <mergeCell ref="F269:G269"/>
    <mergeCell ref="F275:G275"/>
    <mergeCell ref="F284:G284"/>
    <mergeCell ref="B285:I285"/>
    <mergeCell ref="F286:G286"/>
    <mergeCell ref="F287:G287"/>
    <mergeCell ref="F293:G293"/>
    <mergeCell ref="F277:G277"/>
    <mergeCell ref="F278:G278"/>
    <mergeCell ref="F279:G279"/>
    <mergeCell ref="F280:G280"/>
    <mergeCell ref="B281:I281"/>
    <mergeCell ref="F282:G282"/>
    <mergeCell ref="F283:G283"/>
    <mergeCell ref="B326:I326"/>
    <mergeCell ref="B327:I327"/>
    <mergeCell ref="B328:I328"/>
    <mergeCell ref="B329:I329"/>
    <mergeCell ref="B320:I320"/>
    <mergeCell ref="B321:I321"/>
    <mergeCell ref="B322:I322"/>
    <mergeCell ref="B323:I323"/>
    <mergeCell ref="B324:I324"/>
    <mergeCell ref="B325:I325"/>
    <mergeCell ref="B306:I306"/>
    <mergeCell ref="B307:I307"/>
    <mergeCell ref="B312:I312"/>
    <mergeCell ref="B317:I317"/>
    <mergeCell ref="B318:I318"/>
    <mergeCell ref="B319:I319"/>
    <mergeCell ref="F294:G294"/>
    <mergeCell ref="F295:G295"/>
    <mergeCell ref="B296:I296"/>
    <mergeCell ref="A300:H300"/>
    <mergeCell ref="I300:J300"/>
    <mergeCell ref="A304:B304"/>
  </mergeCells>
  <pageMargins left="0.70866141732283472" right="0.70866141732283472" top="0.74803149606299213" bottom="0" header="0.31496062992125984" footer="0.31496062992125984"/>
  <pageSetup paperSize="9" scale="77"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82" t="s">
        <v>1001</v>
      </c>
      <c r="B1" s="1082"/>
      <c r="C1" s="1082"/>
      <c r="D1" s="1082"/>
      <c r="E1" s="1082"/>
      <c r="F1" s="1082"/>
      <c r="G1" s="1082"/>
      <c r="H1" s="1082"/>
      <c r="I1" s="1082"/>
      <c r="J1" s="1082"/>
      <c r="K1" s="1082"/>
      <c r="L1" s="1082"/>
    </row>
    <row r="2" spans="1:12" x14ac:dyDescent="0.25">
      <c r="A2" s="915" t="s">
        <v>983</v>
      </c>
      <c r="B2" s="915"/>
      <c r="C2" s="915"/>
      <c r="D2" s="915"/>
      <c r="E2" s="915"/>
      <c r="F2" s="915"/>
      <c r="G2" s="915"/>
      <c r="H2" s="915"/>
      <c r="I2" s="915"/>
      <c r="J2" s="915"/>
      <c r="K2" s="915"/>
      <c r="L2" s="915"/>
    </row>
    <row r="4" spans="1:12" ht="12" customHeight="1" x14ac:dyDescent="0.25">
      <c r="A4" s="1083" t="s">
        <v>944</v>
      </c>
      <c r="B4" s="1083"/>
      <c r="C4" s="1083"/>
      <c r="D4" s="1083"/>
      <c r="E4" s="1083"/>
      <c r="F4" s="1083"/>
      <c r="G4" s="1083"/>
      <c r="H4" s="1083"/>
      <c r="I4" s="1083"/>
      <c r="J4" s="1083"/>
      <c r="K4" s="1083"/>
      <c r="L4" s="1083"/>
    </row>
    <row r="5" spans="1:12" x14ac:dyDescent="0.25">
      <c r="A5" s="1084" t="s">
        <v>945</v>
      </c>
      <c r="B5" s="1086" t="s">
        <v>121</v>
      </c>
      <c r="C5" s="1087"/>
      <c r="D5" s="1087"/>
      <c r="E5" s="1087"/>
      <c r="F5" s="1087"/>
      <c r="G5" s="1087"/>
      <c r="H5" s="1088"/>
      <c r="I5" s="916" t="s">
        <v>1</v>
      </c>
      <c r="J5" s="920" t="s">
        <v>946</v>
      </c>
      <c r="K5" s="921"/>
      <c r="L5" s="922"/>
    </row>
    <row r="6" spans="1:12" x14ac:dyDescent="0.25">
      <c r="A6" s="1085"/>
      <c r="B6" s="1089"/>
      <c r="C6" s="1090"/>
      <c r="D6" s="1090"/>
      <c r="E6" s="1090"/>
      <c r="F6" s="1090"/>
      <c r="G6" s="1090"/>
      <c r="H6" s="1091"/>
      <c r="I6" s="917"/>
      <c r="J6" s="530">
        <v>2018</v>
      </c>
      <c r="K6" s="78">
        <v>2019</v>
      </c>
      <c r="L6" s="78">
        <v>2020</v>
      </c>
    </row>
    <row r="7" spans="1:12" ht="100.5" customHeight="1" x14ac:dyDescent="0.25">
      <c r="A7" s="348">
        <v>1</v>
      </c>
      <c r="B7" s="349" t="s">
        <v>15</v>
      </c>
      <c r="C7" s="349" t="s">
        <v>1073</v>
      </c>
      <c r="D7" s="349" t="s">
        <v>132</v>
      </c>
      <c r="E7" s="563" t="s">
        <v>1074</v>
      </c>
      <c r="F7" s="349" t="s">
        <v>124</v>
      </c>
      <c r="G7" s="349" t="s">
        <v>1075</v>
      </c>
      <c r="H7" s="563" t="s">
        <v>1076</v>
      </c>
      <c r="I7" s="511" t="s">
        <v>1077</v>
      </c>
      <c r="J7" s="351">
        <v>25192386</v>
      </c>
      <c r="K7" s="41">
        <v>0</v>
      </c>
      <c r="L7" s="41">
        <v>0</v>
      </c>
    </row>
    <row r="8" spans="1:12" hidden="1" x14ac:dyDescent="0.25">
      <c r="A8" s="348"/>
      <c r="B8" s="349"/>
      <c r="C8" s="349"/>
      <c r="D8" s="349"/>
      <c r="E8" s="349"/>
      <c r="F8" s="349"/>
      <c r="G8" s="349"/>
      <c r="H8" s="349"/>
      <c r="I8" s="456"/>
      <c r="J8" s="321">
        <v>0</v>
      </c>
      <c r="K8" s="41">
        <v>0</v>
      </c>
      <c r="L8" s="41">
        <v>0</v>
      </c>
    </row>
    <row r="9" spans="1:12" hidden="1" x14ac:dyDescent="0.25">
      <c r="A9" s="348"/>
      <c r="B9" s="354"/>
      <c r="C9" s="354"/>
      <c r="D9" s="354"/>
      <c r="E9" s="354"/>
      <c r="F9" s="354"/>
      <c r="G9" s="354"/>
      <c r="H9" s="354"/>
      <c r="I9" s="440"/>
      <c r="J9" s="532">
        <v>0</v>
      </c>
      <c r="K9" s="110">
        <v>0</v>
      </c>
      <c r="L9" s="110">
        <v>0</v>
      </c>
    </row>
    <row r="10" spans="1:12" hidden="1" x14ac:dyDescent="0.25">
      <c r="A10" s="348"/>
      <c r="B10" s="354"/>
      <c r="C10" s="354"/>
      <c r="D10" s="354"/>
      <c r="E10" s="354"/>
      <c r="F10" s="354"/>
      <c r="G10" s="354"/>
      <c r="H10" s="354"/>
      <c r="I10" s="440"/>
      <c r="J10" s="81">
        <v>0</v>
      </c>
      <c r="K10" s="110">
        <v>0</v>
      </c>
      <c r="L10" s="110">
        <v>0</v>
      </c>
    </row>
    <row r="11" spans="1:12" hidden="1" x14ac:dyDescent="0.25">
      <c r="A11" s="348"/>
      <c r="B11" s="354"/>
      <c r="C11" s="354"/>
      <c r="D11" s="354"/>
      <c r="E11" s="354"/>
      <c r="F11" s="354"/>
      <c r="G11" s="354"/>
      <c r="H11" s="354"/>
      <c r="I11" s="440"/>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79"/>
      <c r="J13" s="355"/>
      <c r="K13" s="110"/>
      <c r="L13" s="110"/>
    </row>
    <row r="14" spans="1:12" ht="13.5" hidden="1" customHeight="1" x14ac:dyDescent="0.25">
      <c r="A14" s="348"/>
      <c r="B14" s="354"/>
      <c r="C14" s="354"/>
      <c r="D14" s="354"/>
      <c r="E14" s="354"/>
      <c r="F14" s="354"/>
      <c r="G14" s="354"/>
      <c r="H14" s="354"/>
      <c r="I14" s="350"/>
      <c r="J14" s="355"/>
      <c r="K14" s="110">
        <v>0</v>
      </c>
      <c r="L14" s="110">
        <v>0</v>
      </c>
    </row>
    <row r="15" spans="1:12" hidden="1" x14ac:dyDescent="0.25">
      <c r="A15" s="348"/>
      <c r="B15" s="354"/>
      <c r="C15" s="354"/>
      <c r="D15" s="354"/>
      <c r="E15" s="354"/>
      <c r="F15" s="354"/>
      <c r="G15" s="354"/>
      <c r="H15" s="354"/>
      <c r="I15" s="350"/>
      <c r="J15" s="355"/>
      <c r="K15" s="110">
        <v>0</v>
      </c>
      <c r="L15" s="110">
        <v>0</v>
      </c>
    </row>
    <row r="16" spans="1:12" ht="0.75" hidden="1" customHeight="1" x14ac:dyDescent="0.25">
      <c r="A16" s="348"/>
      <c r="B16" s="354"/>
      <c r="C16" s="354"/>
      <c r="D16" s="354"/>
      <c r="E16" s="354"/>
      <c r="F16" s="354"/>
      <c r="G16" s="354"/>
      <c r="H16" s="354"/>
      <c r="I16" s="350"/>
      <c r="J16" s="355"/>
      <c r="K16" s="110">
        <v>0</v>
      </c>
      <c r="L16" s="110">
        <v>0</v>
      </c>
    </row>
    <row r="17" spans="1:12" hidden="1" x14ac:dyDescent="0.25">
      <c r="A17" s="348"/>
      <c r="B17" s="354"/>
      <c r="C17" s="354"/>
      <c r="D17" s="354"/>
      <c r="E17" s="354"/>
      <c r="F17" s="354"/>
      <c r="G17" s="354"/>
      <c r="H17" s="354"/>
      <c r="I17" s="357"/>
      <c r="J17" s="355"/>
      <c r="K17" s="110">
        <v>0</v>
      </c>
      <c r="L17" s="110">
        <v>0</v>
      </c>
    </row>
    <row r="18" spans="1:12" ht="15" hidden="1" customHeight="1" x14ac:dyDescent="0.25">
      <c r="A18" s="348"/>
      <c r="B18" s="354"/>
      <c r="C18" s="354"/>
      <c r="D18" s="354"/>
      <c r="E18" s="354"/>
      <c r="F18" s="354"/>
      <c r="G18" s="354"/>
      <c r="H18" s="354"/>
      <c r="I18" s="356"/>
      <c r="J18" s="355"/>
      <c r="K18" s="110">
        <v>0</v>
      </c>
      <c r="L18" s="110">
        <v>0</v>
      </c>
    </row>
    <row r="19" spans="1:12" hidden="1" x14ac:dyDescent="0.25">
      <c r="A19" s="348"/>
      <c r="B19" s="354"/>
      <c r="C19" s="354"/>
      <c r="D19" s="354"/>
      <c r="E19" s="354"/>
      <c r="F19" s="354"/>
      <c r="G19" s="354"/>
      <c r="H19" s="354"/>
      <c r="I19" s="356"/>
      <c r="J19" s="355"/>
      <c r="K19" s="110">
        <v>0</v>
      </c>
      <c r="L19" s="110">
        <v>0</v>
      </c>
    </row>
    <row r="20" spans="1:12" hidden="1" x14ac:dyDescent="0.25">
      <c r="A20" s="348"/>
      <c r="B20" s="354"/>
      <c r="C20" s="354"/>
      <c r="D20" s="354"/>
      <c r="E20" s="354"/>
      <c r="F20" s="354"/>
      <c r="G20" s="354"/>
      <c r="H20" s="354"/>
      <c r="I20" s="357"/>
      <c r="J20" s="355"/>
      <c r="K20" s="110">
        <v>0</v>
      </c>
      <c r="L20" s="110">
        <v>0</v>
      </c>
    </row>
    <row r="21" spans="1:12" hidden="1" x14ac:dyDescent="0.25">
      <c r="A21" s="348"/>
      <c r="B21" s="354"/>
      <c r="C21" s="354"/>
      <c r="D21" s="354"/>
      <c r="E21" s="354"/>
      <c r="F21" s="354"/>
      <c r="G21" s="354"/>
      <c r="H21" s="354"/>
      <c r="I21" s="357"/>
      <c r="J21" s="355"/>
      <c r="K21" s="110">
        <v>0</v>
      </c>
      <c r="L21" s="110">
        <v>0</v>
      </c>
    </row>
    <row r="22" spans="1:12" hidden="1" x14ac:dyDescent="0.25">
      <c r="A22" s="348"/>
      <c r="B22" s="354"/>
      <c r="C22" s="354"/>
      <c r="D22" s="354"/>
      <c r="E22" s="354"/>
      <c r="F22" s="354"/>
      <c r="G22" s="354"/>
      <c r="H22" s="354"/>
      <c r="I22" s="358"/>
      <c r="J22" s="355"/>
      <c r="K22" s="110">
        <v>0</v>
      </c>
      <c r="L22" s="110">
        <v>0</v>
      </c>
    </row>
    <row r="23" spans="1:12" hidden="1" x14ac:dyDescent="0.25">
      <c r="A23" s="348"/>
      <c r="B23" s="354"/>
      <c r="C23" s="354"/>
      <c r="D23" s="354"/>
      <c r="E23" s="354"/>
      <c r="F23" s="354"/>
      <c r="G23" s="354"/>
      <c r="H23" s="354"/>
      <c r="I23" s="356"/>
      <c r="J23" s="355"/>
      <c r="K23" s="110">
        <v>0</v>
      </c>
      <c r="L23" s="110">
        <v>0</v>
      </c>
    </row>
    <row r="24" spans="1:12" hidden="1" x14ac:dyDescent="0.25">
      <c r="A24" s="348"/>
      <c r="B24" s="354"/>
      <c r="C24" s="354"/>
      <c r="D24" s="354"/>
      <c r="E24" s="354"/>
      <c r="F24" s="354"/>
      <c r="G24" s="354"/>
      <c r="H24" s="354"/>
      <c r="I24" s="350"/>
      <c r="J24" s="355"/>
      <c r="K24" s="110">
        <v>0</v>
      </c>
      <c r="L24" s="110">
        <v>0</v>
      </c>
    </row>
    <row r="25" spans="1:12" hidden="1" x14ac:dyDescent="0.25">
      <c r="A25" s="348"/>
      <c r="B25" s="354"/>
      <c r="C25" s="354"/>
      <c r="D25" s="354"/>
      <c r="E25" s="354"/>
      <c r="F25" s="354"/>
      <c r="G25" s="354"/>
      <c r="H25" s="354"/>
      <c r="I25" s="350"/>
      <c r="J25" s="355"/>
      <c r="K25" s="110">
        <v>0</v>
      </c>
      <c r="L25" s="110">
        <v>0</v>
      </c>
    </row>
    <row r="26" spans="1:12" hidden="1" x14ac:dyDescent="0.25">
      <c r="A26" s="348"/>
      <c r="B26" s="354"/>
      <c r="C26" s="354"/>
      <c r="D26" s="354"/>
      <c r="E26" s="354"/>
      <c r="F26" s="354"/>
      <c r="G26" s="354"/>
      <c r="H26" s="354"/>
      <c r="I26" s="350"/>
      <c r="J26" s="355"/>
      <c r="K26" s="110">
        <v>0</v>
      </c>
      <c r="L26" s="110">
        <v>0</v>
      </c>
    </row>
    <row r="27" spans="1:12" hidden="1" x14ac:dyDescent="0.25">
      <c r="A27" s="348"/>
      <c r="B27" s="354"/>
      <c r="C27" s="354"/>
      <c r="D27" s="354"/>
      <c r="E27" s="354"/>
      <c r="F27" s="354"/>
      <c r="G27" s="354"/>
      <c r="H27" s="354"/>
      <c r="I27" s="350"/>
      <c r="J27" s="355"/>
      <c r="K27" s="110">
        <v>0</v>
      </c>
      <c r="L27" s="110">
        <v>0</v>
      </c>
    </row>
    <row r="28" spans="1:12" hidden="1" x14ac:dyDescent="0.25">
      <c r="A28" s="348"/>
      <c r="B28" s="354"/>
      <c r="C28" s="354"/>
      <c r="D28" s="354"/>
      <c r="E28" s="354"/>
      <c r="F28" s="354"/>
      <c r="G28" s="354"/>
      <c r="H28" s="354"/>
      <c r="I28" s="359"/>
      <c r="J28" s="355"/>
      <c r="K28" s="110">
        <v>0</v>
      </c>
      <c r="L28" s="110">
        <v>0</v>
      </c>
    </row>
    <row r="29" spans="1:12" hidden="1" x14ac:dyDescent="0.25">
      <c r="A29" s="348"/>
      <c r="B29" s="354"/>
      <c r="C29" s="354"/>
      <c r="D29" s="354"/>
      <c r="E29" s="354"/>
      <c r="F29" s="354"/>
      <c r="G29" s="354"/>
      <c r="H29" s="354"/>
      <c r="I29" s="350"/>
      <c r="J29" s="355"/>
      <c r="K29" s="110">
        <v>0</v>
      </c>
      <c r="L29" s="110">
        <v>0</v>
      </c>
    </row>
    <row r="30" spans="1:12" hidden="1" x14ac:dyDescent="0.25">
      <c r="A30" s="348"/>
      <c r="B30" s="354"/>
      <c r="C30" s="354"/>
      <c r="D30" s="354"/>
      <c r="E30" s="354"/>
      <c r="F30" s="354"/>
      <c r="G30" s="354"/>
      <c r="H30" s="354"/>
      <c r="I30" s="350"/>
      <c r="J30" s="355"/>
      <c r="K30" s="110">
        <v>0</v>
      </c>
      <c r="L30" s="110">
        <v>0</v>
      </c>
    </row>
    <row r="31" spans="1:12" hidden="1" x14ac:dyDescent="0.25">
      <c r="A31" s="348"/>
      <c r="B31" s="354"/>
      <c r="C31" s="354"/>
      <c r="D31" s="354"/>
      <c r="E31" s="354"/>
      <c r="F31" s="354"/>
      <c r="G31" s="354"/>
      <c r="H31" s="354"/>
      <c r="I31" s="350"/>
      <c r="J31" s="355"/>
      <c r="K31" s="110">
        <v>0</v>
      </c>
      <c r="L31" s="110">
        <v>0</v>
      </c>
    </row>
    <row r="32" spans="1:12" hidden="1" x14ac:dyDescent="0.25">
      <c r="A32" s="348"/>
      <c r="B32" s="354"/>
      <c r="C32" s="354"/>
      <c r="D32" s="354"/>
      <c r="E32" s="354"/>
      <c r="F32" s="354"/>
      <c r="G32" s="354"/>
      <c r="H32" s="354"/>
      <c r="I32" s="350"/>
      <c r="J32" s="355"/>
      <c r="K32" s="110">
        <v>0</v>
      </c>
      <c r="L32" s="110">
        <v>0</v>
      </c>
    </row>
    <row r="33" spans="1:12" hidden="1" x14ac:dyDescent="0.25">
      <c r="A33" s="348"/>
      <c r="B33" s="354"/>
      <c r="C33" s="354"/>
      <c r="D33" s="354"/>
      <c r="E33" s="354"/>
      <c r="F33" s="354"/>
      <c r="G33" s="354"/>
      <c r="H33" s="354"/>
      <c r="I33" s="360"/>
      <c r="J33" s="355"/>
      <c r="K33" s="110">
        <v>0</v>
      </c>
      <c r="L33" s="110">
        <v>0</v>
      </c>
    </row>
    <row r="34" spans="1:12" hidden="1" x14ac:dyDescent="0.25">
      <c r="A34" s="348"/>
      <c r="B34" s="354"/>
      <c r="C34" s="354"/>
      <c r="D34" s="354"/>
      <c r="E34" s="354"/>
      <c r="F34" s="354"/>
      <c r="G34" s="354"/>
      <c r="H34" s="354"/>
      <c r="I34" s="358"/>
      <c r="J34" s="355"/>
      <c r="K34" s="110">
        <v>0</v>
      </c>
      <c r="L34" s="110">
        <v>0</v>
      </c>
    </row>
    <row r="35" spans="1:12" hidden="1" x14ac:dyDescent="0.25">
      <c r="A35" s="348"/>
      <c r="B35" s="354"/>
      <c r="C35" s="354"/>
      <c r="D35" s="354"/>
      <c r="E35" s="354"/>
      <c r="F35" s="354"/>
      <c r="G35" s="354"/>
      <c r="H35" s="354"/>
      <c r="I35" s="456"/>
      <c r="J35" s="355"/>
      <c r="K35" s="369"/>
      <c r="L35" s="110"/>
    </row>
    <row r="36" spans="1:12" hidden="1" x14ac:dyDescent="0.25">
      <c r="A36" s="348"/>
      <c r="B36" s="354"/>
      <c r="C36" s="354"/>
      <c r="D36" s="354"/>
      <c r="E36" s="354"/>
      <c r="F36" s="354"/>
      <c r="G36" s="354"/>
      <c r="H36" s="354"/>
      <c r="I36" s="456"/>
      <c r="J36" s="355"/>
      <c r="K36" s="369"/>
      <c r="L36" s="369"/>
    </row>
    <row r="37" spans="1:12" hidden="1" x14ac:dyDescent="0.25">
      <c r="A37" s="348"/>
      <c r="B37" s="354"/>
      <c r="C37" s="354"/>
      <c r="D37" s="354"/>
      <c r="E37" s="354"/>
      <c r="F37" s="354"/>
      <c r="G37" s="354"/>
      <c r="H37" s="354"/>
      <c r="I37" s="458"/>
      <c r="J37" s="355"/>
      <c r="K37" s="110">
        <v>0</v>
      </c>
      <c r="L37" s="110">
        <v>0</v>
      </c>
    </row>
    <row r="38" spans="1:12" hidden="1" x14ac:dyDescent="0.25">
      <c r="A38" s="348"/>
      <c r="B38" s="354"/>
      <c r="C38" s="354"/>
      <c r="D38" s="354"/>
      <c r="E38" s="354"/>
      <c r="F38" s="354"/>
      <c r="G38" s="354"/>
      <c r="H38" s="354"/>
      <c r="I38" s="356"/>
      <c r="J38" s="355"/>
      <c r="K38" s="110">
        <v>0</v>
      </c>
      <c r="L38" s="110">
        <v>0</v>
      </c>
    </row>
    <row r="39" spans="1:12" hidden="1" x14ac:dyDescent="0.25">
      <c r="A39" s="348"/>
      <c r="B39" s="354"/>
      <c r="C39" s="354"/>
      <c r="D39" s="354"/>
      <c r="E39" s="354"/>
      <c r="F39" s="354"/>
      <c r="G39" s="354"/>
      <c r="H39" s="354"/>
      <c r="I39" s="350"/>
      <c r="J39" s="355"/>
      <c r="K39" s="110">
        <v>0</v>
      </c>
      <c r="L39" s="110">
        <v>0</v>
      </c>
    </row>
    <row r="40" spans="1:12" ht="14.25" hidden="1" customHeight="1" x14ac:dyDescent="0.25">
      <c r="A40" s="348"/>
      <c r="B40" s="354"/>
      <c r="C40" s="354"/>
      <c r="D40" s="354"/>
      <c r="E40" s="354"/>
      <c r="F40" s="354"/>
      <c r="G40" s="354"/>
      <c r="H40" s="354"/>
      <c r="I40" s="350"/>
      <c r="J40" s="355"/>
      <c r="K40" s="110">
        <v>0</v>
      </c>
      <c r="L40" s="110">
        <v>0</v>
      </c>
    </row>
    <row r="41" spans="1:12" hidden="1" x14ac:dyDescent="0.25">
      <c r="A41" s="348"/>
      <c r="B41" s="354"/>
      <c r="C41" s="354"/>
      <c r="D41" s="354"/>
      <c r="E41" s="354"/>
      <c r="F41" s="354"/>
      <c r="G41" s="354"/>
      <c r="H41" s="354"/>
      <c r="I41" s="359"/>
      <c r="J41" s="355"/>
      <c r="K41" s="110">
        <v>0</v>
      </c>
      <c r="L41" s="110">
        <v>0</v>
      </c>
    </row>
    <row r="42" spans="1:12" hidden="1" x14ac:dyDescent="0.25">
      <c r="A42" s="348"/>
      <c r="B42" s="354"/>
      <c r="C42" s="354"/>
      <c r="D42" s="354"/>
      <c r="E42" s="354"/>
      <c r="F42" s="354"/>
      <c r="G42" s="354"/>
      <c r="H42" s="354"/>
      <c r="I42" s="356"/>
      <c r="J42" s="355"/>
      <c r="K42" s="110">
        <v>0</v>
      </c>
      <c r="L42" s="110">
        <v>0</v>
      </c>
    </row>
    <row r="43" spans="1:12" hidden="1" x14ac:dyDescent="0.25">
      <c r="A43" s="348"/>
      <c r="B43" s="354"/>
      <c r="C43" s="354"/>
      <c r="D43" s="354"/>
      <c r="E43" s="354"/>
      <c r="F43" s="354"/>
      <c r="G43" s="354"/>
      <c r="H43" s="354"/>
      <c r="I43" s="361"/>
      <c r="J43" s="355"/>
      <c r="K43" s="110">
        <v>0</v>
      </c>
      <c r="L43" s="110">
        <v>0</v>
      </c>
    </row>
    <row r="44" spans="1:12" hidden="1" x14ac:dyDescent="0.25">
      <c r="A44" s="348"/>
      <c r="B44" s="354"/>
      <c r="C44" s="354"/>
      <c r="D44" s="354"/>
      <c r="E44" s="354"/>
      <c r="F44" s="354"/>
      <c r="G44" s="354"/>
      <c r="H44" s="354"/>
      <c r="I44" s="361"/>
      <c r="J44" s="355"/>
      <c r="K44" s="110">
        <v>0</v>
      </c>
      <c r="L44" s="110">
        <v>0</v>
      </c>
    </row>
    <row r="45" spans="1:12" hidden="1" x14ac:dyDescent="0.25">
      <c r="A45" s="348"/>
      <c r="B45" s="354"/>
      <c r="C45" s="354"/>
      <c r="D45" s="354"/>
      <c r="E45" s="354"/>
      <c r="F45" s="354"/>
      <c r="G45" s="354"/>
      <c r="H45" s="354"/>
      <c r="I45" s="356"/>
      <c r="J45" s="355"/>
      <c r="K45" s="110">
        <v>0</v>
      </c>
      <c r="L45" s="110">
        <v>0</v>
      </c>
    </row>
    <row r="46" spans="1:12" hidden="1" x14ac:dyDescent="0.25">
      <c r="A46" s="348"/>
      <c r="B46" s="354"/>
      <c r="C46" s="354"/>
      <c r="D46" s="354"/>
      <c r="E46" s="354"/>
      <c r="F46" s="354"/>
      <c r="G46" s="354"/>
      <c r="H46" s="354"/>
      <c r="I46" s="356"/>
      <c r="J46" s="355"/>
      <c r="K46" s="110">
        <v>0</v>
      </c>
      <c r="L46" s="110">
        <v>0</v>
      </c>
    </row>
    <row r="47" spans="1:12" hidden="1" x14ac:dyDescent="0.25">
      <c r="A47" s="348"/>
      <c r="B47" s="354"/>
      <c r="C47" s="354"/>
      <c r="D47" s="354"/>
      <c r="E47" s="354"/>
      <c r="F47" s="354"/>
      <c r="G47" s="354"/>
      <c r="H47" s="354"/>
      <c r="I47" s="350"/>
      <c r="J47" s="355"/>
      <c r="K47" s="110">
        <v>0</v>
      </c>
      <c r="L47" s="110">
        <v>0</v>
      </c>
    </row>
    <row r="48" spans="1:12" hidden="1" x14ac:dyDescent="0.25">
      <c r="A48" s="348"/>
      <c r="B48" s="354"/>
      <c r="C48" s="354"/>
      <c r="D48" s="354"/>
      <c r="E48" s="354"/>
      <c r="F48" s="354"/>
      <c r="G48" s="354"/>
      <c r="H48" s="354"/>
      <c r="I48" s="359"/>
      <c r="J48" s="355"/>
      <c r="K48" s="110">
        <v>0</v>
      </c>
      <c r="L48" s="110">
        <v>0</v>
      </c>
    </row>
    <row r="49" spans="1:14" hidden="1" x14ac:dyDescent="0.25">
      <c r="A49" s="348"/>
      <c r="B49" s="354"/>
      <c r="C49" s="354"/>
      <c r="D49" s="354"/>
      <c r="E49" s="354"/>
      <c r="F49" s="354"/>
      <c r="G49" s="354"/>
      <c r="H49" s="354"/>
      <c r="I49" s="357"/>
      <c r="J49" s="355"/>
      <c r="K49" s="110">
        <v>0</v>
      </c>
      <c r="L49" s="110">
        <v>0</v>
      </c>
    </row>
    <row r="50" spans="1:14" hidden="1" x14ac:dyDescent="0.25">
      <c r="A50" s="348"/>
      <c r="B50" s="354"/>
      <c r="C50" s="354"/>
      <c r="D50" s="354"/>
      <c r="E50" s="354"/>
      <c r="F50" s="354"/>
      <c r="G50" s="354"/>
      <c r="H50" s="354"/>
      <c r="I50" s="362"/>
      <c r="J50" s="355"/>
      <c r="K50" s="110">
        <v>0</v>
      </c>
      <c r="L50" s="110">
        <v>0</v>
      </c>
    </row>
    <row r="51" spans="1:14" hidden="1" x14ac:dyDescent="0.25">
      <c r="A51" s="348"/>
      <c r="B51" s="354"/>
      <c r="C51" s="354"/>
      <c r="D51" s="354"/>
      <c r="E51" s="354"/>
      <c r="F51" s="354"/>
      <c r="G51" s="354"/>
      <c r="H51" s="354"/>
      <c r="I51" s="360"/>
      <c r="J51" s="355"/>
      <c r="K51" s="110">
        <v>0</v>
      </c>
      <c r="L51" s="110">
        <v>0</v>
      </c>
    </row>
    <row r="52" spans="1:14" hidden="1" x14ac:dyDescent="0.25">
      <c r="A52" s="348"/>
      <c r="B52" s="354"/>
      <c r="C52" s="354"/>
      <c r="D52" s="354"/>
      <c r="E52" s="354"/>
      <c r="F52" s="354"/>
      <c r="G52" s="354"/>
      <c r="H52" s="354"/>
      <c r="I52" s="360"/>
      <c r="J52" s="355"/>
      <c r="K52" s="110">
        <v>0</v>
      </c>
      <c r="L52" s="110">
        <v>0</v>
      </c>
    </row>
    <row r="53" spans="1:14" hidden="1" x14ac:dyDescent="0.25">
      <c r="A53" s="348"/>
      <c r="B53" s="354"/>
      <c r="C53" s="354"/>
      <c r="D53" s="354"/>
      <c r="E53" s="354"/>
      <c r="F53" s="354"/>
      <c r="G53" s="354"/>
      <c r="H53" s="354"/>
      <c r="I53" s="360"/>
      <c r="J53" s="355"/>
      <c r="K53" s="110">
        <v>0</v>
      </c>
      <c r="L53" s="110">
        <v>0</v>
      </c>
    </row>
    <row r="54" spans="1:14" hidden="1" x14ac:dyDescent="0.25">
      <c r="A54" s="348"/>
      <c r="B54" s="354"/>
      <c r="C54" s="354"/>
      <c r="D54" s="354"/>
      <c r="E54" s="354"/>
      <c r="F54" s="354"/>
      <c r="G54" s="354"/>
      <c r="H54" s="354"/>
      <c r="I54" s="359"/>
      <c r="J54" s="355"/>
      <c r="K54" s="110">
        <v>0</v>
      </c>
      <c r="L54" s="110">
        <v>0</v>
      </c>
    </row>
    <row r="55" spans="1:14" hidden="1" x14ac:dyDescent="0.25">
      <c r="A55" s="348"/>
      <c r="B55" s="354"/>
      <c r="C55" s="354"/>
      <c r="D55" s="354"/>
      <c r="E55" s="354"/>
      <c r="F55" s="354"/>
      <c r="G55" s="354"/>
      <c r="H55" s="354"/>
      <c r="I55" s="362"/>
      <c r="J55" s="355"/>
      <c r="K55" s="110">
        <v>0</v>
      </c>
      <c r="L55" s="110">
        <v>0</v>
      </c>
    </row>
    <row r="56" spans="1:14" hidden="1" x14ac:dyDescent="0.25">
      <c r="A56" s="348"/>
      <c r="B56" s="354"/>
      <c r="C56" s="354"/>
      <c r="D56" s="354"/>
      <c r="E56" s="354"/>
      <c r="F56" s="354"/>
      <c r="G56" s="354"/>
      <c r="H56" s="354"/>
      <c r="I56" s="362"/>
      <c r="J56" s="355"/>
      <c r="K56" s="110">
        <v>0</v>
      </c>
      <c r="L56" s="110">
        <v>0</v>
      </c>
    </row>
    <row r="57" spans="1:14" hidden="1" x14ac:dyDescent="0.25">
      <c r="A57" s="348"/>
      <c r="B57" s="354"/>
      <c r="C57" s="354"/>
      <c r="D57" s="354"/>
      <c r="E57" s="354"/>
      <c r="F57" s="354"/>
      <c r="G57" s="354"/>
      <c r="H57" s="354"/>
      <c r="I57" s="362"/>
      <c r="J57" s="355"/>
      <c r="K57" s="110">
        <v>0</v>
      </c>
      <c r="L57" s="110">
        <v>0</v>
      </c>
    </row>
    <row r="58" spans="1:14" hidden="1" x14ac:dyDescent="0.25">
      <c r="A58" s="348"/>
      <c r="B58" s="354"/>
      <c r="C58" s="354"/>
      <c r="D58" s="354"/>
      <c r="E58" s="354"/>
      <c r="F58" s="354"/>
      <c r="G58" s="354"/>
      <c r="H58" s="354"/>
      <c r="I58" s="359"/>
      <c r="J58" s="355"/>
      <c r="K58" s="110">
        <v>0</v>
      </c>
      <c r="L58" s="110">
        <v>0</v>
      </c>
    </row>
    <row r="59" spans="1:14" hidden="1" x14ac:dyDescent="0.25">
      <c r="A59" s="348"/>
      <c r="B59" s="354"/>
      <c r="C59" s="354"/>
      <c r="D59" s="354"/>
      <c r="E59" s="354"/>
      <c r="F59" s="354"/>
      <c r="G59" s="354"/>
      <c r="H59" s="354"/>
      <c r="I59" s="232"/>
      <c r="J59" s="355"/>
      <c r="K59" s="110">
        <v>0</v>
      </c>
      <c r="L59" s="110">
        <v>0</v>
      </c>
    </row>
    <row r="60" spans="1:14" hidden="1" x14ac:dyDescent="0.25">
      <c r="A60" s="348"/>
      <c r="B60" s="354"/>
      <c r="C60" s="354"/>
      <c r="D60" s="354"/>
      <c r="E60" s="354"/>
      <c r="F60" s="354"/>
      <c r="G60" s="354"/>
      <c r="H60" s="354"/>
      <c r="I60" s="350"/>
      <c r="J60" s="355"/>
      <c r="K60" s="110">
        <v>0</v>
      </c>
      <c r="L60" s="110">
        <v>0</v>
      </c>
    </row>
    <row r="61" spans="1:14" ht="35.25" hidden="1" customHeight="1" x14ac:dyDescent="0.25">
      <c r="A61" s="348"/>
      <c r="B61" s="354"/>
      <c r="C61" s="354"/>
      <c r="D61" s="354"/>
      <c r="E61" s="354"/>
      <c r="F61" s="354"/>
      <c r="G61" s="354"/>
      <c r="H61" s="354"/>
      <c r="I61" s="363"/>
      <c r="J61" s="355"/>
      <c r="K61" s="110">
        <v>0</v>
      </c>
      <c r="L61" s="110">
        <v>0</v>
      </c>
      <c r="N61" s="364"/>
    </row>
    <row r="62" spans="1:14" x14ac:dyDescent="0.25">
      <c r="A62" s="82"/>
      <c r="B62" s="1100" t="s">
        <v>947</v>
      </c>
      <c r="C62" s="1100"/>
      <c r="D62" s="1100"/>
      <c r="E62" s="1100"/>
      <c r="F62" s="1100"/>
      <c r="G62" s="1100"/>
      <c r="H62" s="1100"/>
      <c r="I62" s="1100"/>
      <c r="J62" s="46">
        <f>SUM(J7:J52)+J53+J54+J57+J58+J59+J55+J56+J61+J60</f>
        <v>25192386</v>
      </c>
      <c r="K62" s="46">
        <f t="shared" ref="K62:L62" si="0">SUM(K7:K52)</f>
        <v>0</v>
      </c>
      <c r="L62" s="46">
        <f t="shared" si="0"/>
        <v>0</v>
      </c>
    </row>
    <row r="63" spans="1:14" ht="10.5" hidden="1" customHeight="1" x14ac:dyDescent="0.25">
      <c r="B63" s="365"/>
      <c r="C63" s="365"/>
      <c r="D63" s="365"/>
      <c r="E63" s="365"/>
      <c r="F63" s="365"/>
      <c r="G63" s="365"/>
    </row>
    <row r="64" spans="1:14" x14ac:dyDescent="0.25">
      <c r="B64" s="1083" t="s">
        <v>948</v>
      </c>
      <c r="C64" s="1083"/>
      <c r="D64" s="1083"/>
      <c r="E64" s="1083"/>
      <c r="F64" s="1083"/>
      <c r="G64" s="1083"/>
      <c r="H64" s="1083"/>
      <c r="I64" s="1083"/>
      <c r="J64" s="1083"/>
    </row>
    <row r="65" spans="1:14" x14ac:dyDescent="0.25">
      <c r="A65" s="1101" t="s">
        <v>945</v>
      </c>
      <c r="B65" s="1086" t="s">
        <v>121</v>
      </c>
      <c r="C65" s="1087"/>
      <c r="D65" s="1087"/>
      <c r="E65" s="1087"/>
      <c r="F65" s="1087"/>
      <c r="G65" s="1087"/>
      <c r="H65" s="1088"/>
      <c r="I65" s="916" t="s">
        <v>1</v>
      </c>
      <c r="J65" s="920" t="s">
        <v>946</v>
      </c>
      <c r="K65" s="921"/>
      <c r="L65" s="922"/>
    </row>
    <row r="66" spans="1:14" ht="17.25" customHeight="1" x14ac:dyDescent="0.25">
      <c r="A66" s="1102"/>
      <c r="B66" s="1089"/>
      <c r="C66" s="1090"/>
      <c r="D66" s="1090"/>
      <c r="E66" s="1090"/>
      <c r="F66" s="1090"/>
      <c r="G66" s="1090"/>
      <c r="H66" s="1091"/>
      <c r="I66" s="917"/>
      <c r="J66" s="462">
        <v>2018</v>
      </c>
      <c r="K66" s="78">
        <v>2019</v>
      </c>
      <c r="L66" s="78">
        <v>2020</v>
      </c>
    </row>
    <row r="67" spans="1:14" hidden="1" x14ac:dyDescent="0.25">
      <c r="A67" s="366"/>
      <c r="B67" s="1092"/>
      <c r="C67" s="1092"/>
      <c r="D67" s="1092"/>
      <c r="E67" s="1092"/>
      <c r="F67" s="1092"/>
      <c r="G67" s="1092"/>
      <c r="H67" s="1092"/>
      <c r="I67" s="367"/>
      <c r="J67" s="41">
        <v>0</v>
      </c>
      <c r="K67" s="110">
        <v>0</v>
      </c>
      <c r="L67" s="84">
        <v>0</v>
      </c>
      <c r="N67" s="364"/>
    </row>
    <row r="68" spans="1:14" ht="18" hidden="1" customHeight="1" x14ac:dyDescent="0.25">
      <c r="A68" s="348"/>
      <c r="B68" s="1067"/>
      <c r="C68" s="1093"/>
      <c r="D68" s="1093"/>
      <c r="E68" s="1093"/>
      <c r="F68" s="1093"/>
      <c r="G68" s="1093"/>
      <c r="H68" s="1068"/>
      <c r="I68" s="367"/>
      <c r="J68" s="41">
        <v>0</v>
      </c>
      <c r="K68" s="110">
        <v>0</v>
      </c>
      <c r="L68" s="84">
        <v>0</v>
      </c>
    </row>
    <row r="69" spans="1:14" ht="0.75" hidden="1" customHeight="1" x14ac:dyDescent="0.25">
      <c r="A69" s="370"/>
      <c r="B69" s="1094"/>
      <c r="C69" s="1095"/>
      <c r="D69" s="1095"/>
      <c r="E69" s="1095"/>
      <c r="F69" s="1095"/>
      <c r="G69" s="1095"/>
      <c r="H69" s="1096"/>
      <c r="I69" s="371"/>
      <c r="J69" s="41"/>
      <c r="K69" s="84"/>
      <c r="L69" s="84"/>
    </row>
    <row r="70" spans="1:14" ht="0.75" hidden="1" customHeight="1" x14ac:dyDescent="0.25">
      <c r="A70" s="370"/>
      <c r="B70" s="1094"/>
      <c r="C70" s="1095"/>
      <c r="D70" s="1095"/>
      <c r="E70" s="1095"/>
      <c r="F70" s="1095"/>
      <c r="G70" s="1095"/>
      <c r="H70" s="1096"/>
      <c r="I70" s="371"/>
      <c r="J70" s="41"/>
      <c r="K70" s="82"/>
      <c r="L70" s="82"/>
    </row>
    <row r="71" spans="1:14" ht="6" hidden="1" customHeight="1" x14ac:dyDescent="0.25">
      <c r="A71" s="82"/>
      <c r="B71" s="1094"/>
      <c r="C71" s="1095"/>
      <c r="D71" s="1095"/>
      <c r="E71" s="1095"/>
      <c r="F71" s="1095"/>
      <c r="G71" s="1095"/>
      <c r="H71" s="1095"/>
      <c r="I71" s="21"/>
      <c r="J71" s="41"/>
      <c r="K71" s="82"/>
      <c r="L71" s="82"/>
    </row>
    <row r="72" spans="1:14" ht="15" customHeight="1" x14ac:dyDescent="0.25">
      <c r="A72" s="82"/>
      <c r="B72" s="1097" t="s">
        <v>949</v>
      </c>
      <c r="C72" s="1098"/>
      <c r="D72" s="1098"/>
      <c r="E72" s="1098"/>
      <c r="F72" s="1098"/>
      <c r="G72" s="1098"/>
      <c r="H72" s="1098"/>
      <c r="I72" s="1099"/>
      <c r="J72" s="46">
        <f>SUM(J67:J71)</f>
        <v>0</v>
      </c>
      <c r="K72" s="46">
        <f>SUM(K67:K71)</f>
        <v>0</v>
      </c>
      <c r="L72" s="46">
        <f>SUM(L67:L71)</f>
        <v>0</v>
      </c>
    </row>
    <row r="73" spans="1:14" ht="15" hidden="1" customHeight="1" x14ac:dyDescent="0.25">
      <c r="B73" s="365"/>
      <c r="C73" s="365"/>
      <c r="D73" s="365"/>
      <c r="E73" s="365"/>
      <c r="F73" s="365"/>
      <c r="G73" s="365"/>
    </row>
    <row r="74" spans="1:14" hidden="1" x14ac:dyDescent="0.25">
      <c r="B74" s="365"/>
      <c r="C74" s="365"/>
      <c r="D74" s="365"/>
      <c r="E74" s="365"/>
      <c r="F74" s="365"/>
      <c r="G74" s="365"/>
    </row>
    <row r="75" spans="1:14" ht="15" customHeight="1" x14ac:dyDescent="0.25">
      <c r="B75" s="1083" t="s">
        <v>950</v>
      </c>
      <c r="C75" s="1083"/>
      <c r="D75" s="1083"/>
      <c r="E75" s="1083"/>
      <c r="F75" s="1083"/>
      <c r="G75" s="1083"/>
      <c r="H75" s="1083"/>
      <c r="I75" s="1083"/>
      <c r="J75" s="1083"/>
    </row>
    <row r="76" spans="1:14" x14ac:dyDescent="0.25">
      <c r="A76" s="1084" t="s">
        <v>945</v>
      </c>
      <c r="B76" s="1105" t="s">
        <v>951</v>
      </c>
      <c r="C76" s="1105" t="s">
        <v>134</v>
      </c>
      <c r="D76" s="1105" t="s">
        <v>264</v>
      </c>
      <c r="E76" s="1086" t="s">
        <v>197</v>
      </c>
      <c r="F76" s="1087"/>
      <c r="G76" s="1088"/>
      <c r="H76" s="1105" t="s">
        <v>225</v>
      </c>
      <c r="I76" s="1106" t="s">
        <v>1</v>
      </c>
      <c r="J76" s="920" t="s">
        <v>946</v>
      </c>
      <c r="K76" s="921"/>
      <c r="L76" s="922"/>
    </row>
    <row r="77" spans="1:14" ht="15" customHeight="1" x14ac:dyDescent="0.25">
      <c r="A77" s="1085"/>
      <c r="B77" s="1105"/>
      <c r="C77" s="1105"/>
      <c r="D77" s="1105"/>
      <c r="E77" s="1089"/>
      <c r="F77" s="1090"/>
      <c r="G77" s="1091"/>
      <c r="H77" s="1105"/>
      <c r="I77" s="1106"/>
      <c r="J77" s="462">
        <v>2018</v>
      </c>
      <c r="K77" s="78">
        <v>2019</v>
      </c>
      <c r="L77" s="78">
        <v>2020</v>
      </c>
    </row>
    <row r="78" spans="1:14" x14ac:dyDescent="0.25">
      <c r="A78" s="372"/>
      <c r="B78" s="1103" t="s">
        <v>952</v>
      </c>
      <c r="C78" s="1103"/>
      <c r="D78" s="1103"/>
      <c r="E78" s="1103"/>
      <c r="F78" s="1103"/>
      <c r="G78" s="1103"/>
      <c r="H78" s="1103"/>
      <c r="I78" s="1104"/>
      <c r="J78" s="373">
        <f>SUM(J79:J87)</f>
        <v>0</v>
      </c>
      <c r="K78" s="373">
        <f>SUM(K79:K80)</f>
        <v>0</v>
      </c>
      <c r="L78" s="373">
        <f>SUM(L79:L80)</f>
        <v>0</v>
      </c>
    </row>
    <row r="79" spans="1:14" ht="16.5" customHeight="1" x14ac:dyDescent="0.25">
      <c r="A79" s="374"/>
      <c r="B79" s="349"/>
      <c r="C79" s="349"/>
      <c r="D79" s="349"/>
      <c r="E79" s="349"/>
      <c r="F79" s="1119"/>
      <c r="G79" s="1120"/>
      <c r="H79" s="349"/>
      <c r="I79" s="228"/>
      <c r="J79" s="41">
        <v>0</v>
      </c>
      <c r="K79" s="110">
        <v>0</v>
      </c>
      <c r="L79" s="110">
        <v>0</v>
      </c>
    </row>
    <row r="80" spans="1:14" s="1" customFormat="1" ht="31.5" hidden="1" customHeight="1" x14ac:dyDescent="0.25">
      <c r="A80" s="374"/>
      <c r="B80" s="349"/>
      <c r="C80" s="349"/>
      <c r="D80" s="349"/>
      <c r="E80" s="349"/>
      <c r="F80" s="1119"/>
      <c r="G80" s="1120"/>
      <c r="H80" s="349"/>
      <c r="I80" s="420"/>
      <c r="J80" s="41"/>
      <c r="K80" s="110">
        <v>0</v>
      </c>
      <c r="L80" s="110">
        <v>0</v>
      </c>
    </row>
    <row r="81" spans="1:12" s="1" customFormat="1" hidden="1" x14ac:dyDescent="0.25">
      <c r="A81" s="241"/>
      <c r="B81" s="349"/>
      <c r="C81" s="349"/>
      <c r="D81" s="349"/>
      <c r="E81" s="349"/>
      <c r="F81" s="1119"/>
      <c r="G81" s="1120"/>
      <c r="H81" s="349"/>
      <c r="I81" s="457"/>
      <c r="J81" s="41"/>
      <c r="K81" s="110">
        <v>0</v>
      </c>
      <c r="L81" s="110">
        <v>0</v>
      </c>
    </row>
    <row r="82" spans="1:12" s="1" customFormat="1" ht="16.5" hidden="1" x14ac:dyDescent="0.3">
      <c r="A82" s="241"/>
      <c r="B82" s="376"/>
      <c r="C82" s="376"/>
      <c r="D82" s="376"/>
      <c r="E82" s="376"/>
      <c r="F82" s="1143"/>
      <c r="G82" s="1144"/>
      <c r="H82" s="376"/>
      <c r="I82" s="228"/>
      <c r="J82" s="41"/>
      <c r="K82" s="110">
        <v>0</v>
      </c>
      <c r="L82" s="110">
        <v>0</v>
      </c>
    </row>
    <row r="83" spans="1:12" s="1" customFormat="1" ht="3.75" hidden="1" customHeight="1" x14ac:dyDescent="0.3">
      <c r="A83" s="241"/>
      <c r="B83" s="376"/>
      <c r="C83" s="376"/>
      <c r="D83" s="376"/>
      <c r="E83" s="376"/>
      <c r="F83" s="1143"/>
      <c r="G83" s="1144"/>
      <c r="H83" s="376"/>
      <c r="I83" s="475"/>
      <c r="J83" s="41"/>
      <c r="K83" s="110">
        <v>0</v>
      </c>
      <c r="L83" s="110">
        <v>0</v>
      </c>
    </row>
    <row r="84" spans="1:12" s="1" customFormat="1" ht="16.5" hidden="1" x14ac:dyDescent="0.3">
      <c r="A84" s="241"/>
      <c r="B84" s="376"/>
      <c r="C84" s="376"/>
      <c r="D84" s="376"/>
      <c r="E84" s="376"/>
      <c r="F84" s="1143"/>
      <c r="G84" s="1144"/>
      <c r="H84" s="376"/>
      <c r="I84" s="460"/>
      <c r="J84" s="41"/>
      <c r="K84" s="110">
        <v>0</v>
      </c>
      <c r="L84" s="110">
        <v>0</v>
      </c>
    </row>
    <row r="85" spans="1:12" s="1" customFormat="1" ht="16.5" hidden="1" x14ac:dyDescent="0.3">
      <c r="A85" s="241"/>
      <c r="B85" s="376"/>
      <c r="C85" s="376"/>
      <c r="D85" s="376"/>
      <c r="E85" s="376"/>
      <c r="F85" s="1143"/>
      <c r="G85" s="1144"/>
      <c r="H85" s="376"/>
      <c r="I85" s="378"/>
      <c r="J85" s="41"/>
      <c r="K85" s="110">
        <v>0</v>
      </c>
      <c r="L85" s="110">
        <v>0</v>
      </c>
    </row>
    <row r="86" spans="1:12" s="1" customFormat="1" ht="16.5" hidden="1" x14ac:dyDescent="0.3">
      <c r="A86" s="241"/>
      <c r="B86" s="376"/>
      <c r="C86" s="376"/>
      <c r="D86" s="376"/>
      <c r="E86" s="376"/>
      <c r="F86" s="1143"/>
      <c r="G86" s="1144"/>
      <c r="H86" s="376"/>
      <c r="I86" s="378"/>
      <c r="J86" s="41"/>
      <c r="K86" s="110">
        <v>0</v>
      </c>
      <c r="L86" s="110">
        <v>0</v>
      </c>
    </row>
    <row r="87" spans="1:12" s="1" customFormat="1" ht="30" hidden="1" customHeight="1" x14ac:dyDescent="0.25">
      <c r="A87" s="241"/>
      <c r="B87" s="349"/>
      <c r="C87" s="349"/>
      <c r="D87" s="349"/>
      <c r="E87" s="349"/>
      <c r="F87" s="1119"/>
      <c r="G87" s="1120"/>
      <c r="H87" s="349"/>
      <c r="I87" s="379"/>
      <c r="J87" s="41"/>
      <c r="K87" s="110">
        <v>0</v>
      </c>
      <c r="L87" s="110">
        <v>0</v>
      </c>
    </row>
    <row r="88" spans="1:12" s="1" customFormat="1" x14ac:dyDescent="0.25">
      <c r="A88" s="241"/>
      <c r="B88" s="1123" t="s">
        <v>953</v>
      </c>
      <c r="C88" s="1124"/>
      <c r="D88" s="1124"/>
      <c r="E88" s="1124"/>
      <c r="F88" s="1124"/>
      <c r="G88" s="1124"/>
      <c r="H88" s="1124"/>
      <c r="I88" s="1125"/>
      <c r="J88" s="46">
        <f>J89+J90</f>
        <v>0</v>
      </c>
      <c r="K88" s="46">
        <f>K89+K90</f>
        <v>0</v>
      </c>
      <c r="L88" s="46">
        <f>L89+L90</f>
        <v>0</v>
      </c>
    </row>
    <row r="89" spans="1:12" s="1" customFormat="1" ht="16.5" customHeight="1" x14ac:dyDescent="0.3">
      <c r="A89" s="380"/>
      <c r="B89" s="376"/>
      <c r="C89" s="376"/>
      <c r="D89" s="376"/>
      <c r="E89" s="376"/>
      <c r="F89" s="1143"/>
      <c r="G89" s="1144"/>
      <c r="H89" s="376"/>
      <c r="I89" s="228"/>
      <c r="J89" s="41">
        <v>0</v>
      </c>
      <c r="K89" s="110">
        <v>0</v>
      </c>
      <c r="L89" s="110">
        <v>0</v>
      </c>
    </row>
    <row r="90" spans="1:12" s="1" customFormat="1" ht="27" hidden="1" customHeight="1" x14ac:dyDescent="0.3">
      <c r="A90" s="241"/>
      <c r="B90" s="376"/>
      <c r="C90" s="376"/>
      <c r="D90" s="376"/>
      <c r="E90" s="376"/>
      <c r="F90" s="1143"/>
      <c r="G90" s="1144"/>
      <c r="H90" s="376"/>
      <c r="I90" s="420"/>
      <c r="J90" s="41"/>
      <c r="K90" s="110">
        <v>0</v>
      </c>
      <c r="L90" s="110">
        <v>0</v>
      </c>
    </row>
    <row r="91" spans="1:12" s="1" customFormat="1" x14ac:dyDescent="0.25">
      <c r="A91" s="382"/>
      <c r="B91" s="1145" t="s">
        <v>954</v>
      </c>
      <c r="C91" s="1146"/>
      <c r="D91" s="1146"/>
      <c r="E91" s="1146"/>
      <c r="F91" s="1146"/>
      <c r="G91" s="1146"/>
      <c r="H91" s="1146"/>
      <c r="I91" s="1147"/>
      <c r="J91" s="373">
        <f>SUM(J92:J96)+J98+J97+J99+J100+J101+J102+J103++J104+J105+J106</f>
        <v>0</v>
      </c>
      <c r="K91" s="373">
        <f>SUM(K92:K96)+K98+K97+K99+K100+K101+K102+K103++K104+K105+K106</f>
        <v>0</v>
      </c>
      <c r="L91" s="373">
        <f>SUM(L92:L96)+L98+L97+L99+L100+L101+L102+L103++L104+L105+L106</f>
        <v>0</v>
      </c>
    </row>
    <row r="92" spans="1:12" s="1" customFormat="1" ht="23.25" customHeight="1" x14ac:dyDescent="0.3">
      <c r="A92" s="380"/>
      <c r="B92" s="376"/>
      <c r="C92" s="376"/>
      <c r="D92" s="376"/>
      <c r="E92" s="376"/>
      <c r="F92" s="1143"/>
      <c r="G92" s="1144"/>
      <c r="H92" s="502"/>
      <c r="I92" s="228"/>
      <c r="J92" s="41">
        <v>0</v>
      </c>
      <c r="K92" s="110">
        <v>0</v>
      </c>
      <c r="L92" s="110">
        <v>0</v>
      </c>
    </row>
    <row r="93" spans="1:12" s="1" customFormat="1" ht="0.75" hidden="1" customHeight="1" x14ac:dyDescent="0.3">
      <c r="A93" s="380"/>
      <c r="B93" s="383"/>
      <c r="C93" s="383"/>
      <c r="D93" s="383"/>
      <c r="E93" s="383"/>
      <c r="F93" s="1156"/>
      <c r="G93" s="1157"/>
      <c r="H93" s="384"/>
      <c r="I93" s="228"/>
      <c r="J93" s="368"/>
      <c r="K93" s="110">
        <v>0</v>
      </c>
      <c r="L93" s="110">
        <v>0</v>
      </c>
    </row>
    <row r="94" spans="1:12" s="1" customFormat="1" ht="16.5" hidden="1" x14ac:dyDescent="0.3">
      <c r="A94" s="380"/>
      <c r="B94" s="376"/>
      <c r="C94" s="376"/>
      <c r="D94" s="376"/>
      <c r="E94" s="376"/>
      <c r="F94" s="1143"/>
      <c r="G94" s="1144"/>
      <c r="H94" s="376"/>
      <c r="I94" s="386"/>
      <c r="J94" s="368"/>
      <c r="K94" s="110">
        <v>0</v>
      </c>
      <c r="L94" s="110">
        <v>0</v>
      </c>
    </row>
    <row r="95" spans="1:12" s="1" customFormat="1" ht="0.75" customHeight="1" x14ac:dyDescent="0.3">
      <c r="A95" s="380"/>
      <c r="B95" s="376"/>
      <c r="C95" s="376"/>
      <c r="D95" s="376"/>
      <c r="E95" s="376"/>
      <c r="F95" s="1143"/>
      <c r="G95" s="1144"/>
      <c r="H95" s="376"/>
      <c r="I95" s="228"/>
      <c r="J95" s="368"/>
      <c r="K95" s="110">
        <v>0</v>
      </c>
      <c r="L95" s="110">
        <v>0</v>
      </c>
    </row>
    <row r="96" spans="1:12" s="1" customFormat="1" ht="0.75" customHeight="1" x14ac:dyDescent="0.3">
      <c r="A96" s="380"/>
      <c r="B96" s="383"/>
      <c r="C96" s="383"/>
      <c r="D96" s="383"/>
      <c r="E96" s="383"/>
      <c r="F96" s="1156"/>
      <c r="G96" s="1157"/>
      <c r="H96" s="383"/>
      <c r="I96" s="228"/>
      <c r="J96" s="368"/>
      <c r="K96" s="41">
        <v>0</v>
      </c>
      <c r="L96" s="41">
        <v>0</v>
      </c>
    </row>
    <row r="97" spans="1:12" s="1" customFormat="1" ht="17.25" hidden="1" customHeight="1" x14ac:dyDescent="0.3">
      <c r="A97" s="380"/>
      <c r="B97" s="383"/>
      <c r="C97" s="383"/>
      <c r="D97" s="383"/>
      <c r="E97" s="383"/>
      <c r="F97" s="1156"/>
      <c r="G97" s="1157"/>
      <c r="H97" s="383"/>
      <c r="I97" s="228"/>
      <c r="J97" s="388"/>
      <c r="K97" s="404">
        <v>0</v>
      </c>
      <c r="L97" s="404">
        <v>0</v>
      </c>
    </row>
    <row r="98" spans="1:12" s="1" customFormat="1" ht="20.25" hidden="1" customHeight="1" x14ac:dyDescent="0.3">
      <c r="A98" s="380"/>
      <c r="B98" s="453"/>
      <c r="C98" s="453"/>
      <c r="D98" s="453"/>
      <c r="E98" s="453"/>
      <c r="F98" s="1161"/>
      <c r="G98" s="1161"/>
      <c r="H98" s="453"/>
      <c r="I98" s="377"/>
      <c r="J98" s="388"/>
      <c r="K98" s="389">
        <v>0</v>
      </c>
      <c r="L98" s="389">
        <v>0</v>
      </c>
    </row>
    <row r="99" spans="1:12" s="1" customFormat="1" ht="19.5" hidden="1" customHeight="1" x14ac:dyDescent="0.3">
      <c r="A99" s="470"/>
      <c r="B99" s="383"/>
      <c r="C99" s="383"/>
      <c r="D99" s="383"/>
      <c r="E99" s="383"/>
      <c r="F99" s="1156"/>
      <c r="G99" s="1157"/>
      <c r="H99" s="383"/>
      <c r="I99" s="375"/>
      <c r="J99" s="388"/>
      <c r="K99" s="389">
        <v>0</v>
      </c>
      <c r="L99" s="389">
        <v>0</v>
      </c>
    </row>
    <row r="100" spans="1:12" s="1" customFormat="1" ht="21" hidden="1" customHeight="1" x14ac:dyDescent="0.3">
      <c r="A100" s="470"/>
      <c r="B100" s="383"/>
      <c r="C100" s="383"/>
      <c r="D100" s="383"/>
      <c r="E100" s="383"/>
      <c r="F100" s="1156"/>
      <c r="G100" s="1157"/>
      <c r="H100" s="383"/>
      <c r="I100" s="228"/>
      <c r="J100" s="388"/>
      <c r="K100" s="389">
        <v>0</v>
      </c>
      <c r="L100" s="389">
        <v>0</v>
      </c>
    </row>
    <row r="101" spans="1:12" s="1" customFormat="1" ht="15.75" hidden="1" customHeight="1" x14ac:dyDescent="0.3">
      <c r="A101" s="470"/>
      <c r="B101" s="453"/>
      <c r="C101" s="453"/>
      <c r="D101" s="453"/>
      <c r="E101" s="453"/>
      <c r="F101" s="1158"/>
      <c r="G101" s="1159"/>
      <c r="H101" s="453"/>
      <c r="I101" s="454"/>
      <c r="J101" s="388"/>
      <c r="K101" s="389">
        <v>0</v>
      </c>
      <c r="L101" s="389">
        <v>0</v>
      </c>
    </row>
    <row r="102" spans="1:12" s="1" customFormat="1" ht="16.5" hidden="1" customHeight="1" x14ac:dyDescent="0.3">
      <c r="A102" s="470"/>
      <c r="B102" s="383"/>
      <c r="C102" s="383"/>
      <c r="D102" s="383"/>
      <c r="E102" s="383"/>
      <c r="F102" s="1156"/>
      <c r="G102" s="1157"/>
      <c r="H102" s="383"/>
      <c r="I102" s="228"/>
      <c r="J102" s="388"/>
      <c r="K102" s="389">
        <v>0</v>
      </c>
      <c r="L102" s="389">
        <v>0</v>
      </c>
    </row>
    <row r="103" spans="1:12" s="1" customFormat="1" ht="19.5" hidden="1" customHeight="1" x14ac:dyDescent="0.3">
      <c r="A103" s="470"/>
      <c r="B103" s="383"/>
      <c r="C103" s="383"/>
      <c r="D103" s="383"/>
      <c r="E103" s="383"/>
      <c r="F103" s="1156"/>
      <c r="G103" s="1157"/>
      <c r="H103" s="383"/>
      <c r="I103" s="228"/>
      <c r="J103" s="388"/>
      <c r="K103" s="389">
        <v>0</v>
      </c>
      <c r="L103" s="389">
        <v>0</v>
      </c>
    </row>
    <row r="104" spans="1:12" s="1" customFormat="1" ht="19.5" hidden="1" customHeight="1" x14ac:dyDescent="0.3">
      <c r="A104" s="470"/>
      <c r="B104" s="453"/>
      <c r="C104" s="453"/>
      <c r="D104" s="453"/>
      <c r="E104" s="453"/>
      <c r="F104" s="1158"/>
      <c r="G104" s="1159"/>
      <c r="H104" s="453"/>
      <c r="I104" s="454"/>
      <c r="J104" s="388"/>
      <c r="K104" s="389">
        <v>0</v>
      </c>
      <c r="L104" s="389">
        <v>0</v>
      </c>
    </row>
    <row r="105" spans="1:12" s="1" customFormat="1" ht="24.75" hidden="1" customHeight="1" x14ac:dyDescent="0.3">
      <c r="A105" s="470"/>
      <c r="B105" s="383"/>
      <c r="C105" s="383"/>
      <c r="D105" s="383"/>
      <c r="E105" s="383"/>
      <c r="F105" s="1156"/>
      <c r="G105" s="1157"/>
      <c r="H105" s="383"/>
      <c r="I105" s="386"/>
      <c r="J105" s="388"/>
      <c r="K105" s="389">
        <v>0</v>
      </c>
      <c r="L105" s="389">
        <v>0</v>
      </c>
    </row>
    <row r="106" spans="1:12" s="1" customFormat="1" ht="24.75" hidden="1" customHeight="1" x14ac:dyDescent="0.3">
      <c r="A106" s="470"/>
      <c r="B106" s="383"/>
      <c r="C106" s="383"/>
      <c r="D106" s="383"/>
      <c r="E106" s="383"/>
      <c r="F106" s="1156"/>
      <c r="G106" s="1157"/>
      <c r="H106" s="383"/>
      <c r="I106" s="460"/>
      <c r="J106" s="388"/>
      <c r="K106" s="459"/>
      <c r="L106" s="459"/>
    </row>
    <row r="107" spans="1:12" s="1" customFormat="1" ht="18.75" hidden="1" customHeight="1" x14ac:dyDescent="0.3">
      <c r="A107" s="470"/>
      <c r="B107" s="383"/>
      <c r="C107" s="383"/>
      <c r="D107" s="383"/>
      <c r="E107" s="383"/>
      <c r="F107" s="1156"/>
      <c r="G107" s="1157"/>
      <c r="H107" s="383"/>
      <c r="I107" s="455"/>
      <c r="J107" s="388"/>
      <c r="K107" s="389"/>
      <c r="L107" s="389"/>
    </row>
    <row r="108" spans="1:12" s="1" customFormat="1" x14ac:dyDescent="0.25">
      <c r="A108" s="382"/>
      <c r="B108" s="1149" t="s">
        <v>955</v>
      </c>
      <c r="C108" s="1150"/>
      <c r="D108" s="1150"/>
      <c r="E108" s="1150"/>
      <c r="F108" s="1150"/>
      <c r="G108" s="1150"/>
      <c r="H108" s="1150"/>
      <c r="I108" s="1160"/>
      <c r="J108" s="373">
        <f>SUM(J109:J118)+J119+J120+J121+J122</f>
        <v>25442386</v>
      </c>
      <c r="K108" s="373">
        <f>SUM(K109:K118)</f>
        <v>0</v>
      </c>
      <c r="L108" s="373">
        <f>SUM(L109:L118)</f>
        <v>0</v>
      </c>
    </row>
    <row r="109" spans="1:12" s="394" customFormat="1" ht="23.25" hidden="1" customHeight="1" x14ac:dyDescent="0.25">
      <c r="A109" s="390"/>
      <c r="B109" s="391"/>
      <c r="C109" s="391"/>
      <c r="D109" s="391"/>
      <c r="E109" s="391"/>
      <c r="F109" s="1065"/>
      <c r="G109" s="1066"/>
      <c r="H109" s="392"/>
      <c r="I109" s="228"/>
      <c r="J109" s="368"/>
      <c r="K109" s="41">
        <v>0</v>
      </c>
      <c r="L109" s="41">
        <v>0</v>
      </c>
    </row>
    <row r="110" spans="1:12" s="394" customFormat="1" ht="14.25" hidden="1" customHeight="1" x14ac:dyDescent="0.25">
      <c r="A110" s="390"/>
      <c r="B110" s="391"/>
      <c r="C110" s="391"/>
      <c r="D110" s="391"/>
      <c r="E110" s="391"/>
      <c r="F110" s="1065"/>
      <c r="G110" s="1066"/>
      <c r="H110" s="392"/>
      <c r="I110" s="228"/>
      <c r="J110" s="368"/>
      <c r="K110" s="41">
        <v>0</v>
      </c>
      <c r="L110" s="393">
        <v>0</v>
      </c>
    </row>
    <row r="111" spans="1:12" s="394" customFormat="1" ht="2.25" hidden="1" customHeight="1" x14ac:dyDescent="0.25">
      <c r="A111" s="390"/>
      <c r="B111" s="391"/>
      <c r="C111" s="391"/>
      <c r="D111" s="391"/>
      <c r="E111" s="391"/>
      <c r="F111" s="1065"/>
      <c r="G111" s="1066"/>
      <c r="H111" s="392"/>
      <c r="I111" s="228"/>
      <c r="J111" s="368"/>
      <c r="K111" s="393">
        <v>0</v>
      </c>
      <c r="L111" s="393">
        <v>0</v>
      </c>
    </row>
    <row r="112" spans="1:12" s="394" customFormat="1" hidden="1" x14ac:dyDescent="0.25">
      <c r="A112" s="390"/>
      <c r="B112" s="391"/>
      <c r="C112" s="391"/>
      <c r="D112" s="391"/>
      <c r="E112" s="391"/>
      <c r="F112" s="1065"/>
      <c r="G112" s="1066"/>
      <c r="H112" s="392"/>
      <c r="I112" s="228"/>
      <c r="J112" s="368"/>
      <c r="K112" s="368"/>
      <c r="L112" s="368"/>
    </row>
    <row r="113" spans="1:12" ht="14.25" hidden="1" customHeight="1" x14ac:dyDescent="0.25">
      <c r="A113" s="348"/>
      <c r="B113" s="391"/>
      <c r="C113" s="391"/>
      <c r="D113" s="391"/>
      <c r="E113" s="391"/>
      <c r="F113" s="1065"/>
      <c r="G113" s="1066"/>
      <c r="H113" s="392"/>
      <c r="I113" s="381"/>
      <c r="J113" s="368"/>
      <c r="K113" s="84">
        <v>0</v>
      </c>
      <c r="L113" s="84">
        <v>0</v>
      </c>
    </row>
    <row r="114" spans="1:12" ht="22.5" hidden="1" customHeight="1" x14ac:dyDescent="0.25">
      <c r="A114" s="348"/>
      <c r="B114" s="391"/>
      <c r="C114" s="391"/>
      <c r="D114" s="391"/>
      <c r="E114" s="391"/>
      <c r="F114" s="1065"/>
      <c r="G114" s="1066"/>
      <c r="H114" s="392"/>
      <c r="I114" s="228"/>
      <c r="J114" s="368"/>
      <c r="K114" s="84">
        <v>0</v>
      </c>
      <c r="L114" s="84">
        <v>0</v>
      </c>
    </row>
    <row r="115" spans="1:12" ht="21.75" hidden="1" customHeight="1" x14ac:dyDescent="0.25">
      <c r="A115" s="348"/>
      <c r="B115" s="391"/>
      <c r="C115" s="391"/>
      <c r="D115" s="391"/>
      <c r="E115" s="391"/>
      <c r="F115" s="1065"/>
      <c r="G115" s="1066"/>
      <c r="H115" s="392"/>
      <c r="I115" s="228"/>
      <c r="J115" s="368"/>
      <c r="K115" s="84">
        <v>0</v>
      </c>
      <c r="L115" s="84">
        <v>0</v>
      </c>
    </row>
    <row r="116" spans="1:12" ht="33" hidden="1" customHeight="1" x14ac:dyDescent="0.25">
      <c r="A116" s="348"/>
      <c r="B116" s="349"/>
      <c r="C116" s="349"/>
      <c r="D116" s="349"/>
      <c r="E116" s="349"/>
      <c r="F116" s="1119"/>
      <c r="G116" s="1120"/>
      <c r="H116" s="395"/>
      <c r="I116" s="533"/>
      <c r="J116" s="368"/>
      <c r="K116" s="84">
        <v>0</v>
      </c>
      <c r="L116" s="84">
        <v>0</v>
      </c>
    </row>
    <row r="117" spans="1:12" ht="129" customHeight="1" x14ac:dyDescent="0.25">
      <c r="A117" s="348">
        <v>1</v>
      </c>
      <c r="B117" s="349" t="s">
        <v>15</v>
      </c>
      <c r="C117" s="349" t="s">
        <v>124</v>
      </c>
      <c r="D117" s="349" t="s">
        <v>122</v>
      </c>
      <c r="E117" s="349" t="s">
        <v>1078</v>
      </c>
      <c r="F117" s="1119" t="s">
        <v>1079</v>
      </c>
      <c r="G117" s="1120"/>
      <c r="H117" s="395">
        <v>400</v>
      </c>
      <c r="I117" s="228" t="s">
        <v>1080</v>
      </c>
      <c r="J117" s="368">
        <v>25192386</v>
      </c>
      <c r="K117" s="84">
        <v>0</v>
      </c>
      <c r="L117" s="84">
        <v>0</v>
      </c>
    </row>
    <row r="118" spans="1:12" ht="81" customHeight="1" x14ac:dyDescent="0.25">
      <c r="A118" s="396">
        <v>2</v>
      </c>
      <c r="B118" s="397" t="s">
        <v>15</v>
      </c>
      <c r="C118" s="397" t="s">
        <v>124</v>
      </c>
      <c r="D118" s="397" t="s">
        <v>122</v>
      </c>
      <c r="E118" s="397" t="s">
        <v>1060</v>
      </c>
      <c r="F118" s="1112" t="s">
        <v>1061</v>
      </c>
      <c r="G118" s="1113"/>
      <c r="H118" s="398" t="s">
        <v>275</v>
      </c>
      <c r="I118" s="228" t="s">
        <v>1057</v>
      </c>
      <c r="J118" s="368">
        <v>-459690</v>
      </c>
      <c r="K118" s="84">
        <v>0</v>
      </c>
      <c r="L118" s="84">
        <v>0</v>
      </c>
    </row>
    <row r="119" spans="1:12" ht="110.25" customHeight="1" x14ac:dyDescent="0.25">
      <c r="A119" s="348">
        <v>3</v>
      </c>
      <c r="B119" s="397" t="s">
        <v>16</v>
      </c>
      <c r="C119" s="397" t="s">
        <v>124</v>
      </c>
      <c r="D119" s="397" t="s">
        <v>122</v>
      </c>
      <c r="E119" s="397" t="s">
        <v>1060</v>
      </c>
      <c r="F119" s="1112" t="s">
        <v>1061</v>
      </c>
      <c r="G119" s="1113"/>
      <c r="H119" s="398" t="s">
        <v>427</v>
      </c>
      <c r="I119" s="454" t="s">
        <v>1070</v>
      </c>
      <c r="J119" s="368">
        <v>459690</v>
      </c>
      <c r="K119" s="84">
        <v>0</v>
      </c>
      <c r="L119" s="84">
        <v>0</v>
      </c>
    </row>
    <row r="120" spans="1:12" ht="55.5" customHeight="1" x14ac:dyDescent="0.25">
      <c r="A120" s="240">
        <v>4</v>
      </c>
      <c r="B120" s="560" t="s">
        <v>15</v>
      </c>
      <c r="C120" s="560" t="s">
        <v>124</v>
      </c>
      <c r="D120" s="560" t="s">
        <v>123</v>
      </c>
      <c r="E120" s="560" t="s">
        <v>1081</v>
      </c>
      <c r="F120" s="1065" t="s">
        <v>1082</v>
      </c>
      <c r="G120" s="1066"/>
      <c r="H120" s="399" t="s">
        <v>275</v>
      </c>
      <c r="I120" s="228" t="s">
        <v>1083</v>
      </c>
      <c r="J120" s="368">
        <v>-100000</v>
      </c>
      <c r="K120" s="41">
        <f>K121</f>
        <v>0</v>
      </c>
      <c r="L120" s="41">
        <f>L121</f>
        <v>0</v>
      </c>
    </row>
    <row r="121" spans="1:12" ht="64.5" customHeight="1" x14ac:dyDescent="0.25">
      <c r="A121" s="348">
        <v>5</v>
      </c>
      <c r="B121" s="391" t="s">
        <v>16</v>
      </c>
      <c r="C121" s="391" t="s">
        <v>124</v>
      </c>
      <c r="D121" s="391" t="s">
        <v>123</v>
      </c>
      <c r="E121" s="391" t="s">
        <v>1081</v>
      </c>
      <c r="F121" s="1065" t="s">
        <v>1082</v>
      </c>
      <c r="G121" s="1066"/>
      <c r="H121" s="392">
        <v>500</v>
      </c>
      <c r="I121" s="228" t="s">
        <v>1084</v>
      </c>
      <c r="J121" s="368">
        <v>100000</v>
      </c>
      <c r="K121" s="393">
        <v>0</v>
      </c>
      <c r="L121" s="393">
        <v>0</v>
      </c>
    </row>
    <row r="122" spans="1:12" ht="80.25" customHeight="1" x14ac:dyDescent="0.25">
      <c r="A122" s="240">
        <v>6</v>
      </c>
      <c r="B122" s="391" t="s">
        <v>16</v>
      </c>
      <c r="C122" s="391" t="s">
        <v>124</v>
      </c>
      <c r="D122" s="391" t="s">
        <v>123</v>
      </c>
      <c r="E122" s="391" t="s">
        <v>1089</v>
      </c>
      <c r="F122" s="1065" t="s">
        <v>1090</v>
      </c>
      <c r="G122" s="1066"/>
      <c r="H122" s="392">
        <v>500</v>
      </c>
      <c r="I122" s="228" t="s">
        <v>1087</v>
      </c>
      <c r="J122" s="368">
        <v>250000</v>
      </c>
      <c r="K122" s="84">
        <v>0</v>
      </c>
      <c r="L122" s="84">
        <v>0</v>
      </c>
    </row>
    <row r="123" spans="1:12" x14ac:dyDescent="0.25">
      <c r="A123" s="468"/>
      <c r="B123" s="1142" t="s">
        <v>957</v>
      </c>
      <c r="C123" s="1142"/>
      <c r="D123" s="1142"/>
      <c r="E123" s="1142"/>
      <c r="F123" s="1142"/>
      <c r="G123" s="1142"/>
      <c r="H123" s="1142"/>
      <c r="I123" s="1142"/>
      <c r="J123" s="373">
        <f>SUM(J124:J128)</f>
        <v>-200000</v>
      </c>
      <c r="K123" s="373">
        <f>SUM(K124:K128)</f>
        <v>0</v>
      </c>
      <c r="L123" s="373">
        <f>SUM(L124:L128)</f>
        <v>0</v>
      </c>
    </row>
    <row r="124" spans="1:12" ht="110.25" customHeight="1" x14ac:dyDescent="0.25">
      <c r="A124" s="374">
        <v>1</v>
      </c>
      <c r="B124" s="349" t="s">
        <v>15</v>
      </c>
      <c r="C124" s="349" t="s">
        <v>138</v>
      </c>
      <c r="D124" s="349" t="s">
        <v>138</v>
      </c>
      <c r="E124" s="349" t="s">
        <v>1064</v>
      </c>
      <c r="F124" s="1119" t="s">
        <v>1068</v>
      </c>
      <c r="G124" s="1120"/>
      <c r="H124" s="417" t="s">
        <v>275</v>
      </c>
      <c r="I124" s="375" t="s">
        <v>1069</v>
      </c>
      <c r="J124" s="368">
        <v>50000</v>
      </c>
      <c r="K124" s="404">
        <v>0</v>
      </c>
      <c r="L124" s="404">
        <v>0</v>
      </c>
    </row>
    <row r="125" spans="1:12" ht="13.5" hidden="1" customHeight="1" x14ac:dyDescent="0.25">
      <c r="A125" s="374"/>
      <c r="B125" s="349"/>
      <c r="C125" s="349"/>
      <c r="D125" s="349"/>
      <c r="E125" s="349"/>
      <c r="F125" s="1119"/>
      <c r="G125" s="1120"/>
      <c r="H125" s="561"/>
      <c r="I125" s="228"/>
      <c r="J125" s="368"/>
      <c r="K125" s="110">
        <v>0</v>
      </c>
      <c r="L125" s="110">
        <v>0</v>
      </c>
    </row>
    <row r="126" spans="1:12" ht="10.5" hidden="1" customHeight="1" x14ac:dyDescent="0.25">
      <c r="A126" s="374"/>
      <c r="B126" s="349"/>
      <c r="C126" s="349"/>
      <c r="D126" s="349"/>
      <c r="E126" s="349"/>
      <c r="F126" s="1119"/>
      <c r="G126" s="1120"/>
      <c r="H126" s="562"/>
      <c r="I126" s="228"/>
      <c r="J126" s="407"/>
      <c r="K126" s="110">
        <v>0</v>
      </c>
      <c r="L126" s="110">
        <v>0</v>
      </c>
    </row>
    <row r="127" spans="1:12" ht="0.75" hidden="1" customHeight="1" x14ac:dyDescent="0.25">
      <c r="A127" s="374"/>
      <c r="B127" s="349"/>
      <c r="C127" s="349"/>
      <c r="D127" s="349"/>
      <c r="E127" s="349"/>
      <c r="F127" s="1119"/>
      <c r="G127" s="1120"/>
      <c r="H127" s="417"/>
      <c r="I127" s="501"/>
      <c r="J127" s="407"/>
      <c r="K127" s="84">
        <v>0</v>
      </c>
      <c r="L127" s="84">
        <v>0</v>
      </c>
    </row>
    <row r="128" spans="1:12" ht="82.5" customHeight="1" x14ac:dyDescent="0.25">
      <c r="A128" s="374">
        <v>2</v>
      </c>
      <c r="B128" s="349" t="s">
        <v>15</v>
      </c>
      <c r="C128" s="349" t="s">
        <v>138</v>
      </c>
      <c r="D128" s="349" t="s">
        <v>132</v>
      </c>
      <c r="E128" s="349" t="s">
        <v>1064</v>
      </c>
      <c r="F128" s="1119" t="s">
        <v>1085</v>
      </c>
      <c r="G128" s="1120"/>
      <c r="H128" s="561">
        <v>200</v>
      </c>
      <c r="I128" s="228" t="s">
        <v>1086</v>
      </c>
      <c r="J128" s="407">
        <v>-250000</v>
      </c>
      <c r="K128" s="84">
        <v>0</v>
      </c>
      <c r="L128" s="84">
        <v>0</v>
      </c>
    </row>
    <row r="129" spans="1:14" x14ac:dyDescent="0.25">
      <c r="A129" s="240"/>
      <c r="B129" s="1114" t="s">
        <v>958</v>
      </c>
      <c r="C129" s="1115"/>
      <c r="D129" s="1115"/>
      <c r="E129" s="1115"/>
      <c r="F129" s="1115"/>
      <c r="G129" s="1115"/>
      <c r="H129" s="1115"/>
      <c r="I129" s="1116"/>
      <c r="J129" s="46">
        <f>J130+J131+J132+J133</f>
        <v>0</v>
      </c>
      <c r="K129" s="46">
        <f t="shared" ref="K129:L129" si="1">K130+K131+K132</f>
        <v>0</v>
      </c>
      <c r="L129" s="46">
        <f t="shared" si="1"/>
        <v>0</v>
      </c>
    </row>
    <row r="130" spans="1:14" ht="19.5" customHeight="1" x14ac:dyDescent="0.25">
      <c r="A130" s="348"/>
      <c r="B130" s="349"/>
      <c r="C130" s="349"/>
      <c r="D130" s="349"/>
      <c r="E130" s="349"/>
      <c r="F130" s="1119"/>
      <c r="G130" s="1120"/>
      <c r="H130" s="417"/>
      <c r="I130" s="386"/>
      <c r="J130" s="368"/>
      <c r="K130" s="84">
        <v>0</v>
      </c>
      <c r="L130" s="84">
        <v>0</v>
      </c>
    </row>
    <row r="131" spans="1:14" ht="0.75" customHeight="1" x14ac:dyDescent="0.25">
      <c r="A131" s="348"/>
      <c r="B131" s="349"/>
      <c r="C131" s="349"/>
      <c r="D131" s="349"/>
      <c r="E131" s="349"/>
      <c r="F131" s="1119"/>
      <c r="G131" s="1120"/>
      <c r="H131" s="417"/>
      <c r="I131" s="228"/>
      <c r="J131" s="368"/>
      <c r="K131" s="84">
        <v>0</v>
      </c>
      <c r="L131" s="84">
        <v>0</v>
      </c>
      <c r="N131" s="364"/>
    </row>
    <row r="132" spans="1:14" ht="19.5" hidden="1" customHeight="1" x14ac:dyDescent="0.25">
      <c r="A132" s="348"/>
      <c r="B132" s="349"/>
      <c r="C132" s="349"/>
      <c r="D132" s="349"/>
      <c r="E132" s="349"/>
      <c r="F132" s="1119"/>
      <c r="G132" s="1120"/>
      <c r="H132" s="395"/>
      <c r="I132" s="228"/>
      <c r="J132" s="368"/>
      <c r="K132" s="84">
        <v>0</v>
      </c>
      <c r="L132" s="84">
        <v>0</v>
      </c>
    </row>
    <row r="133" spans="1:14" hidden="1" x14ac:dyDescent="0.25">
      <c r="A133" s="240"/>
      <c r="B133" s="349"/>
      <c r="C133" s="349"/>
      <c r="D133" s="349"/>
      <c r="E133" s="349"/>
      <c r="F133" s="1119"/>
      <c r="G133" s="1120"/>
      <c r="H133" s="412"/>
      <c r="I133" s="228"/>
      <c r="J133" s="368"/>
      <c r="K133" s="84">
        <v>0</v>
      </c>
      <c r="L133" s="84">
        <v>0</v>
      </c>
    </row>
    <row r="134" spans="1:14" hidden="1" x14ac:dyDescent="0.25">
      <c r="A134" s="240"/>
      <c r="B134" s="466"/>
      <c r="C134" s="411"/>
      <c r="D134" s="411"/>
      <c r="E134" s="411"/>
      <c r="F134" s="1200"/>
      <c r="G134" s="1201"/>
      <c r="H134" s="412"/>
      <c r="I134" s="375"/>
      <c r="J134" s="368"/>
      <c r="K134" s="84">
        <v>0</v>
      </c>
      <c r="L134" s="84">
        <v>0</v>
      </c>
    </row>
    <row r="135" spans="1:14" hidden="1" x14ac:dyDescent="0.25">
      <c r="A135" s="240"/>
      <c r="B135" s="466"/>
      <c r="C135" s="411"/>
      <c r="D135" s="411"/>
      <c r="E135" s="411"/>
      <c r="F135" s="1200"/>
      <c r="G135" s="1201"/>
      <c r="H135" s="412"/>
      <c r="I135" s="413"/>
      <c r="J135" s="368"/>
      <c r="K135" s="84">
        <v>0</v>
      </c>
      <c r="L135" s="84">
        <v>0</v>
      </c>
    </row>
    <row r="136" spans="1:14" hidden="1" x14ac:dyDescent="0.25">
      <c r="A136" s="240"/>
      <c r="B136" s="467"/>
      <c r="C136" s="414"/>
      <c r="D136" s="414"/>
      <c r="E136" s="414"/>
      <c r="F136" s="1194"/>
      <c r="G136" s="1195"/>
      <c r="H136" s="415"/>
      <c r="I136" s="375"/>
      <c r="J136" s="368"/>
      <c r="K136" s="84">
        <v>0</v>
      </c>
      <c r="L136" s="84">
        <v>0</v>
      </c>
    </row>
    <row r="137" spans="1:14" hidden="1" x14ac:dyDescent="0.25">
      <c r="A137" s="240"/>
      <c r="B137" s="467"/>
      <c r="C137" s="414"/>
      <c r="D137" s="414"/>
      <c r="E137" s="414"/>
      <c r="F137" s="1067"/>
      <c r="G137" s="1068"/>
      <c r="H137" s="415"/>
      <c r="I137" s="375"/>
      <c r="J137" s="368"/>
      <c r="K137" s="84">
        <v>0</v>
      </c>
      <c r="L137" s="84">
        <v>0</v>
      </c>
    </row>
    <row r="138" spans="1:14" ht="0.75" hidden="1" customHeight="1" x14ac:dyDescent="0.25">
      <c r="A138" s="240"/>
      <c r="B138" s="463"/>
      <c r="C138" s="463"/>
      <c r="D138" s="463"/>
      <c r="E138" s="463"/>
      <c r="F138" s="1067"/>
      <c r="G138" s="1068"/>
      <c r="H138" s="416"/>
      <c r="I138" s="375"/>
      <c r="J138" s="368"/>
      <c r="K138" s="84">
        <v>0</v>
      </c>
      <c r="L138" s="84">
        <v>0</v>
      </c>
    </row>
    <row r="139" spans="1:14" x14ac:dyDescent="0.25">
      <c r="A139" s="240"/>
      <c r="B139" s="1107" t="s">
        <v>959</v>
      </c>
      <c r="C139" s="1108"/>
      <c r="D139" s="1108"/>
      <c r="E139" s="1108"/>
      <c r="F139" s="1108"/>
      <c r="G139" s="1108"/>
      <c r="H139" s="1108"/>
      <c r="I139" s="1109"/>
      <c r="J139" s="46">
        <f>J145</f>
        <v>0</v>
      </c>
      <c r="K139" s="46">
        <f>K140+K141+K142</f>
        <v>0</v>
      </c>
      <c r="L139" s="46">
        <f>L140+L141+L142</f>
        <v>0</v>
      </c>
    </row>
    <row r="140" spans="1:14" ht="10.5" hidden="1" customHeight="1" x14ac:dyDescent="0.25">
      <c r="A140" s="240"/>
      <c r="B140" s="349"/>
      <c r="C140" s="349"/>
      <c r="D140" s="349"/>
      <c r="E140" s="349"/>
      <c r="F140" s="1119"/>
      <c r="G140" s="1120"/>
      <c r="H140" s="417"/>
      <c r="I140" s="400"/>
      <c r="J140" s="41"/>
      <c r="K140" s="84"/>
      <c r="L140" s="84"/>
    </row>
    <row r="141" spans="1:14" ht="1.5" hidden="1" customHeight="1" x14ac:dyDescent="0.25">
      <c r="A141" s="469"/>
      <c r="B141" s="349"/>
      <c r="C141" s="349"/>
      <c r="D141" s="349"/>
      <c r="E141" s="349"/>
      <c r="F141" s="349"/>
      <c r="G141" s="405"/>
      <c r="H141" s="395"/>
      <c r="I141" s="400"/>
      <c r="J141" s="41"/>
      <c r="K141" s="84"/>
      <c r="L141" s="84"/>
    </row>
    <row r="142" spans="1:14" hidden="1" x14ac:dyDescent="0.25">
      <c r="A142" s="240"/>
      <c r="B142" s="349"/>
      <c r="C142" s="349"/>
      <c r="D142" s="349"/>
      <c r="E142" s="349"/>
      <c r="F142" s="349"/>
      <c r="G142" s="405"/>
      <c r="H142" s="395"/>
      <c r="I142" s="400"/>
      <c r="J142" s="41"/>
      <c r="K142" s="84"/>
      <c r="L142" s="84"/>
    </row>
    <row r="143" spans="1:14" hidden="1" x14ac:dyDescent="0.25">
      <c r="A143" s="240"/>
      <c r="B143" s="349"/>
      <c r="C143" s="349"/>
      <c r="D143" s="349"/>
      <c r="E143" s="349"/>
      <c r="F143" s="349"/>
      <c r="G143" s="349"/>
      <c r="H143" s="349"/>
      <c r="I143" s="400"/>
      <c r="J143" s="41"/>
      <c r="K143" s="84"/>
      <c r="L143" s="84"/>
    </row>
    <row r="144" spans="1:14" hidden="1" x14ac:dyDescent="0.25">
      <c r="A144" s="240"/>
      <c r="B144" s="419"/>
      <c r="C144" s="133"/>
      <c r="D144" s="133"/>
      <c r="E144" s="133"/>
      <c r="F144" s="133"/>
      <c r="G144" s="133"/>
      <c r="H144" s="133"/>
      <c r="I144" s="36"/>
      <c r="J144" s="41"/>
      <c r="K144" s="84"/>
      <c r="L144" s="84"/>
    </row>
    <row r="145" spans="1:12" ht="15" customHeight="1" x14ac:dyDescent="0.25">
      <c r="A145" s="240"/>
      <c r="B145" s="465"/>
      <c r="C145" s="416"/>
      <c r="D145" s="416"/>
      <c r="E145" s="416"/>
      <c r="F145" s="1065"/>
      <c r="G145" s="1066"/>
      <c r="H145" s="416"/>
      <c r="I145" s="420"/>
      <c r="J145" s="41"/>
      <c r="K145" s="84">
        <v>0</v>
      </c>
      <c r="L145" s="84">
        <v>0</v>
      </c>
    </row>
    <row r="146" spans="1:12" x14ac:dyDescent="0.25">
      <c r="A146" s="240"/>
      <c r="B146" s="1114" t="s">
        <v>960</v>
      </c>
      <c r="C146" s="1115"/>
      <c r="D146" s="1115"/>
      <c r="E146" s="1115"/>
      <c r="F146" s="1115"/>
      <c r="G146" s="1115"/>
      <c r="H146" s="1115"/>
      <c r="I146" s="1116"/>
      <c r="J146" s="46">
        <f>SUM(J152:J154)+J147+J148+J150+J151+J149+J155+J156+J157+J158</f>
        <v>0</v>
      </c>
      <c r="K146" s="46">
        <f>SUM(K152:K154)+K147+K148+K150+K151+K149+K155+K156+K157+K158</f>
        <v>0</v>
      </c>
      <c r="L146" s="46">
        <f>SUM(L152:L154)+L147+L148+L150+L151+L149+L155+L156+L157+L158</f>
        <v>0</v>
      </c>
    </row>
    <row r="147" spans="1:12" ht="0.75" customHeight="1" x14ac:dyDescent="0.25">
      <c r="A147" s="477"/>
      <c r="B147" s="414"/>
      <c r="C147" s="414"/>
      <c r="D147" s="414"/>
      <c r="E147" s="414"/>
      <c r="F147" s="1194"/>
      <c r="G147" s="1195"/>
      <c r="H147" s="443"/>
      <c r="I147" s="378"/>
      <c r="J147" s="368"/>
      <c r="K147" s="41">
        <v>0</v>
      </c>
      <c r="L147" s="41">
        <v>0</v>
      </c>
    </row>
    <row r="148" spans="1:12" ht="44.25" hidden="1" customHeight="1" x14ac:dyDescent="0.25">
      <c r="A148" s="504"/>
      <c r="B148" s="414"/>
      <c r="C148" s="414"/>
      <c r="D148" s="414"/>
      <c r="E148" s="414"/>
      <c r="F148" s="1194"/>
      <c r="G148" s="1195"/>
      <c r="H148" s="476"/>
      <c r="I148" s="506"/>
      <c r="J148" s="368"/>
      <c r="K148" s="41">
        <v>0</v>
      </c>
      <c r="L148" s="41">
        <v>0</v>
      </c>
    </row>
    <row r="149" spans="1:12" hidden="1" x14ac:dyDescent="0.25">
      <c r="A149" s="477"/>
      <c r="B149" s="421"/>
      <c r="C149" s="421"/>
      <c r="D149" s="421"/>
      <c r="E149" s="421"/>
      <c r="F149" s="1067"/>
      <c r="G149" s="1068"/>
      <c r="H149" s="421"/>
      <c r="I149" s="505"/>
      <c r="J149" s="368"/>
      <c r="K149" s="368">
        <v>0</v>
      </c>
      <c r="L149" s="368">
        <v>0</v>
      </c>
    </row>
    <row r="150" spans="1:12" ht="0.75" hidden="1" customHeight="1" x14ac:dyDescent="0.25">
      <c r="A150" s="477"/>
      <c r="B150" s="421"/>
      <c r="C150" s="421"/>
      <c r="D150" s="421"/>
      <c r="E150" s="421"/>
      <c r="F150" s="1067"/>
      <c r="G150" s="1068"/>
      <c r="H150" s="421"/>
      <c r="I150" s="457"/>
      <c r="J150" s="368"/>
      <c r="K150" s="368"/>
      <c r="L150" s="368"/>
    </row>
    <row r="151" spans="1:12" hidden="1" x14ac:dyDescent="0.25">
      <c r="A151" s="477"/>
      <c r="B151" s="421"/>
      <c r="C151" s="421"/>
      <c r="D151" s="421"/>
      <c r="E151" s="421"/>
      <c r="F151" s="1196"/>
      <c r="G151" s="1197"/>
      <c r="H151" s="421"/>
      <c r="I151" s="460"/>
      <c r="J151" s="368"/>
      <c r="K151" s="41"/>
      <c r="L151" s="41"/>
    </row>
    <row r="152" spans="1:12" s="1" customFormat="1" ht="15" hidden="1" customHeight="1" x14ac:dyDescent="0.25">
      <c r="A152" s="477"/>
      <c r="B152" s="422"/>
      <c r="C152" s="422"/>
      <c r="D152" s="422"/>
      <c r="E152" s="422"/>
      <c r="F152" s="1198"/>
      <c r="G152" s="1199"/>
      <c r="H152" s="422"/>
      <c r="I152" s="441"/>
      <c r="J152" s="368"/>
      <c r="K152" s="84">
        <v>0</v>
      </c>
      <c r="L152" s="84">
        <v>0</v>
      </c>
    </row>
    <row r="153" spans="1:12" s="1" customFormat="1" ht="12.75" hidden="1" customHeight="1" x14ac:dyDescent="0.25">
      <c r="A153" s="430"/>
      <c r="B153" s="349"/>
      <c r="C153" s="349"/>
      <c r="D153" s="349"/>
      <c r="E153" s="349"/>
      <c r="F153" s="1119"/>
      <c r="G153" s="1120"/>
      <c r="H153" s="349"/>
      <c r="I153" s="378"/>
      <c r="J153" s="368"/>
      <c r="K153" s="84">
        <v>0</v>
      </c>
      <c r="L153" s="84">
        <v>0</v>
      </c>
    </row>
    <row r="154" spans="1:12" ht="1.5" hidden="1" customHeight="1" x14ac:dyDescent="0.25">
      <c r="A154" s="430"/>
      <c r="B154" s="349"/>
      <c r="C154" s="349"/>
      <c r="D154" s="349"/>
      <c r="E154" s="349"/>
      <c r="F154" s="1119"/>
      <c r="G154" s="1120"/>
      <c r="H154" s="349"/>
      <c r="I154" s="378"/>
      <c r="J154" s="368"/>
      <c r="K154" s="84">
        <v>0</v>
      </c>
      <c r="L154" s="84">
        <v>0</v>
      </c>
    </row>
    <row r="155" spans="1:12" hidden="1" x14ac:dyDescent="0.25">
      <c r="A155" s="430"/>
      <c r="B155" s="349"/>
      <c r="C155" s="349"/>
      <c r="D155" s="349"/>
      <c r="E155" s="349"/>
      <c r="F155" s="1119"/>
      <c r="G155" s="1120"/>
      <c r="H155" s="349"/>
      <c r="I155" s="378"/>
      <c r="J155" s="368"/>
      <c r="K155" s="84">
        <v>0</v>
      </c>
      <c r="L155" s="84">
        <v>0</v>
      </c>
    </row>
    <row r="156" spans="1:12" ht="15" hidden="1" customHeight="1" x14ac:dyDescent="0.25">
      <c r="A156" s="430"/>
      <c r="B156" s="349"/>
      <c r="C156" s="349"/>
      <c r="D156" s="349"/>
      <c r="E156" s="349"/>
      <c r="F156" s="1119"/>
      <c r="G156" s="1120"/>
      <c r="H156" s="349"/>
      <c r="I156" s="378"/>
      <c r="J156" s="368"/>
      <c r="K156" s="84">
        <v>0</v>
      </c>
      <c r="L156" s="84">
        <v>0</v>
      </c>
    </row>
    <row r="157" spans="1:12" hidden="1" x14ac:dyDescent="0.25">
      <c r="A157" s="471"/>
      <c r="B157" s="423"/>
      <c r="C157" s="423"/>
      <c r="D157" s="423"/>
      <c r="E157" s="423"/>
      <c r="F157" s="1121"/>
      <c r="G157" s="1122"/>
      <c r="H157" s="423"/>
      <c r="I157" s="442"/>
      <c r="J157" s="368"/>
      <c r="K157" s="84">
        <v>0</v>
      </c>
      <c r="L157" s="84">
        <v>0</v>
      </c>
    </row>
    <row r="158" spans="1:12" hidden="1" x14ac:dyDescent="0.25">
      <c r="A158" s="387"/>
      <c r="B158" s="423"/>
      <c r="C158" s="423"/>
      <c r="D158" s="423"/>
      <c r="E158" s="423"/>
      <c r="F158" s="1121"/>
      <c r="G158" s="1122"/>
      <c r="H158" s="423"/>
      <c r="I158" s="377"/>
      <c r="J158" s="368"/>
      <c r="K158" s="84">
        <v>0</v>
      </c>
      <c r="L158" s="84">
        <v>0</v>
      </c>
    </row>
    <row r="159" spans="1:12" ht="18" customHeight="1" x14ac:dyDescent="0.25">
      <c r="A159" s="380"/>
      <c r="B159" s="349"/>
      <c r="C159" s="349"/>
      <c r="D159" s="349"/>
      <c r="E159" s="349"/>
      <c r="F159" s="1119"/>
      <c r="G159" s="1120"/>
      <c r="H159" s="349"/>
      <c r="I159" s="424"/>
      <c r="J159" s="368"/>
      <c r="K159" s="84"/>
      <c r="L159" s="84"/>
    </row>
    <row r="160" spans="1:12" ht="18" customHeight="1" x14ac:dyDescent="0.25">
      <c r="A160" s="240"/>
      <c r="B160" s="1123" t="s">
        <v>961</v>
      </c>
      <c r="C160" s="1124"/>
      <c r="D160" s="1124"/>
      <c r="E160" s="1124"/>
      <c r="F160" s="1124"/>
      <c r="G160" s="1124"/>
      <c r="H160" s="1124"/>
      <c r="I160" s="1125"/>
      <c r="J160" s="46">
        <f>J164+J163+J162+J161</f>
        <v>-50000</v>
      </c>
      <c r="K160" s="46">
        <f>K164+K163+K162+K161</f>
        <v>0</v>
      </c>
      <c r="L160" s="46">
        <f>L164+L163+L162+L161</f>
        <v>0</v>
      </c>
    </row>
    <row r="161" spans="1:12" ht="12.75" hidden="1" customHeight="1" x14ac:dyDescent="0.25">
      <c r="A161" s="348"/>
      <c r="B161" s="349"/>
      <c r="C161" s="349"/>
      <c r="D161" s="349"/>
      <c r="E161" s="349"/>
      <c r="F161" s="1119"/>
      <c r="G161" s="1120"/>
      <c r="H161" s="417"/>
      <c r="I161" s="228"/>
      <c r="J161" s="368"/>
      <c r="K161" s="84">
        <v>0</v>
      </c>
      <c r="L161" s="84">
        <v>0</v>
      </c>
    </row>
    <row r="162" spans="1:12" ht="84.75" customHeight="1" x14ac:dyDescent="0.25">
      <c r="A162" s="348">
        <v>1</v>
      </c>
      <c r="B162" s="349" t="s">
        <v>15</v>
      </c>
      <c r="C162" s="349" t="s">
        <v>128</v>
      </c>
      <c r="D162" s="349" t="s">
        <v>132</v>
      </c>
      <c r="E162" s="349" t="s">
        <v>1065</v>
      </c>
      <c r="F162" s="1119" t="s">
        <v>1066</v>
      </c>
      <c r="G162" s="1120"/>
      <c r="H162" s="417" t="s">
        <v>275</v>
      </c>
      <c r="I162" s="228" t="s">
        <v>1067</v>
      </c>
      <c r="J162" s="368">
        <v>-50000</v>
      </c>
      <c r="K162" s="84">
        <v>0</v>
      </c>
      <c r="L162" s="84">
        <v>0</v>
      </c>
    </row>
    <row r="163" spans="1:12" ht="28.5" hidden="1" customHeight="1" x14ac:dyDescent="0.25">
      <c r="A163" s="82"/>
      <c r="B163" s="349"/>
      <c r="C163" s="349"/>
      <c r="D163" s="349"/>
      <c r="E163" s="349"/>
      <c r="F163" s="1119"/>
      <c r="G163" s="1120"/>
      <c r="H163" s="349"/>
      <c r="I163" s="228"/>
      <c r="J163" s="368"/>
      <c r="K163" s="84">
        <v>0</v>
      </c>
      <c r="L163" s="84">
        <v>0</v>
      </c>
    </row>
    <row r="164" spans="1:12" ht="35.25" hidden="1" customHeight="1" x14ac:dyDescent="0.25">
      <c r="A164" s="82"/>
      <c r="B164" s="464"/>
      <c r="C164" s="463"/>
      <c r="D164" s="463"/>
      <c r="E164" s="463"/>
      <c r="F164" s="1067"/>
      <c r="G164" s="1068"/>
      <c r="H164" s="416"/>
      <c r="I164" s="375"/>
      <c r="J164" s="368"/>
      <c r="K164" s="84">
        <v>0</v>
      </c>
      <c r="L164" s="84">
        <v>0</v>
      </c>
    </row>
    <row r="165" spans="1:12" x14ac:dyDescent="0.25">
      <c r="A165" s="82"/>
      <c r="B165" s="1123" t="s">
        <v>962</v>
      </c>
      <c r="C165" s="1124"/>
      <c r="D165" s="1124"/>
      <c r="E165" s="1124"/>
      <c r="F165" s="1124"/>
      <c r="G165" s="1124"/>
      <c r="H165" s="1124"/>
      <c r="I165" s="1125"/>
      <c r="J165" s="46">
        <f>J167+J168</f>
        <v>0</v>
      </c>
      <c r="K165" s="46">
        <f>K166</f>
        <v>0</v>
      </c>
      <c r="L165" s="46">
        <f>L166</f>
        <v>0</v>
      </c>
    </row>
    <row r="166" spans="1:12" ht="0.75" customHeight="1" x14ac:dyDescent="0.25">
      <c r="A166" s="370"/>
      <c r="B166" s="349"/>
      <c r="C166" s="349"/>
      <c r="D166" s="349"/>
      <c r="E166" s="349"/>
      <c r="F166" s="349"/>
      <c r="G166" s="349"/>
      <c r="H166" s="349"/>
      <c r="I166" s="400"/>
      <c r="J166" s="41"/>
      <c r="K166" s="84"/>
      <c r="L166" s="84"/>
    </row>
    <row r="167" spans="1:12" hidden="1" x14ac:dyDescent="0.25">
      <c r="A167" s="370"/>
      <c r="B167" s="425"/>
      <c r="C167" s="425"/>
      <c r="D167" s="425"/>
      <c r="E167" s="425"/>
      <c r="F167" s="1131"/>
      <c r="G167" s="1132"/>
      <c r="H167" s="425"/>
      <c r="I167" s="426"/>
      <c r="J167" s="427"/>
      <c r="K167" s="84">
        <v>0</v>
      </c>
      <c r="L167" s="84">
        <v>0</v>
      </c>
    </row>
    <row r="168" spans="1:12" hidden="1" x14ac:dyDescent="0.25">
      <c r="A168" s="370"/>
      <c r="B168" s="349"/>
      <c r="C168" s="349"/>
      <c r="D168" s="349"/>
      <c r="E168" s="349"/>
      <c r="F168" s="1119"/>
      <c r="G168" s="1120"/>
      <c r="H168" s="349"/>
      <c r="I168" s="400"/>
      <c r="J168" s="41"/>
      <c r="K168" s="84"/>
      <c r="L168" s="84"/>
    </row>
    <row r="169" spans="1:12" s="1" customFormat="1" x14ac:dyDescent="0.25">
      <c r="A169" s="26"/>
      <c r="B169" s="1133" t="s">
        <v>963</v>
      </c>
      <c r="C169" s="1134"/>
      <c r="D169" s="1134"/>
      <c r="E169" s="1134"/>
      <c r="F169" s="1134"/>
      <c r="G169" s="1134"/>
      <c r="H169" s="1134"/>
      <c r="I169" s="1135"/>
      <c r="J169" s="46">
        <f>SUM(J170:J178)</f>
        <v>0</v>
      </c>
      <c r="K169" s="46">
        <f>SUM(K170:K178)</f>
        <v>0</v>
      </c>
      <c r="L169" s="46">
        <f>SUM(L170:L178)</f>
        <v>0</v>
      </c>
    </row>
    <row r="170" spans="1:12" s="1" customFormat="1" hidden="1" x14ac:dyDescent="0.25">
      <c r="A170" s="428"/>
      <c r="B170" s="349"/>
      <c r="C170" s="349"/>
      <c r="D170" s="349"/>
      <c r="E170" s="349"/>
      <c r="F170" s="1119"/>
      <c r="G170" s="1120"/>
      <c r="H170" s="349"/>
      <c r="I170" s="400"/>
      <c r="J170" s="401"/>
      <c r="K170" s="110"/>
      <c r="L170" s="110"/>
    </row>
    <row r="171" spans="1:12" s="1" customFormat="1" ht="0.75" hidden="1" customHeight="1" x14ac:dyDescent="0.25">
      <c r="A171" s="428"/>
      <c r="B171" s="349"/>
      <c r="C171" s="349"/>
      <c r="D171" s="349"/>
      <c r="E171" s="349"/>
      <c r="F171" s="1119"/>
      <c r="G171" s="1120"/>
      <c r="H171" s="349"/>
      <c r="I171" s="400"/>
      <c r="J171" s="110"/>
      <c r="K171" s="429"/>
      <c r="L171" s="110"/>
    </row>
    <row r="172" spans="1:12" s="1" customFormat="1" hidden="1" x14ac:dyDescent="0.25">
      <c r="A172" s="430"/>
      <c r="B172" s="349"/>
      <c r="C172" s="349"/>
      <c r="D172" s="349"/>
      <c r="E172" s="349"/>
      <c r="F172" s="349"/>
      <c r="G172" s="349"/>
      <c r="H172" s="349"/>
      <c r="I172" s="36"/>
      <c r="J172" s="41"/>
      <c r="K172" s="110"/>
      <c r="L172" s="110"/>
    </row>
    <row r="173" spans="1:12" hidden="1" x14ac:dyDescent="0.25">
      <c r="A173" s="430"/>
      <c r="B173" s="349"/>
      <c r="C173" s="349"/>
      <c r="D173" s="349"/>
      <c r="E173" s="349"/>
      <c r="F173" s="349"/>
      <c r="G173" s="349"/>
      <c r="H173" s="349"/>
      <c r="I173" s="400"/>
      <c r="J173" s="41"/>
      <c r="K173" s="84"/>
      <c r="L173" s="84"/>
    </row>
    <row r="174" spans="1:12" hidden="1" x14ac:dyDescent="0.25">
      <c r="A174" s="78"/>
      <c r="B174" s="349"/>
      <c r="C174" s="349"/>
      <c r="D174" s="349"/>
      <c r="E174" s="349"/>
      <c r="F174" s="349"/>
      <c r="G174" s="349"/>
      <c r="H174" s="349"/>
      <c r="I174" s="431"/>
      <c r="J174" s="41"/>
      <c r="K174" s="84"/>
      <c r="L174" s="84"/>
    </row>
    <row r="175" spans="1:12" hidden="1" x14ac:dyDescent="0.25">
      <c r="A175" s="78"/>
      <c r="B175" s="349"/>
      <c r="C175" s="349"/>
      <c r="D175" s="349"/>
      <c r="E175" s="349"/>
      <c r="F175" s="349"/>
      <c r="G175" s="349"/>
      <c r="H175" s="349"/>
      <c r="I175" s="400"/>
      <c r="J175" s="41"/>
      <c r="K175" s="84"/>
      <c r="L175" s="84"/>
    </row>
    <row r="176" spans="1:12" hidden="1" x14ac:dyDescent="0.25">
      <c r="A176" s="78"/>
      <c r="B176" s="349"/>
      <c r="C176" s="349"/>
      <c r="D176" s="349"/>
      <c r="E176" s="349"/>
      <c r="F176" s="349"/>
      <c r="G176" s="349"/>
      <c r="H176" s="349"/>
      <c r="I176" s="400"/>
      <c r="J176" s="41"/>
      <c r="K176" s="84"/>
      <c r="L176" s="84"/>
    </row>
    <row r="177" spans="1:14" hidden="1" x14ac:dyDescent="0.25">
      <c r="A177" s="78"/>
      <c r="B177" s="349"/>
      <c r="C177" s="349"/>
      <c r="D177" s="349"/>
      <c r="E177" s="349"/>
      <c r="F177" s="1119"/>
      <c r="G177" s="1120"/>
      <c r="H177" s="349"/>
      <c r="I177" s="400"/>
      <c r="J177" s="41"/>
      <c r="K177" s="84"/>
      <c r="L177" s="84"/>
    </row>
    <row r="178" spans="1:14" hidden="1" x14ac:dyDescent="0.25">
      <c r="A178" s="432"/>
      <c r="B178" s="433"/>
      <c r="C178" s="433"/>
      <c r="D178" s="433"/>
      <c r="E178" s="433"/>
      <c r="F178" s="1127"/>
      <c r="G178" s="1128"/>
      <c r="H178" s="433"/>
      <c r="I178" s="434"/>
      <c r="J178" s="435"/>
      <c r="K178" s="436"/>
      <c r="L178" s="436"/>
    </row>
    <row r="179" spans="1:14" hidden="1" x14ac:dyDescent="0.25">
      <c r="A179" s="78"/>
      <c r="B179" s="349"/>
      <c r="C179" s="349"/>
      <c r="D179" s="349"/>
      <c r="E179" s="349"/>
      <c r="F179" s="349"/>
      <c r="G179" s="349"/>
      <c r="H179" s="349"/>
      <c r="I179" s="400"/>
      <c r="J179" s="41"/>
      <c r="K179" s="84"/>
      <c r="L179" s="84"/>
    </row>
    <row r="180" spans="1:14" x14ac:dyDescent="0.25">
      <c r="A180" s="82"/>
      <c r="B180" s="1097" t="s">
        <v>964</v>
      </c>
      <c r="C180" s="1098"/>
      <c r="D180" s="1098"/>
      <c r="E180" s="1098"/>
      <c r="F180" s="1098"/>
      <c r="G180" s="1098"/>
      <c r="H180" s="1098"/>
      <c r="I180" s="1099"/>
      <c r="J180" s="46">
        <f>J169+J146+J139+J129+J123+J108+J88+J78+J160+J165+J91+J179</f>
        <v>25192386</v>
      </c>
      <c r="K180" s="46">
        <f>K169+K146+K139+K129+K123+K108+K88+K78+K120+K160+K165+K91+K179</f>
        <v>0</v>
      </c>
      <c r="L180" s="46">
        <f>L169+L146+L139+L129+L123+L108+L88+L78+L120+L160+L165+L91+L179</f>
        <v>0</v>
      </c>
    </row>
    <row r="181" spans="1:14" x14ac:dyDescent="0.25">
      <c r="I181" s="25"/>
      <c r="J181" s="64"/>
    </row>
    <row r="182" spans="1:14" x14ac:dyDescent="0.25">
      <c r="I182" s="25"/>
      <c r="J182" s="64"/>
    </row>
    <row r="183" spans="1:14" x14ac:dyDescent="0.25">
      <c r="I183" s="25"/>
      <c r="J183" s="64"/>
    </row>
    <row r="184" spans="1:14" s="1" customFormat="1" ht="33" customHeight="1" x14ac:dyDescent="0.25">
      <c r="A184" s="1129" t="s">
        <v>1062</v>
      </c>
      <c r="B184" s="1129"/>
      <c r="C184" s="1129"/>
      <c r="D184" s="1129"/>
      <c r="E184" s="1129"/>
      <c r="F184" s="1129"/>
      <c r="G184" s="1129"/>
      <c r="H184" s="1129"/>
      <c r="I184" s="976" t="s">
        <v>1088</v>
      </c>
      <c r="J184" s="976"/>
    </row>
    <row r="187" spans="1:14" x14ac:dyDescent="0.25">
      <c r="A187" s="1" t="s">
        <v>967</v>
      </c>
    </row>
    <row r="188" spans="1:14" ht="15" customHeight="1" x14ac:dyDescent="0.25">
      <c r="A188" s="1130" t="s">
        <v>968</v>
      </c>
      <c r="B188" s="1130"/>
    </row>
    <row r="189" spans="1:14" ht="14.25" hidden="1" customHeight="1" x14ac:dyDescent="0.25">
      <c r="B189" s="3"/>
      <c r="C189" s="76"/>
      <c r="D189" s="76"/>
      <c r="E189" s="76"/>
      <c r="F189" s="76"/>
      <c r="G189" s="76"/>
      <c r="H189" s="76"/>
      <c r="I189" s="76"/>
      <c r="J189" s="76" t="s">
        <v>969</v>
      </c>
      <c r="K189" s="364">
        <f>П2ДОХОДЫ!E170</f>
        <v>782475604.05999994</v>
      </c>
      <c r="N189" s="364"/>
    </row>
    <row r="190" spans="1:14" hidden="1" x14ac:dyDescent="0.25">
      <c r="B190" s="1126" t="s">
        <v>944</v>
      </c>
      <c r="C190" s="1126"/>
      <c r="D190" s="1126"/>
      <c r="E190" s="1126"/>
      <c r="F190" s="1126"/>
      <c r="G190" s="1126"/>
      <c r="H190" s="1126"/>
      <c r="I190" s="1126"/>
      <c r="J190" s="437"/>
    </row>
    <row r="191" spans="1:14" hidden="1" x14ac:dyDescent="0.25">
      <c r="B191" s="976" t="s">
        <v>970</v>
      </c>
      <c r="C191" s="976"/>
      <c r="D191" s="976"/>
      <c r="E191" s="976"/>
      <c r="F191" s="976"/>
      <c r="G191" s="976"/>
      <c r="H191" s="976"/>
      <c r="I191" s="976"/>
      <c r="J191" s="5">
        <f>J192+J193+J194+J195</f>
        <v>0</v>
      </c>
      <c r="K191" s="5" t="e">
        <f>#REF!</f>
        <v>#REF!</v>
      </c>
      <c r="L191" s="5" t="e">
        <f>#REF!</f>
        <v>#REF!</v>
      </c>
    </row>
    <row r="192" spans="1:14" hidden="1" x14ac:dyDescent="0.25">
      <c r="B192" s="461"/>
      <c r="C192" s="461"/>
      <c r="D192" s="461"/>
      <c r="E192" s="461"/>
      <c r="F192" s="461"/>
      <c r="G192" s="461"/>
      <c r="H192" s="461"/>
      <c r="I192" s="438" t="s">
        <v>15</v>
      </c>
      <c r="J192" s="5"/>
      <c r="K192" s="5"/>
      <c r="L192" s="5"/>
    </row>
    <row r="193" spans="2:12" hidden="1" x14ac:dyDescent="0.25">
      <c r="B193" s="461"/>
      <c r="C193" s="461"/>
      <c r="D193" s="461"/>
      <c r="E193" s="461"/>
      <c r="F193" s="461"/>
      <c r="G193" s="461"/>
      <c r="H193" s="461"/>
      <c r="I193" s="438" t="s">
        <v>16</v>
      </c>
      <c r="J193" s="5"/>
      <c r="K193" s="5"/>
      <c r="L193" s="5"/>
    </row>
    <row r="194" spans="2:12" hidden="1" x14ac:dyDescent="0.25">
      <c r="B194" s="461"/>
      <c r="C194" s="461"/>
      <c r="D194" s="461"/>
      <c r="E194" s="461"/>
      <c r="F194" s="461"/>
      <c r="G194" s="461"/>
      <c r="H194" s="461"/>
      <c r="I194" s="438" t="s">
        <v>18</v>
      </c>
      <c r="J194" s="5"/>
      <c r="K194" s="5"/>
      <c r="L194" s="5"/>
    </row>
    <row r="195" spans="2:12" hidden="1" x14ac:dyDescent="0.25">
      <c r="B195" s="461"/>
      <c r="C195" s="461"/>
      <c r="D195" s="461"/>
      <c r="E195" s="461"/>
      <c r="F195" s="461"/>
      <c r="G195" s="461"/>
      <c r="H195" s="461"/>
      <c r="I195" s="438" t="s">
        <v>19</v>
      </c>
      <c r="J195" s="5"/>
      <c r="K195" s="5"/>
      <c r="L195" s="5"/>
    </row>
    <row r="196" spans="2:12" hidden="1" x14ac:dyDescent="0.25">
      <c r="B196" s="976" t="s">
        <v>971</v>
      </c>
      <c r="C196" s="976"/>
      <c r="D196" s="976"/>
      <c r="E196" s="976"/>
      <c r="F196" s="976"/>
      <c r="G196" s="976"/>
      <c r="H196" s="976"/>
      <c r="I196" s="976"/>
      <c r="J196" s="5">
        <f>J197+J198+J199+J200</f>
        <v>25192386</v>
      </c>
      <c r="K196" s="5" t="e">
        <f>K7+K8+#REF!+#REF!+#REF!+#REF!+#REF!+#REF!+#REF!+#REF!+#REF!+#REF!+#REF!+#REF!</f>
        <v>#REF!</v>
      </c>
      <c r="L196" s="5" t="e">
        <f>L7+L8+#REF!+#REF!+#REF!+#REF!+#REF!+#REF!+#REF!+#REF!+#REF!+#REF!+#REF!+#REF!</f>
        <v>#REF!</v>
      </c>
    </row>
    <row r="197" spans="2:12" hidden="1" x14ac:dyDescent="0.25">
      <c r="B197" s="461"/>
      <c r="C197" s="461"/>
      <c r="D197" s="461"/>
      <c r="E197" s="461"/>
      <c r="F197" s="461"/>
      <c r="G197" s="461"/>
      <c r="H197" s="461"/>
      <c r="I197" s="438" t="s">
        <v>15</v>
      </c>
      <c r="J197" s="5">
        <f>J7+J8</f>
        <v>25192386</v>
      </c>
      <c r="K197" s="5"/>
      <c r="L197" s="5"/>
    </row>
    <row r="198" spans="2:12" hidden="1" x14ac:dyDescent="0.25">
      <c r="B198" s="461"/>
      <c r="C198" s="461"/>
      <c r="D198" s="461"/>
      <c r="E198" s="461"/>
      <c r="F198" s="461"/>
      <c r="G198" s="461"/>
      <c r="H198" s="461"/>
      <c r="I198" s="438" t="s">
        <v>16</v>
      </c>
      <c r="J198" s="5">
        <f>J10</f>
        <v>0</v>
      </c>
      <c r="K198" s="5"/>
      <c r="L198" s="5"/>
    </row>
    <row r="199" spans="2:12" hidden="1" x14ac:dyDescent="0.25">
      <c r="B199" s="461"/>
      <c r="C199" s="461"/>
      <c r="D199" s="461"/>
      <c r="E199" s="461"/>
      <c r="F199" s="461"/>
      <c r="G199" s="461"/>
      <c r="H199" s="461"/>
      <c r="I199" s="438" t="s">
        <v>18</v>
      </c>
      <c r="J199" s="5">
        <v>0</v>
      </c>
      <c r="K199" s="5"/>
      <c r="L199" s="5"/>
    </row>
    <row r="200" spans="2:12" hidden="1" x14ac:dyDescent="0.25">
      <c r="B200" s="461"/>
      <c r="C200" s="461"/>
      <c r="D200" s="461"/>
      <c r="E200" s="461"/>
      <c r="F200" s="461"/>
      <c r="G200" s="461"/>
      <c r="H200" s="461"/>
      <c r="I200" s="438" t="s">
        <v>19</v>
      </c>
      <c r="J200" s="5">
        <v>0</v>
      </c>
      <c r="K200" s="5"/>
      <c r="L200" s="5"/>
    </row>
    <row r="201" spans="2:12" hidden="1" x14ac:dyDescent="0.25">
      <c r="B201" s="976" t="s">
        <v>260</v>
      </c>
      <c r="C201" s="976"/>
      <c r="D201" s="976"/>
      <c r="E201" s="976"/>
      <c r="F201" s="976"/>
      <c r="G201" s="976"/>
      <c r="H201" s="976"/>
      <c r="I201" s="976"/>
      <c r="J201" s="5">
        <f>SUM(J191:J196)</f>
        <v>25192386</v>
      </c>
      <c r="K201" s="5" t="e">
        <f>SUM(K191:K196)</f>
        <v>#REF!</v>
      </c>
      <c r="L201" s="5" t="e">
        <f>SUM(L191:L196)</f>
        <v>#REF!</v>
      </c>
    </row>
    <row r="202" spans="2:12" hidden="1" x14ac:dyDescent="0.25">
      <c r="B202" s="1126" t="s">
        <v>948</v>
      </c>
      <c r="C202" s="1126"/>
      <c r="D202" s="1126"/>
      <c r="E202" s="1126"/>
      <c r="F202" s="1126"/>
      <c r="G202" s="1126"/>
      <c r="H202" s="1126"/>
      <c r="I202" s="1126"/>
      <c r="J202" s="437"/>
    </row>
    <row r="203" spans="2:12" hidden="1" x14ac:dyDescent="0.25">
      <c r="B203" s="976" t="s">
        <v>972</v>
      </c>
      <c r="C203" s="976"/>
      <c r="D203" s="976"/>
      <c r="E203" s="976"/>
      <c r="F203" s="976"/>
      <c r="G203" s="976"/>
      <c r="H203" s="976"/>
      <c r="I203" s="976"/>
      <c r="J203" s="5">
        <v>0</v>
      </c>
      <c r="K203" s="5">
        <f>K67+K69</f>
        <v>0</v>
      </c>
      <c r="L203" s="5">
        <f>L67+L69</f>
        <v>0</v>
      </c>
    </row>
    <row r="204" spans="2:12" hidden="1" x14ac:dyDescent="0.25">
      <c r="B204" s="976" t="s">
        <v>973</v>
      </c>
      <c r="C204" s="976"/>
      <c r="D204" s="976"/>
      <c r="E204" s="976"/>
      <c r="F204" s="976"/>
      <c r="G204" s="976"/>
      <c r="H204" s="976"/>
      <c r="I204" s="976"/>
      <c r="J204" s="5">
        <f>J67</f>
        <v>0</v>
      </c>
      <c r="K204" s="5"/>
      <c r="L204" s="5"/>
    </row>
    <row r="205" spans="2:12" hidden="1" x14ac:dyDescent="0.25">
      <c r="B205" s="976" t="s">
        <v>974</v>
      </c>
      <c r="C205" s="976"/>
      <c r="D205" s="976"/>
      <c r="E205" s="976"/>
      <c r="F205" s="976"/>
      <c r="G205" s="976"/>
      <c r="H205" s="976"/>
      <c r="I205" s="976"/>
      <c r="J205" s="5">
        <f>J68</f>
        <v>0</v>
      </c>
      <c r="K205" s="5">
        <f>K68</f>
        <v>0</v>
      </c>
      <c r="L205" s="5">
        <f>L68</f>
        <v>0</v>
      </c>
    </row>
    <row r="206" spans="2:12" hidden="1" x14ac:dyDescent="0.25">
      <c r="B206" s="976" t="s">
        <v>260</v>
      </c>
      <c r="C206" s="976"/>
      <c r="D206" s="976"/>
      <c r="E206" s="976"/>
      <c r="F206" s="976"/>
      <c r="G206" s="976"/>
      <c r="H206" s="976"/>
      <c r="I206" s="976"/>
      <c r="J206" s="5">
        <f>SUM(J203:J205)</f>
        <v>0</v>
      </c>
      <c r="K206" s="5">
        <f>SUM(K203:K205)</f>
        <v>0</v>
      </c>
      <c r="L206" s="5">
        <f>SUM(L203:L205)</f>
        <v>0</v>
      </c>
    </row>
    <row r="207" spans="2:12" hidden="1" x14ac:dyDescent="0.25">
      <c r="B207" s="1126" t="s">
        <v>950</v>
      </c>
      <c r="C207" s="1126"/>
      <c r="D207" s="1126"/>
      <c r="E207" s="1126"/>
      <c r="F207" s="1126"/>
      <c r="G207" s="1126"/>
      <c r="H207" s="1126"/>
      <c r="I207" s="1126"/>
      <c r="J207" s="437"/>
    </row>
    <row r="208" spans="2:12" hidden="1" x14ac:dyDescent="0.25">
      <c r="B208" s="976" t="s">
        <v>975</v>
      </c>
      <c r="C208" s="976"/>
      <c r="D208" s="976"/>
      <c r="E208" s="976"/>
      <c r="F208" s="976"/>
      <c r="G208" s="976"/>
      <c r="H208" s="976"/>
      <c r="I208" s="976"/>
      <c r="J208" s="64" t="e">
        <f>#REF!+#REF!+#REF!+#REF!+#REF!+J79+#REF!+#REF!+J161+J162+J163+#REF!+J80+J81+J109+J110+J87+J152+J111+#REF!</f>
        <v>#REF!</v>
      </c>
      <c r="K208" s="64" t="e">
        <f>#REF!+#REF!+#REF!+K79+K89+#REF!+#REF!+#REF!+K109+K110</f>
        <v>#REF!</v>
      </c>
      <c r="L208" s="64" t="e">
        <f>#REF!+#REF!+#REF!+L79+L89+#REF!+#REF!+#REF!+L109+L110</f>
        <v>#REF!</v>
      </c>
    </row>
    <row r="209" spans="2:12" hidden="1" x14ac:dyDescent="0.25">
      <c r="B209" s="976" t="s">
        <v>976</v>
      </c>
      <c r="C209" s="976"/>
      <c r="D209" s="976"/>
      <c r="E209" s="976"/>
      <c r="F209" s="976"/>
      <c r="G209" s="976"/>
      <c r="H209" s="976"/>
      <c r="I209" s="976"/>
      <c r="J209" s="64">
        <f>J165</f>
        <v>0</v>
      </c>
      <c r="K209" s="64">
        <f>K179+K170</f>
        <v>0</v>
      </c>
      <c r="L209" s="64">
        <f>L179+L170</f>
        <v>0</v>
      </c>
    </row>
    <row r="210" spans="2:12" hidden="1" x14ac:dyDescent="0.25">
      <c r="B210" s="976" t="s">
        <v>977</v>
      </c>
      <c r="C210" s="976"/>
      <c r="D210" s="976"/>
      <c r="E210" s="976"/>
      <c r="F210" s="976"/>
      <c r="G210" s="976"/>
      <c r="H210" s="976"/>
      <c r="I210" s="976"/>
      <c r="J210" s="64">
        <f>J124+J125+J126</f>
        <v>50000</v>
      </c>
      <c r="K210" s="64" t="e">
        <f>#REF!+K126+K125+#REF!+#REF!+#REF!+#REF!+#REF!+#REF!+#REF!+#REF!+#REF!+#REF!+#REF!+#REF!+#REF!+#REF!+#REF!+#REF!+#REF!</f>
        <v>#REF!</v>
      </c>
      <c r="L210" s="64" t="e">
        <f>#REF!+L126+L125+#REF!+#REF!+#REF!+#REF!+#REF!+#REF!+#REF!+#REF!+#REF!+#REF!+#REF!+#REF!+#REF!+#REF!+#REF!+#REF!+#REF!</f>
        <v>#REF!</v>
      </c>
    </row>
    <row r="211" spans="2:12" hidden="1" x14ac:dyDescent="0.25">
      <c r="B211" s="976" t="s">
        <v>978</v>
      </c>
      <c r="C211" s="976"/>
      <c r="D211" s="976"/>
      <c r="E211" s="976"/>
      <c r="F211" s="976"/>
      <c r="G211" s="976"/>
      <c r="H211" s="976"/>
      <c r="I211" s="976"/>
      <c r="J211" s="64" t="e">
        <f>#REF!+#REF!</f>
        <v>#REF!</v>
      </c>
      <c r="K211" s="64" t="e">
        <f>#REF!+#REF!</f>
        <v>#REF!</v>
      </c>
      <c r="L211" s="64" t="e">
        <f>#REF!+#REF!</f>
        <v>#REF!</v>
      </c>
    </row>
    <row r="212" spans="2:12" hidden="1" x14ac:dyDescent="0.25">
      <c r="B212" s="976" t="s">
        <v>260</v>
      </c>
      <c r="C212" s="976"/>
      <c r="D212" s="976"/>
      <c r="E212" s="976"/>
      <c r="F212" s="976"/>
      <c r="G212" s="976"/>
      <c r="H212" s="976"/>
      <c r="I212" s="976"/>
      <c r="J212" s="64" t="e">
        <f>SUM(J208:J211)</f>
        <v>#REF!</v>
      </c>
      <c r="K212" s="64" t="e">
        <f>SUM(K208:K211)</f>
        <v>#REF!</v>
      </c>
      <c r="L212" s="64" t="e">
        <f>SUM(L208:L211)</f>
        <v>#REF!</v>
      </c>
    </row>
    <row r="213" spans="2:12" ht="19.5" hidden="1" customHeight="1" x14ac:dyDescent="0.25">
      <c r="B213" s="1126" t="s">
        <v>979</v>
      </c>
      <c r="C213" s="1126"/>
      <c r="D213" s="1126"/>
      <c r="E213" s="1126"/>
      <c r="F213" s="1126"/>
      <c r="G213" s="1126"/>
      <c r="H213" s="1126"/>
      <c r="I213" s="1126"/>
      <c r="J213" s="439" t="e">
        <f>J201-(J212-J206)</f>
        <v>#REF!</v>
      </c>
      <c r="K213" s="439" t="e">
        <f>K201-(K212-K206)</f>
        <v>#REF!</v>
      </c>
      <c r="L213" s="439" t="e">
        <f>L201-(L212-L206)</f>
        <v>#REF!</v>
      </c>
    </row>
    <row r="214" spans="2:12" ht="0.75" customHeight="1" x14ac:dyDescent="0.25">
      <c r="B214" s="531"/>
      <c r="C214" s="531"/>
      <c r="D214" s="531"/>
      <c r="E214" s="531"/>
      <c r="F214" s="531"/>
      <c r="G214" s="531"/>
      <c r="H214" s="531"/>
      <c r="I214" s="531"/>
      <c r="J214" s="64" t="s">
        <v>969</v>
      </c>
      <c r="K214" s="64">
        <f>П2ДОХОДЫ!E170</f>
        <v>782475604.05999994</v>
      </c>
      <c r="L214" s="439"/>
    </row>
    <row r="215" spans="2:12" hidden="1" x14ac:dyDescent="0.25">
      <c r="J215" s="28" t="s">
        <v>980</v>
      </c>
      <c r="K215" s="364">
        <f>П4ВСР!Z698</f>
        <v>911824309</v>
      </c>
    </row>
    <row r="216" spans="2:12" hidden="1" x14ac:dyDescent="0.25">
      <c r="I216" s="461"/>
      <c r="J216" s="28" t="s">
        <v>981</v>
      </c>
      <c r="K216" s="364">
        <f>П2ДОХОДЫ!E13</f>
        <v>219266470.66000003</v>
      </c>
    </row>
    <row r="217" spans="2:12" hidden="1" x14ac:dyDescent="0.25">
      <c r="J217" s="28" t="s">
        <v>982</v>
      </c>
      <c r="K217" s="364">
        <f>K189-K215</f>
        <v>-129348704.94000006</v>
      </c>
      <c r="L217" s="364"/>
    </row>
    <row r="218" spans="2:12" hidden="1" x14ac:dyDescent="0.25">
      <c r="K218" s="364">
        <f>П1ИВФ!C18</f>
        <v>2360000</v>
      </c>
    </row>
    <row r="219" spans="2:12" hidden="1" x14ac:dyDescent="0.25">
      <c r="K219" s="3">
        <f>K218/K216*100</f>
        <v>1.0763159514978804</v>
      </c>
    </row>
    <row r="220" spans="2:12" hidden="1" x14ac:dyDescent="0.25"/>
    <row r="221" spans="2:12" x14ac:dyDescent="0.25">
      <c r="K221" s="364"/>
    </row>
    <row r="222" spans="2:12" x14ac:dyDescent="0.25">
      <c r="K222" s="364"/>
    </row>
    <row r="223" spans="2:12" x14ac:dyDescent="0.25">
      <c r="K223" s="364"/>
    </row>
    <row r="224" spans="2:12" x14ac:dyDescent="0.25">
      <c r="J224" s="64"/>
    </row>
    <row r="225" spans="10:12" x14ac:dyDescent="0.25">
      <c r="K225" s="364"/>
    </row>
    <row r="228" spans="10:12" x14ac:dyDescent="0.25">
      <c r="L228" s="364"/>
    </row>
    <row r="229" spans="10:12" x14ac:dyDescent="0.25">
      <c r="L229" s="364"/>
    </row>
    <row r="230" spans="10:12" x14ac:dyDescent="0.25">
      <c r="K230" s="28"/>
      <c r="L230" s="364"/>
    </row>
    <row r="231" spans="10:12" x14ac:dyDescent="0.25">
      <c r="K231" s="28"/>
      <c r="L231" s="364"/>
    </row>
    <row r="232" spans="10:12" x14ac:dyDescent="0.25">
      <c r="J232" s="76"/>
      <c r="K232" s="28"/>
      <c r="L232" s="364"/>
    </row>
    <row r="233" spans="10:12" x14ac:dyDescent="0.25">
      <c r="J233" s="437"/>
    </row>
  </sheetData>
  <mergeCells count="139">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3:I123"/>
    <mergeCell ref="F124:G124"/>
    <mergeCell ref="F125:G125"/>
    <mergeCell ref="F126:G126"/>
    <mergeCell ref="F114:G114"/>
    <mergeCell ref="F115:G115"/>
    <mergeCell ref="F116:G116"/>
    <mergeCell ref="F117:G117"/>
    <mergeCell ref="F118:G118"/>
    <mergeCell ref="F119:G119"/>
    <mergeCell ref="F120:G120"/>
    <mergeCell ref="F122:G122"/>
    <mergeCell ref="F127:G127"/>
    <mergeCell ref="F128:G128"/>
    <mergeCell ref="B129:I129"/>
    <mergeCell ref="F130:G130"/>
    <mergeCell ref="F137:G137"/>
    <mergeCell ref="F138:G138"/>
    <mergeCell ref="B139:I139"/>
    <mergeCell ref="F140:G140"/>
    <mergeCell ref="F145:G145"/>
    <mergeCell ref="B146:I146"/>
    <mergeCell ref="F131:G131"/>
    <mergeCell ref="F132:G132"/>
    <mergeCell ref="F133:G133"/>
    <mergeCell ref="F134:G134"/>
    <mergeCell ref="F135:G135"/>
    <mergeCell ref="F136:G136"/>
    <mergeCell ref="F153:G153"/>
    <mergeCell ref="F154:G15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s>
  <pageMargins left="0.70866141732283472" right="0.70866141732283472" top="0.74803149606299213" bottom="0" header="0.31496062992125984" footer="0.31496062992125984"/>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82" t="s">
        <v>1001</v>
      </c>
      <c r="B1" s="1082"/>
      <c r="C1" s="1082"/>
      <c r="D1" s="1082"/>
      <c r="E1" s="1082"/>
      <c r="F1" s="1082"/>
      <c r="G1" s="1082"/>
      <c r="H1" s="1082"/>
      <c r="I1" s="1082"/>
      <c r="J1" s="1082"/>
      <c r="K1" s="1082"/>
      <c r="L1" s="1082"/>
    </row>
    <row r="2" spans="1:12" x14ac:dyDescent="0.25">
      <c r="A2" s="915" t="s">
        <v>983</v>
      </c>
      <c r="B2" s="915"/>
      <c r="C2" s="915"/>
      <c r="D2" s="915"/>
      <c r="E2" s="915"/>
      <c r="F2" s="915"/>
      <c r="G2" s="915"/>
      <c r="H2" s="915"/>
      <c r="I2" s="915"/>
      <c r="J2" s="915"/>
      <c r="K2" s="915"/>
      <c r="L2" s="915"/>
    </row>
    <row r="4" spans="1:12" x14ac:dyDescent="0.25">
      <c r="A4" s="1083" t="s">
        <v>944</v>
      </c>
      <c r="B4" s="1083"/>
      <c r="C4" s="1083"/>
      <c r="D4" s="1083"/>
      <c r="E4" s="1083"/>
      <c r="F4" s="1083"/>
      <c r="G4" s="1083"/>
      <c r="H4" s="1083"/>
      <c r="I4" s="1083"/>
      <c r="J4" s="1083"/>
      <c r="K4" s="1083"/>
      <c r="L4" s="1083"/>
    </row>
    <row r="5" spans="1:12" x14ac:dyDescent="0.25">
      <c r="A5" s="1084" t="s">
        <v>945</v>
      </c>
      <c r="B5" s="1086" t="s">
        <v>121</v>
      </c>
      <c r="C5" s="1087"/>
      <c r="D5" s="1087"/>
      <c r="E5" s="1087"/>
      <c r="F5" s="1087"/>
      <c r="G5" s="1087"/>
      <c r="H5" s="1088"/>
      <c r="I5" s="916" t="s">
        <v>1</v>
      </c>
      <c r="J5" s="920" t="s">
        <v>946</v>
      </c>
      <c r="K5" s="921"/>
      <c r="L5" s="922"/>
    </row>
    <row r="6" spans="1:12" x14ac:dyDescent="0.25">
      <c r="A6" s="1085"/>
      <c r="B6" s="1089"/>
      <c r="C6" s="1090"/>
      <c r="D6" s="1090"/>
      <c r="E6" s="1090"/>
      <c r="F6" s="1090"/>
      <c r="G6" s="1090"/>
      <c r="H6" s="1091"/>
      <c r="I6" s="917"/>
      <c r="J6" s="481">
        <v>2018</v>
      </c>
      <c r="K6" s="78">
        <v>2019</v>
      </c>
      <c r="L6" s="78">
        <v>2020</v>
      </c>
    </row>
    <row r="7" spans="1:12" x14ac:dyDescent="0.25">
      <c r="A7" s="348"/>
      <c r="B7" s="349"/>
      <c r="C7" s="349"/>
      <c r="D7" s="349"/>
      <c r="E7" s="349"/>
      <c r="F7" s="349"/>
      <c r="G7" s="349"/>
      <c r="H7" s="349"/>
      <c r="I7" s="456"/>
      <c r="J7" s="321"/>
      <c r="K7" s="41">
        <v>0</v>
      </c>
      <c r="L7" s="41">
        <v>0</v>
      </c>
    </row>
    <row r="8" spans="1:12" ht="0.75" customHeight="1" x14ac:dyDescent="0.25">
      <c r="A8" s="348"/>
      <c r="B8" s="349"/>
      <c r="C8" s="349"/>
      <c r="D8" s="349"/>
      <c r="E8" s="349"/>
      <c r="F8" s="349"/>
      <c r="G8" s="349"/>
      <c r="H8" s="349"/>
      <c r="I8" s="456"/>
      <c r="J8" s="321"/>
      <c r="K8" s="41"/>
      <c r="L8" s="41"/>
    </row>
    <row r="9" spans="1:12" hidden="1" x14ac:dyDescent="0.25">
      <c r="A9" s="348"/>
      <c r="B9" s="352"/>
      <c r="C9" s="352"/>
      <c r="D9" s="352"/>
      <c r="E9" s="352"/>
      <c r="F9" s="352"/>
      <c r="G9" s="352"/>
      <c r="H9" s="352"/>
      <c r="I9" s="350"/>
      <c r="J9" s="353"/>
      <c r="K9" s="369"/>
      <c r="L9" s="369"/>
    </row>
    <row r="10" spans="1:12" hidden="1" x14ac:dyDescent="0.25">
      <c r="A10" s="348"/>
      <c r="B10" s="354"/>
      <c r="C10" s="354"/>
      <c r="D10" s="354"/>
      <c r="E10" s="354"/>
      <c r="F10" s="354"/>
      <c r="G10" s="354"/>
      <c r="H10" s="354"/>
      <c r="I10" s="458"/>
      <c r="J10" s="355"/>
      <c r="K10" s="369"/>
      <c r="L10" s="369"/>
    </row>
    <row r="11" spans="1:12" hidden="1" x14ac:dyDescent="0.25">
      <c r="A11" s="348"/>
      <c r="B11" s="354"/>
      <c r="C11" s="354"/>
      <c r="D11" s="354"/>
      <c r="E11" s="354"/>
      <c r="F11" s="354"/>
      <c r="G11" s="354"/>
      <c r="H11" s="354"/>
      <c r="I11" s="440"/>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79"/>
      <c r="J13" s="355"/>
      <c r="K13" s="110"/>
      <c r="L13" s="110"/>
    </row>
    <row r="14" spans="1:12" ht="0.75" hidden="1" customHeight="1" x14ac:dyDescent="0.25">
      <c r="A14" s="348"/>
      <c r="B14" s="354"/>
      <c r="C14" s="354"/>
      <c r="D14" s="354"/>
      <c r="E14" s="354"/>
      <c r="F14" s="354"/>
      <c r="G14" s="354"/>
      <c r="H14" s="354"/>
      <c r="I14" s="350"/>
      <c r="J14" s="355"/>
      <c r="K14" s="110">
        <v>0</v>
      </c>
      <c r="L14" s="110">
        <v>0</v>
      </c>
    </row>
    <row r="15" spans="1:12" hidden="1" x14ac:dyDescent="0.25">
      <c r="A15" s="348"/>
      <c r="B15" s="354"/>
      <c r="C15" s="354"/>
      <c r="D15" s="354"/>
      <c r="E15" s="354"/>
      <c r="F15" s="354"/>
      <c r="G15" s="354"/>
      <c r="H15" s="354"/>
      <c r="I15" s="350"/>
      <c r="J15" s="355"/>
      <c r="K15" s="110">
        <v>0</v>
      </c>
      <c r="L15" s="110">
        <v>0</v>
      </c>
    </row>
    <row r="16" spans="1:12" hidden="1" x14ac:dyDescent="0.25">
      <c r="A16" s="348"/>
      <c r="B16" s="354"/>
      <c r="C16" s="354"/>
      <c r="D16" s="354"/>
      <c r="E16" s="354"/>
      <c r="F16" s="354"/>
      <c r="G16" s="354"/>
      <c r="H16" s="354"/>
      <c r="I16" s="350"/>
      <c r="J16" s="355"/>
      <c r="K16" s="110">
        <v>0</v>
      </c>
      <c r="L16" s="110">
        <v>0</v>
      </c>
    </row>
    <row r="17" spans="1:12" hidden="1" x14ac:dyDescent="0.25">
      <c r="A17" s="348"/>
      <c r="B17" s="354"/>
      <c r="C17" s="354"/>
      <c r="D17" s="354"/>
      <c r="E17" s="354"/>
      <c r="F17" s="354"/>
      <c r="G17" s="354"/>
      <c r="H17" s="354"/>
      <c r="I17" s="357"/>
      <c r="J17" s="355"/>
      <c r="K17" s="110">
        <v>0</v>
      </c>
      <c r="L17" s="110">
        <v>0</v>
      </c>
    </row>
    <row r="18" spans="1:12" hidden="1" x14ac:dyDescent="0.25">
      <c r="A18" s="348"/>
      <c r="B18" s="354"/>
      <c r="C18" s="354"/>
      <c r="D18" s="354"/>
      <c r="E18" s="354"/>
      <c r="F18" s="354"/>
      <c r="G18" s="354"/>
      <c r="H18" s="354"/>
      <c r="I18" s="356"/>
      <c r="J18" s="355"/>
      <c r="K18" s="110">
        <v>0</v>
      </c>
      <c r="L18" s="110">
        <v>0</v>
      </c>
    </row>
    <row r="19" spans="1:12" hidden="1" x14ac:dyDescent="0.25">
      <c r="A19" s="348"/>
      <c r="B19" s="354"/>
      <c r="C19" s="354"/>
      <c r="D19" s="354"/>
      <c r="E19" s="354"/>
      <c r="F19" s="354"/>
      <c r="G19" s="354"/>
      <c r="H19" s="354"/>
      <c r="I19" s="356"/>
      <c r="J19" s="355"/>
      <c r="K19" s="110">
        <v>0</v>
      </c>
      <c r="L19" s="110">
        <v>0</v>
      </c>
    </row>
    <row r="20" spans="1:12" hidden="1" x14ac:dyDescent="0.25">
      <c r="A20" s="348"/>
      <c r="B20" s="354"/>
      <c r="C20" s="354"/>
      <c r="D20" s="354"/>
      <c r="E20" s="354"/>
      <c r="F20" s="354"/>
      <c r="G20" s="354"/>
      <c r="H20" s="354"/>
      <c r="I20" s="357"/>
      <c r="J20" s="355"/>
      <c r="K20" s="110">
        <v>0</v>
      </c>
      <c r="L20" s="110">
        <v>0</v>
      </c>
    </row>
    <row r="21" spans="1:12" hidden="1" x14ac:dyDescent="0.25">
      <c r="A21" s="348"/>
      <c r="B21" s="354"/>
      <c r="C21" s="354"/>
      <c r="D21" s="354"/>
      <c r="E21" s="354"/>
      <c r="F21" s="354"/>
      <c r="G21" s="354"/>
      <c r="H21" s="354"/>
      <c r="I21" s="357"/>
      <c r="J21" s="355"/>
      <c r="K21" s="110">
        <v>0</v>
      </c>
      <c r="L21" s="110">
        <v>0</v>
      </c>
    </row>
    <row r="22" spans="1:12" hidden="1" x14ac:dyDescent="0.25">
      <c r="A22" s="348"/>
      <c r="B22" s="354"/>
      <c r="C22" s="354"/>
      <c r="D22" s="354"/>
      <c r="E22" s="354"/>
      <c r="F22" s="354"/>
      <c r="G22" s="354"/>
      <c r="H22" s="354"/>
      <c r="I22" s="358"/>
      <c r="J22" s="355"/>
      <c r="K22" s="110">
        <v>0</v>
      </c>
      <c r="L22" s="110">
        <v>0</v>
      </c>
    </row>
    <row r="23" spans="1:12" hidden="1" x14ac:dyDescent="0.25">
      <c r="A23" s="348"/>
      <c r="B23" s="354"/>
      <c r="C23" s="354"/>
      <c r="D23" s="354"/>
      <c r="E23" s="354"/>
      <c r="F23" s="354"/>
      <c r="G23" s="354"/>
      <c r="H23" s="354"/>
      <c r="I23" s="356"/>
      <c r="J23" s="355"/>
      <c r="K23" s="110">
        <v>0</v>
      </c>
      <c r="L23" s="110">
        <v>0</v>
      </c>
    </row>
    <row r="24" spans="1:12" hidden="1" x14ac:dyDescent="0.25">
      <c r="A24" s="348"/>
      <c r="B24" s="354"/>
      <c r="C24" s="354"/>
      <c r="D24" s="354"/>
      <c r="E24" s="354"/>
      <c r="F24" s="354"/>
      <c r="G24" s="354"/>
      <c r="H24" s="354"/>
      <c r="I24" s="350"/>
      <c r="J24" s="355"/>
      <c r="K24" s="110">
        <v>0</v>
      </c>
      <c r="L24" s="110">
        <v>0</v>
      </c>
    </row>
    <row r="25" spans="1:12" hidden="1" x14ac:dyDescent="0.25">
      <c r="A25" s="348"/>
      <c r="B25" s="354"/>
      <c r="C25" s="354"/>
      <c r="D25" s="354"/>
      <c r="E25" s="354"/>
      <c r="F25" s="354"/>
      <c r="G25" s="354"/>
      <c r="H25" s="354"/>
      <c r="I25" s="350"/>
      <c r="J25" s="355"/>
      <c r="K25" s="110">
        <v>0</v>
      </c>
      <c r="L25" s="110">
        <v>0</v>
      </c>
    </row>
    <row r="26" spans="1:12" hidden="1" x14ac:dyDescent="0.25">
      <c r="A26" s="348"/>
      <c r="B26" s="354"/>
      <c r="C26" s="354"/>
      <c r="D26" s="354"/>
      <c r="E26" s="354"/>
      <c r="F26" s="354"/>
      <c r="G26" s="354"/>
      <c r="H26" s="354"/>
      <c r="I26" s="350"/>
      <c r="J26" s="355"/>
      <c r="K26" s="110">
        <v>0</v>
      </c>
      <c r="L26" s="110">
        <v>0</v>
      </c>
    </row>
    <row r="27" spans="1:12" hidden="1" x14ac:dyDescent="0.25">
      <c r="A27" s="348"/>
      <c r="B27" s="354"/>
      <c r="C27" s="354"/>
      <c r="D27" s="354"/>
      <c r="E27" s="354"/>
      <c r="F27" s="354"/>
      <c r="G27" s="354"/>
      <c r="H27" s="354"/>
      <c r="I27" s="350"/>
      <c r="J27" s="355"/>
      <c r="K27" s="110">
        <v>0</v>
      </c>
      <c r="L27" s="110">
        <v>0</v>
      </c>
    </row>
    <row r="28" spans="1:12" hidden="1" x14ac:dyDescent="0.25">
      <c r="A28" s="348"/>
      <c r="B28" s="354"/>
      <c r="C28" s="354"/>
      <c r="D28" s="354"/>
      <c r="E28" s="354"/>
      <c r="F28" s="354"/>
      <c r="G28" s="354"/>
      <c r="H28" s="354"/>
      <c r="I28" s="359"/>
      <c r="J28" s="355"/>
      <c r="K28" s="110">
        <v>0</v>
      </c>
      <c r="L28" s="110">
        <v>0</v>
      </c>
    </row>
    <row r="29" spans="1:12" hidden="1" x14ac:dyDescent="0.25">
      <c r="A29" s="348"/>
      <c r="B29" s="354"/>
      <c r="C29" s="354"/>
      <c r="D29" s="354"/>
      <c r="E29" s="354"/>
      <c r="F29" s="354"/>
      <c r="G29" s="354"/>
      <c r="H29" s="354"/>
      <c r="I29" s="350"/>
      <c r="J29" s="355"/>
      <c r="K29" s="110">
        <v>0</v>
      </c>
      <c r="L29" s="110">
        <v>0</v>
      </c>
    </row>
    <row r="30" spans="1:12" hidden="1" x14ac:dyDescent="0.25">
      <c r="A30" s="348"/>
      <c r="B30" s="354"/>
      <c r="C30" s="354"/>
      <c r="D30" s="354"/>
      <c r="E30" s="354"/>
      <c r="F30" s="354"/>
      <c r="G30" s="354"/>
      <c r="H30" s="354"/>
      <c r="I30" s="350"/>
      <c r="J30" s="355"/>
      <c r="K30" s="110">
        <v>0</v>
      </c>
      <c r="L30" s="110">
        <v>0</v>
      </c>
    </row>
    <row r="31" spans="1:12" hidden="1" x14ac:dyDescent="0.25">
      <c r="A31" s="348"/>
      <c r="B31" s="354"/>
      <c r="C31" s="354"/>
      <c r="D31" s="354"/>
      <c r="E31" s="354"/>
      <c r="F31" s="354"/>
      <c r="G31" s="354"/>
      <c r="H31" s="354"/>
      <c r="I31" s="350"/>
      <c r="J31" s="355"/>
      <c r="K31" s="110">
        <v>0</v>
      </c>
      <c r="L31" s="110">
        <v>0</v>
      </c>
    </row>
    <row r="32" spans="1:12" hidden="1" x14ac:dyDescent="0.25">
      <c r="A32" s="348"/>
      <c r="B32" s="354"/>
      <c r="C32" s="354"/>
      <c r="D32" s="354"/>
      <c r="E32" s="354"/>
      <c r="F32" s="354"/>
      <c r="G32" s="354"/>
      <c r="H32" s="354"/>
      <c r="I32" s="350"/>
      <c r="J32" s="355"/>
      <c r="K32" s="110">
        <v>0</v>
      </c>
      <c r="L32" s="110">
        <v>0</v>
      </c>
    </row>
    <row r="33" spans="1:12" hidden="1" x14ac:dyDescent="0.25">
      <c r="A33" s="348"/>
      <c r="B33" s="354"/>
      <c r="C33" s="354"/>
      <c r="D33" s="354"/>
      <c r="E33" s="354"/>
      <c r="F33" s="354"/>
      <c r="G33" s="354"/>
      <c r="H33" s="354"/>
      <c r="I33" s="360"/>
      <c r="J33" s="355"/>
      <c r="K33" s="110">
        <v>0</v>
      </c>
      <c r="L33" s="110">
        <v>0</v>
      </c>
    </row>
    <row r="34" spans="1:12" ht="9.75" hidden="1" customHeight="1" x14ac:dyDescent="0.25">
      <c r="A34" s="348"/>
      <c r="B34" s="354"/>
      <c r="C34" s="354"/>
      <c r="D34" s="354"/>
      <c r="E34" s="354"/>
      <c r="F34" s="354"/>
      <c r="G34" s="354"/>
      <c r="H34" s="354"/>
      <c r="I34" s="358"/>
      <c r="J34" s="355"/>
      <c r="K34" s="110">
        <v>0</v>
      </c>
      <c r="L34" s="110">
        <v>0</v>
      </c>
    </row>
    <row r="35" spans="1:12" hidden="1" x14ac:dyDescent="0.25">
      <c r="A35" s="348"/>
      <c r="B35" s="354"/>
      <c r="C35" s="354"/>
      <c r="D35" s="354"/>
      <c r="E35" s="354"/>
      <c r="F35" s="354"/>
      <c r="G35" s="354"/>
      <c r="H35" s="354"/>
      <c r="I35" s="456"/>
      <c r="J35" s="355"/>
      <c r="K35" s="369"/>
      <c r="L35" s="110"/>
    </row>
    <row r="36" spans="1:12" hidden="1" x14ac:dyDescent="0.25">
      <c r="A36" s="348"/>
      <c r="B36" s="354"/>
      <c r="C36" s="354"/>
      <c r="D36" s="354"/>
      <c r="E36" s="354"/>
      <c r="F36" s="354"/>
      <c r="G36" s="354"/>
      <c r="H36" s="354"/>
      <c r="I36" s="456"/>
      <c r="J36" s="355"/>
      <c r="K36" s="369"/>
      <c r="L36" s="369"/>
    </row>
    <row r="37" spans="1:12" hidden="1" x14ac:dyDescent="0.25">
      <c r="A37" s="348"/>
      <c r="B37" s="354"/>
      <c r="C37" s="354"/>
      <c r="D37" s="354"/>
      <c r="E37" s="354"/>
      <c r="F37" s="354"/>
      <c r="G37" s="354"/>
      <c r="H37" s="354"/>
      <c r="I37" s="458"/>
      <c r="J37" s="355"/>
      <c r="K37" s="110">
        <v>0</v>
      </c>
      <c r="L37" s="110">
        <v>0</v>
      </c>
    </row>
    <row r="38" spans="1:12" hidden="1" x14ac:dyDescent="0.25">
      <c r="A38" s="348"/>
      <c r="B38" s="354"/>
      <c r="C38" s="354"/>
      <c r="D38" s="354"/>
      <c r="E38" s="354"/>
      <c r="F38" s="354"/>
      <c r="G38" s="354"/>
      <c r="H38" s="354"/>
      <c r="I38" s="356"/>
      <c r="J38" s="355"/>
      <c r="K38" s="110">
        <v>0</v>
      </c>
      <c r="L38" s="110">
        <v>0</v>
      </c>
    </row>
    <row r="39" spans="1:12" hidden="1" x14ac:dyDescent="0.25">
      <c r="A39" s="348"/>
      <c r="B39" s="354"/>
      <c r="C39" s="354"/>
      <c r="D39" s="354"/>
      <c r="E39" s="354"/>
      <c r="F39" s="354"/>
      <c r="G39" s="354"/>
      <c r="H39" s="354"/>
      <c r="I39" s="350"/>
      <c r="J39" s="355"/>
      <c r="K39" s="110">
        <v>0</v>
      </c>
      <c r="L39" s="110">
        <v>0</v>
      </c>
    </row>
    <row r="40" spans="1:12" hidden="1" x14ac:dyDescent="0.25">
      <c r="A40" s="348"/>
      <c r="B40" s="354"/>
      <c r="C40" s="354"/>
      <c r="D40" s="354"/>
      <c r="E40" s="354"/>
      <c r="F40" s="354"/>
      <c r="G40" s="354"/>
      <c r="H40" s="354"/>
      <c r="I40" s="350"/>
      <c r="J40" s="355"/>
      <c r="K40" s="110">
        <v>0</v>
      </c>
      <c r="L40" s="110">
        <v>0</v>
      </c>
    </row>
    <row r="41" spans="1:12" hidden="1" x14ac:dyDescent="0.25">
      <c r="A41" s="348"/>
      <c r="B41" s="354"/>
      <c r="C41" s="354"/>
      <c r="D41" s="354"/>
      <c r="E41" s="354"/>
      <c r="F41" s="354"/>
      <c r="G41" s="354"/>
      <c r="H41" s="354"/>
      <c r="I41" s="359"/>
      <c r="J41" s="355"/>
      <c r="K41" s="110">
        <v>0</v>
      </c>
      <c r="L41" s="110">
        <v>0</v>
      </c>
    </row>
    <row r="42" spans="1:12" hidden="1" x14ac:dyDescent="0.25">
      <c r="A42" s="348"/>
      <c r="B42" s="354"/>
      <c r="C42" s="354"/>
      <c r="D42" s="354"/>
      <c r="E42" s="354"/>
      <c r="F42" s="354"/>
      <c r="G42" s="354"/>
      <c r="H42" s="354"/>
      <c r="I42" s="356"/>
      <c r="J42" s="355"/>
      <c r="K42" s="110">
        <v>0</v>
      </c>
      <c r="L42" s="110">
        <v>0</v>
      </c>
    </row>
    <row r="43" spans="1:12" hidden="1" x14ac:dyDescent="0.25">
      <c r="A43" s="348"/>
      <c r="B43" s="354"/>
      <c r="C43" s="354"/>
      <c r="D43" s="354"/>
      <c r="E43" s="354"/>
      <c r="F43" s="354"/>
      <c r="G43" s="354"/>
      <c r="H43" s="354"/>
      <c r="I43" s="361"/>
      <c r="J43" s="355"/>
      <c r="K43" s="110">
        <v>0</v>
      </c>
      <c r="L43" s="110">
        <v>0</v>
      </c>
    </row>
    <row r="44" spans="1:12" hidden="1" x14ac:dyDescent="0.25">
      <c r="A44" s="348"/>
      <c r="B44" s="354"/>
      <c r="C44" s="354"/>
      <c r="D44" s="354"/>
      <c r="E44" s="354"/>
      <c r="F44" s="354"/>
      <c r="G44" s="354"/>
      <c r="H44" s="354"/>
      <c r="I44" s="361"/>
      <c r="J44" s="355"/>
      <c r="K44" s="110">
        <v>0</v>
      </c>
      <c r="L44" s="110">
        <v>0</v>
      </c>
    </row>
    <row r="45" spans="1:12" hidden="1" x14ac:dyDescent="0.25">
      <c r="A45" s="348"/>
      <c r="B45" s="354"/>
      <c r="C45" s="354"/>
      <c r="D45" s="354"/>
      <c r="E45" s="354"/>
      <c r="F45" s="354"/>
      <c r="G45" s="354"/>
      <c r="H45" s="354"/>
      <c r="I45" s="356"/>
      <c r="J45" s="355"/>
      <c r="K45" s="110">
        <v>0</v>
      </c>
      <c r="L45" s="110">
        <v>0</v>
      </c>
    </row>
    <row r="46" spans="1:12" hidden="1" x14ac:dyDescent="0.25">
      <c r="A46" s="348"/>
      <c r="B46" s="354"/>
      <c r="C46" s="354"/>
      <c r="D46" s="354"/>
      <c r="E46" s="354"/>
      <c r="F46" s="354"/>
      <c r="G46" s="354"/>
      <c r="H46" s="354"/>
      <c r="I46" s="356"/>
      <c r="J46" s="355"/>
      <c r="K46" s="110">
        <v>0</v>
      </c>
      <c r="L46" s="110">
        <v>0</v>
      </c>
    </row>
    <row r="47" spans="1:12" hidden="1" x14ac:dyDescent="0.25">
      <c r="A47" s="348"/>
      <c r="B47" s="354"/>
      <c r="C47" s="354"/>
      <c r="D47" s="354"/>
      <c r="E47" s="354"/>
      <c r="F47" s="354"/>
      <c r="G47" s="354"/>
      <c r="H47" s="354"/>
      <c r="I47" s="350"/>
      <c r="J47" s="355"/>
      <c r="K47" s="110">
        <v>0</v>
      </c>
      <c r="L47" s="110">
        <v>0</v>
      </c>
    </row>
    <row r="48" spans="1:12" hidden="1" x14ac:dyDescent="0.25">
      <c r="A48" s="348"/>
      <c r="B48" s="354"/>
      <c r="C48" s="354"/>
      <c r="D48" s="354"/>
      <c r="E48" s="354"/>
      <c r="F48" s="354"/>
      <c r="G48" s="354"/>
      <c r="H48" s="354"/>
      <c r="I48" s="359"/>
      <c r="J48" s="355"/>
      <c r="K48" s="110">
        <v>0</v>
      </c>
      <c r="L48" s="110">
        <v>0</v>
      </c>
    </row>
    <row r="49" spans="1:14" hidden="1" x14ac:dyDescent="0.25">
      <c r="A49" s="348"/>
      <c r="B49" s="354"/>
      <c r="C49" s="354"/>
      <c r="D49" s="354"/>
      <c r="E49" s="354"/>
      <c r="F49" s="354"/>
      <c r="G49" s="354"/>
      <c r="H49" s="354"/>
      <c r="I49" s="357"/>
      <c r="J49" s="355"/>
      <c r="K49" s="110">
        <v>0</v>
      </c>
      <c r="L49" s="110">
        <v>0</v>
      </c>
    </row>
    <row r="50" spans="1:14" hidden="1" x14ac:dyDescent="0.25">
      <c r="A50" s="348"/>
      <c r="B50" s="354"/>
      <c r="C50" s="354"/>
      <c r="D50" s="354"/>
      <c r="E50" s="354"/>
      <c r="F50" s="354"/>
      <c r="G50" s="354"/>
      <c r="H50" s="354"/>
      <c r="I50" s="362"/>
      <c r="J50" s="355"/>
      <c r="K50" s="110">
        <v>0</v>
      </c>
      <c r="L50" s="110">
        <v>0</v>
      </c>
    </row>
    <row r="51" spans="1:14" hidden="1" x14ac:dyDescent="0.25">
      <c r="A51" s="348"/>
      <c r="B51" s="354"/>
      <c r="C51" s="354"/>
      <c r="D51" s="354"/>
      <c r="E51" s="354"/>
      <c r="F51" s="354"/>
      <c r="G51" s="354"/>
      <c r="H51" s="354"/>
      <c r="I51" s="360"/>
      <c r="J51" s="355"/>
      <c r="K51" s="110">
        <v>0</v>
      </c>
      <c r="L51" s="110">
        <v>0</v>
      </c>
    </row>
    <row r="52" spans="1:14" hidden="1" x14ac:dyDescent="0.25">
      <c r="A52" s="348"/>
      <c r="B52" s="354"/>
      <c r="C52" s="354"/>
      <c r="D52" s="354"/>
      <c r="E52" s="354"/>
      <c r="F52" s="354"/>
      <c r="G52" s="354"/>
      <c r="H52" s="354"/>
      <c r="I52" s="360"/>
      <c r="J52" s="355"/>
      <c r="K52" s="110">
        <v>0</v>
      </c>
      <c r="L52" s="110">
        <v>0</v>
      </c>
    </row>
    <row r="53" spans="1:14" hidden="1" x14ac:dyDescent="0.25">
      <c r="A53" s="348"/>
      <c r="B53" s="354"/>
      <c r="C53" s="354"/>
      <c r="D53" s="354"/>
      <c r="E53" s="354"/>
      <c r="F53" s="354"/>
      <c r="G53" s="354"/>
      <c r="H53" s="354"/>
      <c r="I53" s="360"/>
      <c r="J53" s="355"/>
      <c r="K53" s="110">
        <v>0</v>
      </c>
      <c r="L53" s="110">
        <v>0</v>
      </c>
    </row>
    <row r="54" spans="1:14" hidden="1" x14ac:dyDescent="0.25">
      <c r="A54" s="348"/>
      <c r="B54" s="354"/>
      <c r="C54" s="354"/>
      <c r="D54" s="354"/>
      <c r="E54" s="354"/>
      <c r="F54" s="354"/>
      <c r="G54" s="354"/>
      <c r="H54" s="354"/>
      <c r="I54" s="359"/>
      <c r="J54" s="355"/>
      <c r="K54" s="110">
        <v>0</v>
      </c>
      <c r="L54" s="110">
        <v>0</v>
      </c>
    </row>
    <row r="55" spans="1:14" hidden="1" x14ac:dyDescent="0.25">
      <c r="A55" s="348"/>
      <c r="B55" s="354"/>
      <c r="C55" s="354"/>
      <c r="D55" s="354"/>
      <c r="E55" s="354"/>
      <c r="F55" s="354"/>
      <c r="G55" s="354"/>
      <c r="H55" s="354"/>
      <c r="I55" s="362"/>
      <c r="J55" s="355"/>
      <c r="K55" s="110">
        <v>0</v>
      </c>
      <c r="L55" s="110">
        <v>0</v>
      </c>
    </row>
    <row r="56" spans="1:14" hidden="1" x14ac:dyDescent="0.25">
      <c r="A56" s="348"/>
      <c r="B56" s="354"/>
      <c r="C56" s="354"/>
      <c r="D56" s="354"/>
      <c r="E56" s="354"/>
      <c r="F56" s="354"/>
      <c r="G56" s="354"/>
      <c r="H56" s="354"/>
      <c r="I56" s="362"/>
      <c r="J56" s="355"/>
      <c r="K56" s="110">
        <v>0</v>
      </c>
      <c r="L56" s="110">
        <v>0</v>
      </c>
    </row>
    <row r="57" spans="1:14" hidden="1" x14ac:dyDescent="0.25">
      <c r="A57" s="348"/>
      <c r="B57" s="354"/>
      <c r="C57" s="354"/>
      <c r="D57" s="354"/>
      <c r="E57" s="354"/>
      <c r="F57" s="354"/>
      <c r="G57" s="354"/>
      <c r="H57" s="354"/>
      <c r="I57" s="362"/>
      <c r="J57" s="355"/>
      <c r="K57" s="110">
        <v>0</v>
      </c>
      <c r="L57" s="110">
        <v>0</v>
      </c>
    </row>
    <row r="58" spans="1:14" hidden="1" x14ac:dyDescent="0.25">
      <c r="A58" s="348"/>
      <c r="B58" s="354"/>
      <c r="C58" s="354"/>
      <c r="D58" s="354"/>
      <c r="E58" s="354"/>
      <c r="F58" s="354"/>
      <c r="G58" s="354"/>
      <c r="H58" s="354"/>
      <c r="I58" s="359"/>
      <c r="J58" s="355"/>
      <c r="K58" s="110">
        <v>0</v>
      </c>
      <c r="L58" s="110">
        <v>0</v>
      </c>
    </row>
    <row r="59" spans="1:14" hidden="1" x14ac:dyDescent="0.25">
      <c r="A59" s="348"/>
      <c r="B59" s="354"/>
      <c r="C59" s="354"/>
      <c r="D59" s="354"/>
      <c r="E59" s="354"/>
      <c r="F59" s="354"/>
      <c r="G59" s="354"/>
      <c r="H59" s="354"/>
      <c r="I59" s="232"/>
      <c r="J59" s="355"/>
      <c r="K59" s="110">
        <v>0</v>
      </c>
      <c r="L59" s="110">
        <v>0</v>
      </c>
    </row>
    <row r="60" spans="1:14" hidden="1" x14ac:dyDescent="0.25">
      <c r="A60" s="348"/>
      <c r="B60" s="354"/>
      <c r="C60" s="354"/>
      <c r="D60" s="354"/>
      <c r="E60" s="354"/>
      <c r="F60" s="354"/>
      <c r="G60" s="354"/>
      <c r="H60" s="354"/>
      <c r="I60" s="350"/>
      <c r="J60" s="355"/>
      <c r="K60" s="110">
        <v>0</v>
      </c>
      <c r="L60" s="110">
        <v>0</v>
      </c>
    </row>
    <row r="61" spans="1:14" hidden="1" x14ac:dyDescent="0.25">
      <c r="A61" s="348"/>
      <c r="B61" s="354"/>
      <c r="C61" s="354"/>
      <c r="D61" s="354"/>
      <c r="E61" s="354"/>
      <c r="F61" s="354"/>
      <c r="G61" s="354"/>
      <c r="H61" s="354"/>
      <c r="I61" s="363"/>
      <c r="J61" s="355"/>
      <c r="K61" s="110">
        <v>0</v>
      </c>
      <c r="L61" s="110">
        <v>0</v>
      </c>
      <c r="N61" s="364"/>
    </row>
    <row r="62" spans="1:14" x14ac:dyDescent="0.25">
      <c r="A62" s="82"/>
      <c r="B62" s="1100" t="s">
        <v>947</v>
      </c>
      <c r="C62" s="1100"/>
      <c r="D62" s="1100"/>
      <c r="E62" s="1100"/>
      <c r="F62" s="1100"/>
      <c r="G62" s="1100"/>
      <c r="H62" s="1100"/>
      <c r="I62" s="1100"/>
      <c r="J62" s="46">
        <f>SUM(J7:J52)+J53+J54+J57+J58+J59+J55+J56+J61+J60</f>
        <v>0</v>
      </c>
      <c r="K62" s="46">
        <f t="shared" ref="K62:L62" si="0">SUM(K7:K52)</f>
        <v>0</v>
      </c>
      <c r="L62" s="46">
        <f t="shared" si="0"/>
        <v>0</v>
      </c>
    </row>
    <row r="63" spans="1:14" x14ac:dyDescent="0.25">
      <c r="B63" s="365"/>
      <c r="C63" s="365"/>
      <c r="D63" s="365"/>
      <c r="E63" s="365"/>
      <c r="F63" s="365"/>
      <c r="G63" s="365"/>
    </row>
    <row r="64" spans="1:14" x14ac:dyDescent="0.25">
      <c r="B64" s="1083" t="s">
        <v>948</v>
      </c>
      <c r="C64" s="1083"/>
      <c r="D64" s="1083"/>
      <c r="E64" s="1083"/>
      <c r="F64" s="1083"/>
      <c r="G64" s="1083"/>
      <c r="H64" s="1083"/>
      <c r="I64" s="1083"/>
      <c r="J64" s="1083"/>
    </row>
    <row r="65" spans="1:14" x14ac:dyDescent="0.25">
      <c r="A65" s="1101" t="s">
        <v>945</v>
      </c>
      <c r="B65" s="1086" t="s">
        <v>121</v>
      </c>
      <c r="C65" s="1087"/>
      <c r="D65" s="1087"/>
      <c r="E65" s="1087"/>
      <c r="F65" s="1087"/>
      <c r="G65" s="1087"/>
      <c r="H65" s="1088"/>
      <c r="I65" s="916" t="s">
        <v>1</v>
      </c>
      <c r="J65" s="920" t="s">
        <v>946</v>
      </c>
      <c r="K65" s="921"/>
      <c r="L65" s="922"/>
    </row>
    <row r="66" spans="1:14" x14ac:dyDescent="0.25">
      <c r="A66" s="1102"/>
      <c r="B66" s="1089"/>
      <c r="C66" s="1090"/>
      <c r="D66" s="1090"/>
      <c r="E66" s="1090"/>
      <c r="F66" s="1090"/>
      <c r="G66" s="1090"/>
      <c r="H66" s="1091"/>
      <c r="I66" s="917"/>
      <c r="J66" s="481">
        <v>2018</v>
      </c>
      <c r="K66" s="78">
        <v>2019</v>
      </c>
      <c r="L66" s="78">
        <v>2020</v>
      </c>
    </row>
    <row r="67" spans="1:14" x14ac:dyDescent="0.25">
      <c r="A67" s="366"/>
      <c r="B67" s="1092"/>
      <c r="C67" s="1092"/>
      <c r="D67" s="1092"/>
      <c r="E67" s="1092"/>
      <c r="F67" s="1092"/>
      <c r="G67" s="1092"/>
      <c r="H67" s="1092"/>
      <c r="I67" s="367"/>
      <c r="J67" s="41">
        <v>0</v>
      </c>
      <c r="K67" s="110">
        <v>0</v>
      </c>
      <c r="L67" s="84">
        <v>0</v>
      </c>
      <c r="N67" s="364"/>
    </row>
    <row r="68" spans="1:14" x14ac:dyDescent="0.25">
      <c r="A68" s="348"/>
      <c r="B68" s="1067"/>
      <c r="C68" s="1093"/>
      <c r="D68" s="1093"/>
      <c r="E68" s="1093"/>
      <c r="F68" s="1093"/>
      <c r="G68" s="1093"/>
      <c r="H68" s="1068"/>
      <c r="I68" s="367"/>
      <c r="J68" s="41">
        <v>0</v>
      </c>
      <c r="K68" s="110">
        <v>0</v>
      </c>
      <c r="L68" s="84">
        <v>0</v>
      </c>
    </row>
    <row r="69" spans="1:14" ht="3" hidden="1" customHeight="1" x14ac:dyDescent="0.25">
      <c r="A69" s="370"/>
      <c r="B69" s="1094"/>
      <c r="C69" s="1095"/>
      <c r="D69" s="1095"/>
      <c r="E69" s="1095"/>
      <c r="F69" s="1095"/>
      <c r="G69" s="1095"/>
      <c r="H69" s="1096"/>
      <c r="I69" s="371"/>
      <c r="J69" s="41"/>
      <c r="K69" s="84"/>
      <c r="L69" s="84"/>
    </row>
    <row r="70" spans="1:14" hidden="1" x14ac:dyDescent="0.25">
      <c r="A70" s="370"/>
      <c r="B70" s="1094"/>
      <c r="C70" s="1095"/>
      <c r="D70" s="1095"/>
      <c r="E70" s="1095"/>
      <c r="F70" s="1095"/>
      <c r="G70" s="1095"/>
      <c r="H70" s="1096"/>
      <c r="I70" s="371"/>
      <c r="J70" s="41"/>
      <c r="K70" s="82"/>
      <c r="L70" s="82"/>
    </row>
    <row r="71" spans="1:14" hidden="1" x14ac:dyDescent="0.25">
      <c r="A71" s="82"/>
      <c r="B71" s="1094"/>
      <c r="C71" s="1095"/>
      <c r="D71" s="1095"/>
      <c r="E71" s="1095"/>
      <c r="F71" s="1095"/>
      <c r="G71" s="1095"/>
      <c r="H71" s="1095"/>
      <c r="I71" s="21"/>
      <c r="J71" s="41"/>
      <c r="K71" s="82"/>
      <c r="L71" s="82"/>
    </row>
    <row r="72" spans="1:14" x14ac:dyDescent="0.25">
      <c r="A72" s="82"/>
      <c r="B72" s="1097" t="s">
        <v>949</v>
      </c>
      <c r="C72" s="1098"/>
      <c r="D72" s="1098"/>
      <c r="E72" s="1098"/>
      <c r="F72" s="1098"/>
      <c r="G72" s="1098"/>
      <c r="H72" s="1098"/>
      <c r="I72" s="1099"/>
      <c r="J72" s="46">
        <f>SUM(J67:J71)</f>
        <v>0</v>
      </c>
      <c r="K72" s="46">
        <f>SUM(K67:K71)</f>
        <v>0</v>
      </c>
      <c r="L72" s="46">
        <f>SUM(L67:L71)</f>
        <v>0</v>
      </c>
    </row>
    <row r="73" spans="1:14" x14ac:dyDescent="0.25">
      <c r="B73" s="365"/>
      <c r="C73" s="365"/>
      <c r="D73" s="365"/>
      <c r="E73" s="365"/>
      <c r="F73" s="365"/>
      <c r="G73" s="365"/>
    </row>
    <row r="74" spans="1:14" x14ac:dyDescent="0.25">
      <c r="B74" s="365"/>
      <c r="C74" s="365"/>
      <c r="D74" s="365"/>
      <c r="E74" s="365"/>
      <c r="F74" s="365"/>
      <c r="G74" s="365"/>
    </row>
    <row r="75" spans="1:14" x14ac:dyDescent="0.25">
      <c r="B75" s="1083" t="s">
        <v>950</v>
      </c>
      <c r="C75" s="1083"/>
      <c r="D75" s="1083"/>
      <c r="E75" s="1083"/>
      <c r="F75" s="1083"/>
      <c r="G75" s="1083"/>
      <c r="H75" s="1083"/>
      <c r="I75" s="1083"/>
      <c r="J75" s="1083"/>
    </row>
    <row r="76" spans="1:14" x14ac:dyDescent="0.25">
      <c r="A76" s="1084" t="s">
        <v>945</v>
      </c>
      <c r="B76" s="1105" t="s">
        <v>951</v>
      </c>
      <c r="C76" s="1105" t="s">
        <v>134</v>
      </c>
      <c r="D76" s="1105" t="s">
        <v>264</v>
      </c>
      <c r="E76" s="1086" t="s">
        <v>197</v>
      </c>
      <c r="F76" s="1087"/>
      <c r="G76" s="1088"/>
      <c r="H76" s="1105" t="s">
        <v>225</v>
      </c>
      <c r="I76" s="1106" t="s">
        <v>1</v>
      </c>
      <c r="J76" s="920" t="s">
        <v>946</v>
      </c>
      <c r="K76" s="921"/>
      <c r="L76" s="922"/>
    </row>
    <row r="77" spans="1:14" x14ac:dyDescent="0.25">
      <c r="A77" s="1085"/>
      <c r="B77" s="1105"/>
      <c r="C77" s="1105"/>
      <c r="D77" s="1105"/>
      <c r="E77" s="1089"/>
      <c r="F77" s="1090"/>
      <c r="G77" s="1091"/>
      <c r="H77" s="1105"/>
      <c r="I77" s="1106"/>
      <c r="J77" s="481">
        <v>2018</v>
      </c>
      <c r="K77" s="78">
        <v>2019</v>
      </c>
      <c r="L77" s="78">
        <v>2020</v>
      </c>
    </row>
    <row r="78" spans="1:14" x14ac:dyDescent="0.25">
      <c r="A78" s="372"/>
      <c r="B78" s="1103" t="s">
        <v>952</v>
      </c>
      <c r="C78" s="1103"/>
      <c r="D78" s="1103"/>
      <c r="E78" s="1103"/>
      <c r="F78" s="1103"/>
      <c r="G78" s="1103"/>
      <c r="H78" s="1103"/>
      <c r="I78" s="1104"/>
      <c r="J78" s="373">
        <f>SUM(J79:J87)</f>
        <v>0</v>
      </c>
      <c r="K78" s="373">
        <f>SUM(K79:K80)</f>
        <v>0</v>
      </c>
      <c r="L78" s="373">
        <f>SUM(L79:L80)</f>
        <v>0</v>
      </c>
    </row>
    <row r="79" spans="1:14" ht="60.75" hidden="1" customHeight="1" x14ac:dyDescent="0.25">
      <c r="A79" s="1071"/>
      <c r="B79" s="349"/>
      <c r="C79" s="349"/>
      <c r="D79" s="349"/>
      <c r="E79" s="349"/>
      <c r="F79" s="1119"/>
      <c r="G79" s="1120"/>
      <c r="H79" s="349"/>
      <c r="I79" s="1081"/>
      <c r="J79" s="368"/>
      <c r="K79" s="110">
        <v>0</v>
      </c>
      <c r="L79" s="110">
        <v>0</v>
      </c>
    </row>
    <row r="80" spans="1:14" s="1" customFormat="1" ht="49.5" hidden="1" customHeight="1" x14ac:dyDescent="0.25">
      <c r="A80" s="1072"/>
      <c r="B80" s="349"/>
      <c r="C80" s="349"/>
      <c r="D80" s="349"/>
      <c r="E80" s="349"/>
      <c r="F80" s="1119"/>
      <c r="G80" s="1120"/>
      <c r="H80" s="349"/>
      <c r="I80" s="1202"/>
      <c r="J80" s="368"/>
      <c r="K80" s="110">
        <v>0</v>
      </c>
      <c r="L80" s="110">
        <v>0</v>
      </c>
    </row>
    <row r="81" spans="1:12" s="1" customFormat="1" hidden="1" x14ac:dyDescent="0.25">
      <c r="A81" s="241"/>
      <c r="B81" s="349"/>
      <c r="C81" s="349"/>
      <c r="D81" s="349"/>
      <c r="E81" s="349"/>
      <c r="F81" s="1119"/>
      <c r="G81" s="1120"/>
      <c r="H81" s="349"/>
      <c r="I81" s="457"/>
      <c r="J81" s="368"/>
      <c r="K81" s="110">
        <v>0</v>
      </c>
      <c r="L81" s="110">
        <v>0</v>
      </c>
    </row>
    <row r="82" spans="1:12" s="1" customFormat="1" ht="16.5" hidden="1" x14ac:dyDescent="0.3">
      <c r="A82" s="241"/>
      <c r="B82" s="376"/>
      <c r="C82" s="376"/>
      <c r="D82" s="376"/>
      <c r="E82" s="376"/>
      <c r="F82" s="1143"/>
      <c r="G82" s="1144"/>
      <c r="H82" s="376"/>
      <c r="I82" s="228"/>
      <c r="J82" s="368"/>
      <c r="K82" s="110">
        <v>0</v>
      </c>
      <c r="L82" s="110">
        <v>0</v>
      </c>
    </row>
    <row r="83" spans="1:12" s="1" customFormat="1" ht="0.75" customHeight="1" x14ac:dyDescent="0.3">
      <c r="A83" s="241"/>
      <c r="B83" s="376"/>
      <c r="C83" s="376"/>
      <c r="D83" s="376"/>
      <c r="E83" s="376"/>
      <c r="F83" s="1143"/>
      <c r="G83" s="1144"/>
      <c r="H83" s="376"/>
      <c r="I83" s="475"/>
      <c r="J83" s="368"/>
      <c r="K83" s="110">
        <v>0</v>
      </c>
      <c r="L83" s="110">
        <v>0</v>
      </c>
    </row>
    <row r="84" spans="1:12" s="1" customFormat="1" ht="16.5" hidden="1" x14ac:dyDescent="0.3">
      <c r="A84" s="241"/>
      <c r="B84" s="376"/>
      <c r="C84" s="376"/>
      <c r="D84" s="376"/>
      <c r="E84" s="376"/>
      <c r="F84" s="1143"/>
      <c r="G84" s="1144"/>
      <c r="H84" s="376"/>
      <c r="I84" s="460"/>
      <c r="J84" s="368"/>
      <c r="K84" s="110">
        <v>0</v>
      </c>
      <c r="L84" s="110">
        <v>0</v>
      </c>
    </row>
    <row r="85" spans="1:12" s="1" customFormat="1" ht="16.5" hidden="1" x14ac:dyDescent="0.3">
      <c r="A85" s="241"/>
      <c r="B85" s="376"/>
      <c r="C85" s="376"/>
      <c r="D85" s="376"/>
      <c r="E85" s="376"/>
      <c r="F85" s="1143"/>
      <c r="G85" s="1144"/>
      <c r="H85" s="376"/>
      <c r="I85" s="378"/>
      <c r="J85" s="368"/>
      <c r="K85" s="110">
        <v>0</v>
      </c>
      <c r="L85" s="110">
        <v>0</v>
      </c>
    </row>
    <row r="86" spans="1:12" s="1" customFormat="1" ht="16.5" hidden="1" x14ac:dyDescent="0.3">
      <c r="A86" s="241"/>
      <c r="B86" s="376"/>
      <c r="C86" s="376"/>
      <c r="D86" s="376"/>
      <c r="E86" s="376"/>
      <c r="F86" s="1143"/>
      <c r="G86" s="1144"/>
      <c r="H86" s="376"/>
      <c r="I86" s="378"/>
      <c r="J86" s="368"/>
      <c r="K86" s="110">
        <v>0</v>
      </c>
      <c r="L86" s="110">
        <v>0</v>
      </c>
    </row>
    <row r="87" spans="1:12" s="1" customFormat="1" hidden="1" x14ac:dyDescent="0.25">
      <c r="A87" s="241"/>
      <c r="B87" s="349"/>
      <c r="C87" s="349"/>
      <c r="D87" s="349"/>
      <c r="E87" s="349"/>
      <c r="F87" s="1119"/>
      <c r="G87" s="1120"/>
      <c r="H87" s="349"/>
      <c r="I87" s="379"/>
      <c r="J87" s="368"/>
      <c r="K87" s="110">
        <v>0</v>
      </c>
      <c r="L87" s="110">
        <v>0</v>
      </c>
    </row>
    <row r="88" spans="1:12" s="1" customFormat="1" x14ac:dyDescent="0.25">
      <c r="A88" s="241"/>
      <c r="B88" s="1123" t="s">
        <v>953</v>
      </c>
      <c r="C88" s="1124"/>
      <c r="D88" s="1124"/>
      <c r="E88" s="1124"/>
      <c r="F88" s="1124"/>
      <c r="G88" s="1124"/>
      <c r="H88" s="1124"/>
      <c r="I88" s="1125"/>
      <c r="J88" s="46">
        <f>J89+J90</f>
        <v>0</v>
      </c>
      <c r="K88" s="46">
        <f>K89+K90</f>
        <v>0</v>
      </c>
      <c r="L88" s="46">
        <f>L89+L90</f>
        <v>0</v>
      </c>
    </row>
    <row r="89" spans="1:12" s="1" customFormat="1" ht="16.5" hidden="1" x14ac:dyDescent="0.3">
      <c r="A89" s="380"/>
      <c r="B89" s="376"/>
      <c r="C89" s="376"/>
      <c r="D89" s="376"/>
      <c r="E89" s="376"/>
      <c r="F89" s="1143"/>
      <c r="G89" s="1144"/>
      <c r="H89" s="376"/>
      <c r="I89" s="228"/>
      <c r="J89" s="368"/>
      <c r="K89" s="110">
        <v>0</v>
      </c>
      <c r="L89" s="110">
        <v>0</v>
      </c>
    </row>
    <row r="90" spans="1:12" s="1" customFormat="1" ht="16.5" hidden="1" x14ac:dyDescent="0.3">
      <c r="A90" s="241"/>
      <c r="B90" s="376"/>
      <c r="C90" s="376"/>
      <c r="D90" s="376"/>
      <c r="E90" s="376"/>
      <c r="F90" s="1143"/>
      <c r="G90" s="1144"/>
      <c r="H90" s="376"/>
      <c r="I90" s="228"/>
      <c r="J90" s="368"/>
      <c r="K90" s="369">
        <v>0</v>
      </c>
      <c r="L90" s="369">
        <v>0</v>
      </c>
    </row>
    <row r="91" spans="1:12" s="1" customFormat="1" x14ac:dyDescent="0.25">
      <c r="A91" s="382"/>
      <c r="B91" s="1145" t="s">
        <v>954</v>
      </c>
      <c r="C91" s="1146"/>
      <c r="D91" s="1146"/>
      <c r="E91" s="1146"/>
      <c r="F91" s="1146"/>
      <c r="G91" s="1146"/>
      <c r="H91" s="1146"/>
      <c r="I91" s="1147"/>
      <c r="J91" s="373">
        <f>SUM(J92:J96)+J98+J97+J99+J100+J101+J102+J103++J104+J105+J106</f>
        <v>0</v>
      </c>
      <c r="K91" s="373">
        <f>SUM(K92:K96)+K98+K97+K99+K100+K101+K102+K103++K104+K105+K106</f>
        <v>0</v>
      </c>
      <c r="L91" s="373">
        <f>SUM(L92:L96)+L98+L97+L99+L100+L101+L102+L103++L104+L105+L106</f>
        <v>0</v>
      </c>
    </row>
    <row r="92" spans="1:12" s="1" customFormat="1" ht="16.5" x14ac:dyDescent="0.3">
      <c r="A92" s="380"/>
      <c r="B92" s="383"/>
      <c r="C92" s="383"/>
      <c r="D92" s="383"/>
      <c r="E92" s="383"/>
      <c r="F92" s="1156"/>
      <c r="G92" s="1157"/>
      <c r="H92" s="384"/>
      <c r="I92" s="228"/>
      <c r="J92" s="368"/>
      <c r="K92" s="110">
        <v>0</v>
      </c>
      <c r="L92" s="110">
        <v>0</v>
      </c>
    </row>
    <row r="93" spans="1:12" s="1" customFormat="1" ht="16.5" hidden="1" x14ac:dyDescent="0.3">
      <c r="A93" s="380"/>
      <c r="B93" s="383"/>
      <c r="C93" s="383"/>
      <c r="D93" s="383"/>
      <c r="E93" s="383"/>
      <c r="F93" s="1156"/>
      <c r="G93" s="1157"/>
      <c r="H93" s="384"/>
      <c r="I93" s="228"/>
      <c r="J93" s="368"/>
      <c r="K93" s="110">
        <v>0</v>
      </c>
      <c r="L93" s="110">
        <v>0</v>
      </c>
    </row>
    <row r="94" spans="1:12" s="1" customFormat="1" ht="0.75" customHeight="1" x14ac:dyDescent="0.3">
      <c r="A94" s="380"/>
      <c r="B94" s="376"/>
      <c r="C94" s="376"/>
      <c r="D94" s="376"/>
      <c r="E94" s="376"/>
      <c r="F94" s="1143"/>
      <c r="G94" s="1144"/>
      <c r="H94" s="376"/>
      <c r="I94" s="386"/>
      <c r="J94" s="368"/>
      <c r="K94" s="110">
        <v>0</v>
      </c>
      <c r="L94" s="110">
        <v>0</v>
      </c>
    </row>
    <row r="95" spans="1:12" s="1" customFormat="1" ht="16.5" hidden="1" x14ac:dyDescent="0.3">
      <c r="A95" s="380"/>
      <c r="B95" s="376"/>
      <c r="C95" s="376"/>
      <c r="D95" s="376"/>
      <c r="E95" s="376"/>
      <c r="F95" s="1143"/>
      <c r="G95" s="1144"/>
      <c r="H95" s="376"/>
      <c r="I95" s="385"/>
      <c r="J95" s="368"/>
      <c r="K95" s="110">
        <v>0</v>
      </c>
      <c r="L95" s="110">
        <v>0</v>
      </c>
    </row>
    <row r="96" spans="1:12" s="1" customFormat="1" ht="16.5" hidden="1" x14ac:dyDescent="0.3">
      <c r="A96" s="380"/>
      <c r="B96" s="383"/>
      <c r="C96" s="383"/>
      <c r="D96" s="383"/>
      <c r="E96" s="383"/>
      <c r="F96" s="1156"/>
      <c r="G96" s="1157"/>
      <c r="H96" s="383"/>
      <c r="I96" s="386"/>
      <c r="J96" s="368"/>
      <c r="K96" s="41">
        <v>0</v>
      </c>
      <c r="L96" s="41">
        <v>0</v>
      </c>
    </row>
    <row r="97" spans="1:12" s="1" customFormat="1" ht="16.5" hidden="1" x14ac:dyDescent="0.3">
      <c r="A97" s="380"/>
      <c r="B97" s="383"/>
      <c r="C97" s="383"/>
      <c r="D97" s="383"/>
      <c r="E97" s="383"/>
      <c r="F97" s="1156"/>
      <c r="G97" s="1157"/>
      <c r="H97" s="383"/>
      <c r="I97" s="228"/>
      <c r="J97" s="388"/>
      <c r="K97" s="404">
        <v>0</v>
      </c>
      <c r="L97" s="404">
        <v>0</v>
      </c>
    </row>
    <row r="98" spans="1:12" s="1" customFormat="1" ht="16.5" hidden="1" x14ac:dyDescent="0.3">
      <c r="A98" s="380"/>
      <c r="B98" s="453"/>
      <c r="C98" s="453"/>
      <c r="D98" s="453"/>
      <c r="E98" s="453"/>
      <c r="F98" s="1161"/>
      <c r="G98" s="1161"/>
      <c r="H98" s="453"/>
      <c r="I98" s="377"/>
      <c r="J98" s="388"/>
      <c r="K98" s="389">
        <v>0</v>
      </c>
      <c r="L98" s="389">
        <v>0</v>
      </c>
    </row>
    <row r="99" spans="1:12" s="1" customFormat="1" ht="16.5" hidden="1" x14ac:dyDescent="0.3">
      <c r="A99" s="483"/>
      <c r="B99" s="383"/>
      <c r="C99" s="383"/>
      <c r="D99" s="383"/>
      <c r="E99" s="383"/>
      <c r="F99" s="1156"/>
      <c r="G99" s="1157"/>
      <c r="H99" s="383"/>
      <c r="I99" s="375"/>
      <c r="J99" s="388"/>
      <c r="K99" s="389">
        <v>0</v>
      </c>
      <c r="L99" s="389">
        <v>0</v>
      </c>
    </row>
    <row r="100" spans="1:12" s="1" customFormat="1" ht="16.5" hidden="1" x14ac:dyDescent="0.3">
      <c r="A100" s="483"/>
      <c r="B100" s="383"/>
      <c r="C100" s="383"/>
      <c r="D100" s="383"/>
      <c r="E100" s="383"/>
      <c r="F100" s="1156"/>
      <c r="G100" s="1157"/>
      <c r="H100" s="383"/>
      <c r="I100" s="228"/>
      <c r="J100" s="388"/>
      <c r="K100" s="389">
        <v>0</v>
      </c>
      <c r="L100" s="389">
        <v>0</v>
      </c>
    </row>
    <row r="101" spans="1:12" s="1" customFormat="1" ht="16.5" hidden="1" x14ac:dyDescent="0.3">
      <c r="A101" s="483"/>
      <c r="B101" s="453"/>
      <c r="C101" s="453"/>
      <c r="D101" s="453"/>
      <c r="E101" s="453"/>
      <c r="F101" s="1158"/>
      <c r="G101" s="1159"/>
      <c r="H101" s="453"/>
      <c r="I101" s="454"/>
      <c r="J101" s="388"/>
      <c r="K101" s="389">
        <v>0</v>
      </c>
      <c r="L101" s="389">
        <v>0</v>
      </c>
    </row>
    <row r="102" spans="1:12" s="1" customFormat="1" ht="16.5" hidden="1" x14ac:dyDescent="0.3">
      <c r="A102" s="483"/>
      <c r="B102" s="383"/>
      <c r="C102" s="383"/>
      <c r="D102" s="383"/>
      <c r="E102" s="383"/>
      <c r="F102" s="1156"/>
      <c r="G102" s="1157"/>
      <c r="H102" s="383"/>
      <c r="I102" s="228"/>
      <c r="J102" s="388"/>
      <c r="K102" s="389">
        <v>0</v>
      </c>
      <c r="L102" s="389">
        <v>0</v>
      </c>
    </row>
    <row r="103" spans="1:12" s="1" customFormat="1" ht="16.5" hidden="1" x14ac:dyDescent="0.3">
      <c r="A103" s="483"/>
      <c r="B103" s="383"/>
      <c r="C103" s="383"/>
      <c r="D103" s="383"/>
      <c r="E103" s="383"/>
      <c r="F103" s="1156"/>
      <c r="G103" s="1157"/>
      <c r="H103" s="383"/>
      <c r="I103" s="228"/>
      <c r="J103" s="388"/>
      <c r="K103" s="389">
        <v>0</v>
      </c>
      <c r="L103" s="389">
        <v>0</v>
      </c>
    </row>
    <row r="104" spans="1:12" s="1" customFormat="1" ht="16.5" hidden="1" x14ac:dyDescent="0.3">
      <c r="A104" s="483"/>
      <c r="B104" s="453"/>
      <c r="C104" s="453"/>
      <c r="D104" s="453"/>
      <c r="E104" s="453"/>
      <c r="F104" s="1158"/>
      <c r="G104" s="1159"/>
      <c r="H104" s="453"/>
      <c r="I104" s="454"/>
      <c r="J104" s="388"/>
      <c r="K104" s="389">
        <v>0</v>
      </c>
      <c r="L104" s="389">
        <v>0</v>
      </c>
    </row>
    <row r="105" spans="1:12" s="1" customFormat="1" ht="16.5" hidden="1" x14ac:dyDescent="0.3">
      <c r="A105" s="483"/>
      <c r="B105" s="383"/>
      <c r="C105" s="383"/>
      <c r="D105" s="383"/>
      <c r="E105" s="383"/>
      <c r="F105" s="1156"/>
      <c r="G105" s="1157"/>
      <c r="H105" s="383"/>
      <c r="I105" s="386"/>
      <c r="J105" s="388"/>
      <c r="K105" s="389">
        <v>0</v>
      </c>
      <c r="L105" s="389">
        <v>0</v>
      </c>
    </row>
    <row r="106" spans="1:12" s="1" customFormat="1" ht="16.5" hidden="1" x14ac:dyDescent="0.3">
      <c r="A106" s="483"/>
      <c r="B106" s="383"/>
      <c r="C106" s="383"/>
      <c r="D106" s="383"/>
      <c r="E106" s="383"/>
      <c r="F106" s="1156"/>
      <c r="G106" s="1157"/>
      <c r="H106" s="383"/>
      <c r="I106" s="460"/>
      <c r="J106" s="388"/>
      <c r="K106" s="459"/>
      <c r="L106" s="459"/>
    </row>
    <row r="107" spans="1:12" s="1" customFormat="1" ht="16.5" hidden="1" x14ac:dyDescent="0.3">
      <c r="A107" s="483"/>
      <c r="B107" s="383"/>
      <c r="C107" s="383"/>
      <c r="D107" s="383"/>
      <c r="E107" s="383"/>
      <c r="F107" s="1156"/>
      <c r="G107" s="1157"/>
      <c r="H107" s="383"/>
      <c r="I107" s="455"/>
      <c r="J107" s="388"/>
      <c r="K107" s="389"/>
      <c r="L107" s="389"/>
    </row>
    <row r="108" spans="1:12" s="1" customFormat="1" x14ac:dyDescent="0.25">
      <c r="A108" s="382"/>
      <c r="B108" s="1149" t="s">
        <v>955</v>
      </c>
      <c r="C108" s="1150"/>
      <c r="D108" s="1150"/>
      <c r="E108" s="1150"/>
      <c r="F108" s="1150"/>
      <c r="G108" s="1150"/>
      <c r="H108" s="1150"/>
      <c r="I108" s="1160"/>
      <c r="J108" s="373">
        <f>SUM(J109:J118)+J119</f>
        <v>0</v>
      </c>
      <c r="K108" s="373">
        <f>SUM(K109:K118)</f>
        <v>0</v>
      </c>
      <c r="L108" s="373">
        <f>SUM(L109:L118)</f>
        <v>0</v>
      </c>
    </row>
    <row r="109" spans="1:12" s="394" customFormat="1" hidden="1" x14ac:dyDescent="0.25">
      <c r="A109" s="390"/>
      <c r="B109" s="391"/>
      <c r="C109" s="391"/>
      <c r="D109" s="391"/>
      <c r="E109" s="391"/>
      <c r="F109" s="1065"/>
      <c r="G109" s="1066"/>
      <c r="H109" s="392"/>
      <c r="I109" s="457"/>
      <c r="J109" s="41">
        <v>0</v>
      </c>
      <c r="K109" s="41">
        <v>0</v>
      </c>
      <c r="L109" s="41">
        <v>0</v>
      </c>
    </row>
    <row r="110" spans="1:12" s="394" customFormat="1" hidden="1" x14ac:dyDescent="0.25">
      <c r="A110" s="390"/>
      <c r="B110" s="391"/>
      <c r="C110" s="391"/>
      <c r="D110" s="391"/>
      <c r="E110" s="391"/>
      <c r="F110" s="1065"/>
      <c r="G110" s="1066"/>
      <c r="H110" s="392"/>
      <c r="I110" s="228"/>
      <c r="J110" s="368"/>
      <c r="K110" s="41">
        <v>0</v>
      </c>
      <c r="L110" s="393">
        <v>0</v>
      </c>
    </row>
    <row r="111" spans="1:12" s="394" customFormat="1" hidden="1" x14ac:dyDescent="0.25">
      <c r="A111" s="390"/>
      <c r="B111" s="391"/>
      <c r="C111" s="391"/>
      <c r="D111" s="391"/>
      <c r="E111" s="391"/>
      <c r="F111" s="1065"/>
      <c r="G111" s="1066"/>
      <c r="H111" s="392"/>
      <c r="I111" s="228"/>
      <c r="J111" s="368"/>
      <c r="K111" s="393">
        <v>0</v>
      </c>
      <c r="L111" s="393">
        <v>0</v>
      </c>
    </row>
    <row r="112" spans="1:12" s="394" customFormat="1" hidden="1" x14ac:dyDescent="0.25">
      <c r="A112" s="390"/>
      <c r="B112" s="391"/>
      <c r="C112" s="391"/>
      <c r="D112" s="391"/>
      <c r="E112" s="391"/>
      <c r="F112" s="1065"/>
      <c r="G112" s="1066"/>
      <c r="H112" s="392"/>
      <c r="I112" s="228"/>
      <c r="J112" s="368"/>
      <c r="K112" s="368"/>
      <c r="L112" s="368"/>
    </row>
    <row r="113" spans="1:12" hidden="1" x14ac:dyDescent="0.25">
      <c r="A113" s="348"/>
      <c r="B113" s="391"/>
      <c r="C113" s="391"/>
      <c r="D113" s="391"/>
      <c r="E113" s="391"/>
      <c r="F113" s="1065"/>
      <c r="G113" s="1066"/>
      <c r="H113" s="392"/>
      <c r="I113" s="381"/>
      <c r="J113" s="368"/>
      <c r="K113" s="84">
        <v>0</v>
      </c>
      <c r="L113" s="84">
        <v>0</v>
      </c>
    </row>
    <row r="114" spans="1:12" hidden="1" x14ac:dyDescent="0.25">
      <c r="A114" s="348"/>
      <c r="B114" s="391"/>
      <c r="C114" s="391"/>
      <c r="D114" s="391"/>
      <c r="E114" s="391"/>
      <c r="F114" s="1065"/>
      <c r="G114" s="1066"/>
      <c r="H114" s="392"/>
      <c r="I114" s="450"/>
      <c r="J114" s="368"/>
      <c r="K114" s="84">
        <v>0</v>
      </c>
      <c r="L114" s="84">
        <v>0</v>
      </c>
    </row>
    <row r="115" spans="1:12" hidden="1" x14ac:dyDescent="0.25">
      <c r="A115" s="348"/>
      <c r="B115" s="391"/>
      <c r="C115" s="391"/>
      <c r="D115" s="391"/>
      <c r="E115" s="391"/>
      <c r="F115" s="1065"/>
      <c r="G115" s="1066"/>
      <c r="H115" s="392"/>
      <c r="I115" s="228"/>
      <c r="J115" s="368"/>
      <c r="K115" s="84">
        <v>0</v>
      </c>
      <c r="L115" s="84">
        <v>0</v>
      </c>
    </row>
    <row r="116" spans="1:12" hidden="1" x14ac:dyDescent="0.25">
      <c r="A116" s="348"/>
      <c r="B116" s="349"/>
      <c r="C116" s="349"/>
      <c r="D116" s="349"/>
      <c r="E116" s="349"/>
      <c r="F116" s="1119"/>
      <c r="G116" s="1120"/>
      <c r="H116" s="395"/>
      <c r="I116" s="228"/>
      <c r="J116" s="368"/>
      <c r="K116" s="84">
        <v>0</v>
      </c>
      <c r="L116" s="84">
        <v>0</v>
      </c>
    </row>
    <row r="117" spans="1:12" hidden="1" x14ac:dyDescent="0.25">
      <c r="A117" s="348"/>
      <c r="B117" s="349"/>
      <c r="C117" s="349"/>
      <c r="D117" s="349"/>
      <c r="E117" s="349"/>
      <c r="F117" s="1119"/>
      <c r="G117" s="1120"/>
      <c r="H117" s="395"/>
      <c r="I117" s="379"/>
      <c r="J117" s="368"/>
      <c r="K117" s="84">
        <v>0</v>
      </c>
      <c r="L117" s="84">
        <v>0</v>
      </c>
    </row>
    <row r="118" spans="1:12" hidden="1" x14ac:dyDescent="0.25">
      <c r="A118" s="396"/>
      <c r="B118" s="397"/>
      <c r="C118" s="397"/>
      <c r="D118" s="397"/>
      <c r="E118" s="397"/>
      <c r="F118" s="1112"/>
      <c r="G118" s="1113"/>
      <c r="H118" s="398"/>
      <c r="I118" s="377"/>
      <c r="J118" s="368"/>
      <c r="K118" s="84">
        <v>0</v>
      </c>
      <c r="L118" s="84">
        <v>0</v>
      </c>
    </row>
    <row r="119" spans="1:12" hidden="1" x14ac:dyDescent="0.25">
      <c r="A119" s="348"/>
      <c r="B119" s="391"/>
      <c r="C119" s="391"/>
      <c r="D119" s="391"/>
      <c r="E119" s="391"/>
      <c r="F119" s="1065"/>
      <c r="G119" s="1066"/>
      <c r="H119" s="399"/>
      <c r="I119" s="375"/>
      <c r="J119" s="368"/>
      <c r="K119" s="84"/>
      <c r="L119" s="84"/>
    </row>
    <row r="120" spans="1:12" x14ac:dyDescent="0.25">
      <c r="A120" s="240"/>
      <c r="B120" s="1123" t="s">
        <v>956</v>
      </c>
      <c r="C120" s="1124"/>
      <c r="D120" s="1124"/>
      <c r="E120" s="1124"/>
      <c r="F120" s="1124"/>
      <c r="G120" s="1124"/>
      <c r="H120" s="1124"/>
      <c r="I120" s="1125"/>
      <c r="J120" s="46">
        <f>J121</f>
        <v>0</v>
      </c>
      <c r="K120" s="46">
        <f>K121</f>
        <v>0</v>
      </c>
      <c r="L120" s="46">
        <f>L121</f>
        <v>0</v>
      </c>
    </row>
    <row r="121" spans="1:12" hidden="1" x14ac:dyDescent="0.25">
      <c r="A121" s="348"/>
      <c r="B121" s="349"/>
      <c r="C121" s="349"/>
      <c r="D121" s="349"/>
      <c r="E121" s="349"/>
      <c r="F121" s="1119"/>
      <c r="G121" s="1120"/>
      <c r="H121" s="395"/>
      <c r="I121" s="400"/>
      <c r="J121" s="401"/>
      <c r="K121" s="393"/>
      <c r="L121" s="393"/>
    </row>
    <row r="122" spans="1:12" hidden="1" x14ac:dyDescent="0.25">
      <c r="A122" s="240"/>
      <c r="B122" s="402"/>
      <c r="C122" s="26"/>
      <c r="D122" s="26"/>
      <c r="E122" s="26"/>
      <c r="F122" s="26"/>
      <c r="G122" s="26"/>
      <c r="H122" s="103"/>
      <c r="I122" s="26"/>
      <c r="J122" s="41"/>
      <c r="K122" s="84"/>
      <c r="L122" s="84"/>
    </row>
    <row r="123" spans="1:12" ht="16.5" customHeight="1" x14ac:dyDescent="0.25">
      <c r="A123" s="485"/>
      <c r="B123" s="1142" t="s">
        <v>957</v>
      </c>
      <c r="C123" s="1142"/>
      <c r="D123" s="1142"/>
      <c r="E123" s="1142"/>
      <c r="F123" s="1142"/>
      <c r="G123" s="1142"/>
      <c r="H123" s="1142"/>
      <c r="I123" s="1142"/>
      <c r="J123" s="373">
        <f>SUM(J124:J159)</f>
        <v>0</v>
      </c>
      <c r="K123" s="373">
        <f>SUM(K124:K159)</f>
        <v>0</v>
      </c>
      <c r="L123" s="373">
        <f>SUM(L124:L159)</f>
        <v>0</v>
      </c>
    </row>
    <row r="124" spans="1:12" hidden="1" x14ac:dyDescent="0.25">
      <c r="A124" s="374"/>
      <c r="B124" s="349"/>
      <c r="C124" s="349"/>
      <c r="D124" s="349"/>
      <c r="E124" s="349"/>
      <c r="F124" s="1119"/>
      <c r="G124" s="1120"/>
      <c r="H124" s="349"/>
      <c r="I124" s="478"/>
      <c r="J124" s="368"/>
      <c r="K124" s="388"/>
      <c r="L124" s="388"/>
    </row>
    <row r="125" spans="1:12" ht="18" hidden="1" customHeight="1" x14ac:dyDescent="0.25">
      <c r="A125" s="374"/>
      <c r="B125" s="349"/>
      <c r="C125" s="349"/>
      <c r="D125" s="349"/>
      <c r="E125" s="349"/>
      <c r="F125" s="1119"/>
      <c r="G125" s="1120"/>
      <c r="H125" s="405"/>
      <c r="I125" s="228"/>
      <c r="J125" s="41">
        <v>0</v>
      </c>
      <c r="K125" s="110">
        <v>0</v>
      </c>
      <c r="L125" s="110">
        <v>0</v>
      </c>
    </row>
    <row r="126" spans="1:12" hidden="1" x14ac:dyDescent="0.25">
      <c r="A126" s="374"/>
      <c r="B126" s="349"/>
      <c r="C126" s="349"/>
      <c r="D126" s="349"/>
      <c r="E126" s="349"/>
      <c r="F126" s="1119"/>
      <c r="G126" s="1120"/>
      <c r="H126" s="406"/>
      <c r="I126" s="228"/>
      <c r="J126" s="410"/>
      <c r="K126" s="110">
        <v>0</v>
      </c>
      <c r="L126" s="110">
        <v>0</v>
      </c>
    </row>
    <row r="127" spans="1:12" hidden="1" x14ac:dyDescent="0.25">
      <c r="A127" s="374"/>
      <c r="B127" s="349"/>
      <c r="C127" s="349"/>
      <c r="D127" s="349"/>
      <c r="E127" s="349"/>
      <c r="F127" s="1119"/>
      <c r="G127" s="1120"/>
      <c r="H127" s="406"/>
      <c r="I127" s="228"/>
      <c r="J127" s="410"/>
      <c r="K127" s="41">
        <v>0</v>
      </c>
      <c r="L127" s="41">
        <v>0</v>
      </c>
    </row>
    <row r="128" spans="1:12" hidden="1" x14ac:dyDescent="0.25">
      <c r="A128" s="374"/>
      <c r="B128" s="349"/>
      <c r="C128" s="349"/>
      <c r="D128" s="349"/>
      <c r="E128" s="349"/>
      <c r="F128" s="1119"/>
      <c r="G128" s="1120"/>
      <c r="H128" s="406"/>
      <c r="I128" s="228"/>
      <c r="J128" s="410"/>
      <c r="K128" s="41">
        <v>0</v>
      </c>
      <c r="L128" s="41">
        <v>0</v>
      </c>
    </row>
    <row r="129" spans="1:12" hidden="1" x14ac:dyDescent="0.25">
      <c r="A129" s="374"/>
      <c r="B129" s="349"/>
      <c r="C129" s="349"/>
      <c r="D129" s="349"/>
      <c r="E129" s="349"/>
      <c r="F129" s="1119"/>
      <c r="G129" s="1120"/>
      <c r="H129" s="349"/>
      <c r="I129" s="375"/>
      <c r="J129" s="410"/>
      <c r="K129" s="41">
        <v>0</v>
      </c>
      <c r="L129" s="41">
        <v>0</v>
      </c>
    </row>
    <row r="130" spans="1:12" hidden="1" x14ac:dyDescent="0.25">
      <c r="A130" s="374"/>
      <c r="B130" s="349"/>
      <c r="C130" s="349"/>
      <c r="D130" s="349"/>
      <c r="E130" s="349"/>
      <c r="F130" s="1119"/>
      <c r="G130" s="1120"/>
      <c r="H130" s="349"/>
      <c r="I130" s="408"/>
      <c r="J130" s="410"/>
      <c r="K130" s="41">
        <v>0</v>
      </c>
      <c r="L130" s="41">
        <v>0</v>
      </c>
    </row>
    <row r="131" spans="1:12" hidden="1" x14ac:dyDescent="0.25">
      <c r="A131" s="374"/>
      <c r="B131" s="349"/>
      <c r="C131" s="349"/>
      <c r="D131" s="349"/>
      <c r="E131" s="349"/>
      <c r="F131" s="1119"/>
      <c r="G131" s="1120"/>
      <c r="H131" s="349"/>
      <c r="I131" s="375"/>
      <c r="J131" s="410"/>
      <c r="K131" s="110">
        <v>0</v>
      </c>
      <c r="L131" s="110">
        <v>0</v>
      </c>
    </row>
    <row r="132" spans="1:12" hidden="1" x14ac:dyDescent="0.25">
      <c r="A132" s="374"/>
      <c r="B132" s="349"/>
      <c r="C132" s="349"/>
      <c r="D132" s="349"/>
      <c r="E132" s="349"/>
      <c r="F132" s="1119"/>
      <c r="G132" s="1120"/>
      <c r="H132" s="349"/>
      <c r="I132" s="375"/>
      <c r="J132" s="410"/>
      <c r="K132" s="110">
        <v>0</v>
      </c>
      <c r="L132" s="110">
        <v>0</v>
      </c>
    </row>
    <row r="133" spans="1:12" hidden="1" x14ac:dyDescent="0.25">
      <c r="A133" s="374"/>
      <c r="B133" s="349"/>
      <c r="C133" s="349"/>
      <c r="D133" s="349"/>
      <c r="E133" s="349"/>
      <c r="F133" s="1119"/>
      <c r="G133" s="1120"/>
      <c r="H133" s="349"/>
      <c r="I133" s="375"/>
      <c r="J133" s="410"/>
      <c r="K133" s="110">
        <v>0</v>
      </c>
      <c r="L133" s="110">
        <v>0</v>
      </c>
    </row>
    <row r="134" spans="1:12" hidden="1" x14ac:dyDescent="0.25">
      <c r="A134" s="374"/>
      <c r="B134" s="349"/>
      <c r="C134" s="349"/>
      <c r="D134" s="349"/>
      <c r="E134" s="349"/>
      <c r="F134" s="349"/>
      <c r="G134" s="349"/>
      <c r="H134" s="349"/>
      <c r="I134" s="409"/>
      <c r="J134" s="410"/>
      <c r="K134" s="41"/>
      <c r="L134" s="41"/>
    </row>
    <row r="135" spans="1:12" hidden="1" x14ac:dyDescent="0.25">
      <c r="A135" s="374"/>
      <c r="B135" s="349"/>
      <c r="C135" s="349"/>
      <c r="D135" s="349"/>
      <c r="E135" s="349"/>
      <c r="F135" s="349"/>
      <c r="G135" s="349"/>
      <c r="H135" s="349"/>
      <c r="I135" s="409"/>
      <c r="J135" s="410"/>
      <c r="K135" s="110"/>
      <c r="L135" s="110"/>
    </row>
    <row r="136" spans="1:12" hidden="1" x14ac:dyDescent="0.25">
      <c r="A136" s="374"/>
      <c r="B136" s="349"/>
      <c r="C136" s="349"/>
      <c r="D136" s="349"/>
      <c r="E136" s="349"/>
      <c r="F136" s="349"/>
      <c r="G136" s="349"/>
      <c r="H136" s="349"/>
      <c r="I136" s="409"/>
      <c r="J136" s="410"/>
      <c r="K136" s="41"/>
      <c r="L136" s="41"/>
    </row>
    <row r="137" spans="1:12" hidden="1" x14ac:dyDescent="0.25">
      <c r="A137" s="374"/>
      <c r="B137" s="349"/>
      <c r="C137" s="349"/>
      <c r="D137" s="349"/>
      <c r="E137" s="349"/>
      <c r="F137" s="349"/>
      <c r="G137" s="349"/>
      <c r="H137" s="349"/>
      <c r="I137" s="409"/>
      <c r="J137" s="410"/>
      <c r="K137" s="41"/>
      <c r="L137" s="41"/>
    </row>
    <row r="138" spans="1:12" hidden="1" x14ac:dyDescent="0.25">
      <c r="A138" s="374"/>
      <c r="B138" s="349"/>
      <c r="C138" s="349"/>
      <c r="D138" s="349"/>
      <c r="E138" s="349"/>
      <c r="F138" s="349"/>
      <c r="G138" s="349"/>
      <c r="H138" s="395"/>
      <c r="I138" s="409"/>
      <c r="J138" s="410"/>
      <c r="K138" s="110"/>
      <c r="L138" s="110"/>
    </row>
    <row r="139" spans="1:12" hidden="1" x14ac:dyDescent="0.25">
      <c r="A139" s="374"/>
      <c r="B139" s="349"/>
      <c r="C139" s="349"/>
      <c r="D139" s="349"/>
      <c r="E139" s="349"/>
      <c r="F139" s="349"/>
      <c r="G139" s="349"/>
      <c r="H139" s="349"/>
      <c r="I139" s="409"/>
      <c r="J139" s="410"/>
      <c r="K139" s="110"/>
      <c r="L139" s="110"/>
    </row>
    <row r="140" spans="1:12" hidden="1" x14ac:dyDescent="0.25">
      <c r="A140" s="374"/>
      <c r="B140" s="349"/>
      <c r="C140" s="349"/>
      <c r="D140" s="349"/>
      <c r="E140" s="349"/>
      <c r="F140" s="349"/>
      <c r="G140" s="349"/>
      <c r="H140" s="395"/>
      <c r="I140" s="409"/>
      <c r="J140" s="410"/>
      <c r="K140" s="110"/>
      <c r="L140" s="110"/>
    </row>
    <row r="141" spans="1:12" hidden="1" x14ac:dyDescent="0.25">
      <c r="A141" s="374"/>
      <c r="B141" s="349"/>
      <c r="C141" s="349"/>
      <c r="D141" s="349"/>
      <c r="E141" s="349"/>
      <c r="F141" s="349"/>
      <c r="G141" s="349"/>
      <c r="H141" s="349"/>
      <c r="I141" s="409"/>
      <c r="J141" s="410"/>
      <c r="K141" s="110"/>
      <c r="L141" s="110"/>
    </row>
    <row r="142" spans="1:12" hidden="1" x14ac:dyDescent="0.25">
      <c r="A142" s="374"/>
      <c r="B142" s="349"/>
      <c r="C142" s="349"/>
      <c r="D142" s="349"/>
      <c r="E142" s="349"/>
      <c r="F142" s="349"/>
      <c r="G142" s="349"/>
      <c r="H142" s="349"/>
      <c r="I142" s="409"/>
      <c r="J142" s="410"/>
      <c r="K142" s="110"/>
      <c r="L142" s="110"/>
    </row>
    <row r="143" spans="1:12" hidden="1" x14ac:dyDescent="0.25">
      <c r="A143" s="374"/>
      <c r="B143" s="349"/>
      <c r="C143" s="349"/>
      <c r="D143" s="349"/>
      <c r="E143" s="349"/>
      <c r="F143" s="349"/>
      <c r="G143" s="349"/>
      <c r="H143" s="349"/>
      <c r="I143" s="409"/>
      <c r="J143" s="410"/>
      <c r="K143" s="110"/>
      <c r="L143" s="110"/>
    </row>
    <row r="144" spans="1:12" hidden="1" x14ac:dyDescent="0.25">
      <c r="A144" s="374"/>
      <c r="B144" s="349"/>
      <c r="C144" s="349"/>
      <c r="D144" s="349"/>
      <c r="E144" s="349"/>
      <c r="F144" s="349"/>
      <c r="G144" s="349"/>
      <c r="H144" s="349"/>
      <c r="I144" s="409"/>
      <c r="J144" s="410"/>
      <c r="K144" s="110"/>
      <c r="L144" s="110"/>
    </row>
    <row r="145" spans="1:12" hidden="1" x14ac:dyDescent="0.25">
      <c r="A145" s="374"/>
      <c r="B145" s="349"/>
      <c r="C145" s="349"/>
      <c r="D145" s="349"/>
      <c r="E145" s="349"/>
      <c r="F145" s="1119"/>
      <c r="G145" s="1120"/>
      <c r="H145" s="349"/>
      <c r="I145" s="228"/>
      <c r="J145" s="410"/>
      <c r="K145" s="110">
        <v>0</v>
      </c>
      <c r="L145" s="110">
        <v>0</v>
      </c>
    </row>
    <row r="146" spans="1:12" hidden="1" x14ac:dyDescent="0.25">
      <c r="A146" s="374"/>
      <c r="B146" s="349"/>
      <c r="C146" s="349"/>
      <c r="D146" s="349"/>
      <c r="E146" s="349"/>
      <c r="F146" s="1119"/>
      <c r="G146" s="1120"/>
      <c r="H146" s="349"/>
      <c r="I146" s="228"/>
      <c r="J146" s="410"/>
      <c r="K146" s="110">
        <v>0</v>
      </c>
      <c r="L146" s="110">
        <v>0</v>
      </c>
    </row>
    <row r="147" spans="1:12" hidden="1" x14ac:dyDescent="0.25">
      <c r="A147" s="374"/>
      <c r="B147" s="349"/>
      <c r="C147" s="349"/>
      <c r="D147" s="349"/>
      <c r="E147" s="349"/>
      <c r="F147" s="1119"/>
      <c r="G147" s="1120"/>
      <c r="H147" s="349"/>
      <c r="I147" s="228"/>
      <c r="J147" s="410"/>
      <c r="K147" s="110">
        <v>0</v>
      </c>
      <c r="L147" s="110">
        <v>0</v>
      </c>
    </row>
    <row r="148" spans="1:12" hidden="1" x14ac:dyDescent="0.25">
      <c r="A148" s="374"/>
      <c r="B148" s="488"/>
      <c r="C148" s="411"/>
      <c r="D148" s="411"/>
      <c r="E148" s="411"/>
      <c r="F148" s="1200"/>
      <c r="G148" s="1201"/>
      <c r="H148" s="412"/>
      <c r="I148" s="228"/>
      <c r="J148" s="410"/>
      <c r="K148" s="110">
        <v>0</v>
      </c>
      <c r="L148" s="110">
        <v>0</v>
      </c>
    </row>
    <row r="149" spans="1:12" hidden="1" x14ac:dyDescent="0.25">
      <c r="A149" s="374"/>
      <c r="B149" s="349"/>
      <c r="C149" s="349"/>
      <c r="D149" s="349"/>
      <c r="E149" s="349"/>
      <c r="F149" s="1119"/>
      <c r="G149" s="1120"/>
      <c r="H149" s="349"/>
      <c r="I149" s="409"/>
      <c r="J149" s="410"/>
      <c r="K149" s="110">
        <v>0</v>
      </c>
      <c r="L149" s="110">
        <v>0</v>
      </c>
    </row>
    <row r="150" spans="1:12" ht="1.5" hidden="1" customHeight="1" x14ac:dyDescent="0.25">
      <c r="A150" s="374"/>
      <c r="B150" s="349"/>
      <c r="C150" s="349"/>
      <c r="D150" s="349"/>
      <c r="E150" s="349"/>
      <c r="F150" s="1119"/>
      <c r="G150" s="1120"/>
      <c r="H150" s="349"/>
      <c r="I150" s="409"/>
      <c r="J150" s="410"/>
      <c r="K150" s="110">
        <v>0</v>
      </c>
      <c r="L150" s="110">
        <v>0</v>
      </c>
    </row>
    <row r="151" spans="1:12" hidden="1" x14ac:dyDescent="0.25">
      <c r="A151" s="374"/>
      <c r="B151" s="349"/>
      <c r="C151" s="349"/>
      <c r="D151" s="349"/>
      <c r="E151" s="349"/>
      <c r="F151" s="1119"/>
      <c r="G151" s="1120"/>
      <c r="H151" s="349"/>
      <c r="I151" s="409"/>
      <c r="J151" s="410"/>
      <c r="K151" s="110">
        <v>0</v>
      </c>
      <c r="L151" s="110">
        <v>0</v>
      </c>
    </row>
    <row r="152" spans="1:12" hidden="1" x14ac:dyDescent="0.25">
      <c r="A152" s="374"/>
      <c r="B152" s="349"/>
      <c r="C152" s="349"/>
      <c r="D152" s="349"/>
      <c r="E152" s="349"/>
      <c r="F152" s="1119"/>
      <c r="G152" s="1120"/>
      <c r="H152" s="349"/>
      <c r="I152" s="409"/>
      <c r="J152" s="410"/>
      <c r="K152" s="110">
        <v>0</v>
      </c>
      <c r="L152" s="110">
        <v>0</v>
      </c>
    </row>
    <row r="153" spans="1:12" hidden="1" x14ac:dyDescent="0.25">
      <c r="A153" s="374"/>
      <c r="B153" s="349"/>
      <c r="C153" s="349"/>
      <c r="D153" s="349"/>
      <c r="E153" s="349"/>
      <c r="F153" s="1119"/>
      <c r="G153" s="1120"/>
      <c r="H153" s="349"/>
      <c r="I153" s="409"/>
      <c r="J153" s="491"/>
      <c r="K153" s="221"/>
      <c r="L153" s="221"/>
    </row>
    <row r="154" spans="1:12" hidden="1" x14ac:dyDescent="0.25">
      <c r="A154" s="374"/>
      <c r="B154" s="349"/>
      <c r="C154" s="349"/>
      <c r="D154" s="349"/>
      <c r="E154" s="349"/>
      <c r="F154" s="1119"/>
      <c r="G154" s="1120"/>
      <c r="H154" s="405"/>
      <c r="I154" s="409"/>
      <c r="J154" s="491"/>
      <c r="K154" s="221"/>
      <c r="L154" s="221"/>
    </row>
    <row r="155" spans="1:12" hidden="1" x14ac:dyDescent="0.25">
      <c r="A155" s="374"/>
      <c r="B155" s="349"/>
      <c r="C155" s="349"/>
      <c r="D155" s="349"/>
      <c r="E155" s="349"/>
      <c r="F155" s="1119"/>
      <c r="G155" s="1120"/>
      <c r="H155" s="349"/>
      <c r="I155" s="409"/>
      <c r="J155" s="410"/>
      <c r="K155" s="110">
        <v>0</v>
      </c>
      <c r="L155" s="110">
        <v>0</v>
      </c>
    </row>
    <row r="156" spans="1:12" hidden="1" x14ac:dyDescent="0.25">
      <c r="A156" s="374"/>
      <c r="B156" s="349"/>
      <c r="C156" s="349"/>
      <c r="D156" s="349"/>
      <c r="E156" s="349"/>
      <c r="F156" s="1119"/>
      <c r="G156" s="1120"/>
      <c r="H156" s="349"/>
      <c r="I156" s="409"/>
      <c r="J156" s="410"/>
      <c r="K156" s="110">
        <v>0</v>
      </c>
      <c r="L156" s="110">
        <v>0</v>
      </c>
    </row>
    <row r="157" spans="1:12" hidden="1" x14ac:dyDescent="0.25">
      <c r="A157" s="374"/>
      <c r="B157" s="349"/>
      <c r="C157" s="349"/>
      <c r="D157" s="349"/>
      <c r="E157" s="349"/>
      <c r="F157" s="1119"/>
      <c r="G157" s="1120"/>
      <c r="H157" s="349"/>
      <c r="I157" s="409"/>
      <c r="J157" s="410"/>
      <c r="K157" s="110">
        <v>0</v>
      </c>
      <c r="L157" s="110">
        <v>0</v>
      </c>
    </row>
    <row r="158" spans="1:12" hidden="1" x14ac:dyDescent="0.25">
      <c r="A158" s="374"/>
      <c r="B158" s="349"/>
      <c r="C158" s="349"/>
      <c r="D158" s="349"/>
      <c r="E158" s="349"/>
      <c r="F158" s="1119"/>
      <c r="G158" s="1120"/>
      <c r="H158" s="349"/>
      <c r="I158" s="409"/>
      <c r="J158" s="410"/>
      <c r="K158" s="110">
        <v>0</v>
      </c>
      <c r="L158" s="110">
        <v>0</v>
      </c>
    </row>
    <row r="159" spans="1:12" hidden="1" x14ac:dyDescent="0.25">
      <c r="A159" s="374"/>
      <c r="B159" s="349"/>
      <c r="C159" s="349"/>
      <c r="D159" s="349"/>
      <c r="E159" s="349"/>
      <c r="F159" s="1119"/>
      <c r="G159" s="1120"/>
      <c r="H159" s="405"/>
      <c r="I159" s="409"/>
      <c r="J159" s="410"/>
      <c r="K159" s="110">
        <v>0</v>
      </c>
      <c r="L159" s="110">
        <v>0</v>
      </c>
    </row>
    <row r="160" spans="1:12" x14ac:dyDescent="0.25">
      <c r="A160" s="240"/>
      <c r="B160" s="1114" t="s">
        <v>958</v>
      </c>
      <c r="C160" s="1115"/>
      <c r="D160" s="1115"/>
      <c r="E160" s="1115"/>
      <c r="F160" s="1115"/>
      <c r="G160" s="1115"/>
      <c r="H160" s="1115"/>
      <c r="I160" s="1116"/>
      <c r="J160" s="46">
        <f>J161+J162+J163+J164</f>
        <v>0</v>
      </c>
      <c r="K160" s="46">
        <f>K161+K162+K163+K164+K165+K168+K166+K167</f>
        <v>0</v>
      </c>
      <c r="L160" s="46">
        <f>L161+L162+L163+L164+L165+L168+L166+L167</f>
        <v>0</v>
      </c>
    </row>
    <row r="161" spans="1:12" ht="15" hidden="1" customHeight="1" x14ac:dyDescent="0.25">
      <c r="A161" s="348"/>
      <c r="B161" s="349"/>
      <c r="C161" s="349"/>
      <c r="D161" s="349"/>
      <c r="E161" s="349"/>
      <c r="F161" s="1119"/>
      <c r="G161" s="1120"/>
      <c r="H161" s="417"/>
      <c r="I161" s="228"/>
      <c r="J161" s="41">
        <v>0</v>
      </c>
      <c r="K161" s="110">
        <v>0</v>
      </c>
      <c r="L161" s="110">
        <v>0</v>
      </c>
    </row>
    <row r="162" spans="1:12" hidden="1" x14ac:dyDescent="0.25">
      <c r="A162" s="348"/>
      <c r="B162" s="349"/>
      <c r="C162" s="349"/>
      <c r="D162" s="349"/>
      <c r="E162" s="349"/>
      <c r="F162" s="1119"/>
      <c r="G162" s="1120"/>
      <c r="H162" s="417"/>
      <c r="I162" s="228"/>
      <c r="J162" s="41">
        <v>0</v>
      </c>
      <c r="K162" s="110">
        <v>0</v>
      </c>
      <c r="L162" s="110">
        <v>0</v>
      </c>
    </row>
    <row r="163" spans="1:12" hidden="1" x14ac:dyDescent="0.25">
      <c r="A163" s="348"/>
      <c r="B163" s="349"/>
      <c r="C163" s="349"/>
      <c r="D163" s="349"/>
      <c r="E163" s="349"/>
      <c r="F163" s="1119"/>
      <c r="G163" s="1120"/>
      <c r="H163" s="417"/>
      <c r="I163" s="375"/>
      <c r="J163" s="368"/>
      <c r="K163" s="84">
        <v>0</v>
      </c>
      <c r="L163" s="84">
        <v>0</v>
      </c>
    </row>
    <row r="164" spans="1:12" hidden="1" x14ac:dyDescent="0.25">
      <c r="A164" s="348"/>
      <c r="B164" s="349"/>
      <c r="C164" s="349"/>
      <c r="D164" s="349"/>
      <c r="E164" s="349"/>
      <c r="F164" s="1119"/>
      <c r="G164" s="1120"/>
      <c r="H164" s="395"/>
      <c r="I164" s="228"/>
      <c r="J164" s="368"/>
      <c r="K164" s="84">
        <v>0</v>
      </c>
      <c r="L164" s="84">
        <v>0</v>
      </c>
    </row>
    <row r="165" spans="1:12" hidden="1" x14ac:dyDescent="0.25">
      <c r="A165" s="240"/>
      <c r="B165" s="349"/>
      <c r="C165" s="349"/>
      <c r="D165" s="349"/>
      <c r="E165" s="349"/>
      <c r="F165" s="1119"/>
      <c r="G165" s="1120"/>
      <c r="H165" s="412"/>
      <c r="I165" s="228"/>
      <c r="J165" s="368"/>
      <c r="K165" s="84">
        <v>0</v>
      </c>
      <c r="L165" s="84">
        <v>0</v>
      </c>
    </row>
    <row r="166" spans="1:12" hidden="1" x14ac:dyDescent="0.25">
      <c r="A166" s="240"/>
      <c r="B166" s="488"/>
      <c r="C166" s="411"/>
      <c r="D166" s="411"/>
      <c r="E166" s="411"/>
      <c r="F166" s="1200"/>
      <c r="G166" s="1201"/>
      <c r="H166" s="412"/>
      <c r="I166" s="375"/>
      <c r="J166" s="368"/>
      <c r="K166" s="84">
        <v>0</v>
      </c>
      <c r="L166" s="84">
        <v>0</v>
      </c>
    </row>
    <row r="167" spans="1:12" hidden="1" x14ac:dyDescent="0.25">
      <c r="A167" s="240"/>
      <c r="B167" s="488"/>
      <c r="C167" s="411"/>
      <c r="D167" s="411"/>
      <c r="E167" s="411"/>
      <c r="F167" s="1200"/>
      <c r="G167" s="1201"/>
      <c r="H167" s="412"/>
      <c r="I167" s="413"/>
      <c r="J167" s="368"/>
      <c r="K167" s="84">
        <v>0</v>
      </c>
      <c r="L167" s="84">
        <v>0</v>
      </c>
    </row>
    <row r="168" spans="1:12" hidden="1" x14ac:dyDescent="0.25">
      <c r="A168" s="240"/>
      <c r="B168" s="487"/>
      <c r="C168" s="414"/>
      <c r="D168" s="414"/>
      <c r="E168" s="414"/>
      <c r="F168" s="1194"/>
      <c r="G168" s="1195"/>
      <c r="H168" s="415"/>
      <c r="I168" s="375"/>
      <c r="J168" s="368"/>
      <c r="K168" s="84">
        <v>0</v>
      </c>
      <c r="L168" s="84">
        <v>0</v>
      </c>
    </row>
    <row r="169" spans="1:12" hidden="1" x14ac:dyDescent="0.25">
      <c r="A169" s="240"/>
      <c r="B169" s="487"/>
      <c r="C169" s="414"/>
      <c r="D169" s="414"/>
      <c r="E169" s="414"/>
      <c r="F169" s="1067"/>
      <c r="G169" s="1068"/>
      <c r="H169" s="415"/>
      <c r="I169" s="375"/>
      <c r="J169" s="368"/>
      <c r="K169" s="84">
        <v>0</v>
      </c>
      <c r="L169" s="84">
        <v>0</v>
      </c>
    </row>
    <row r="170" spans="1:12" hidden="1" x14ac:dyDescent="0.25">
      <c r="A170" s="240"/>
      <c r="B170" s="490"/>
      <c r="C170" s="490"/>
      <c r="D170" s="490"/>
      <c r="E170" s="490"/>
      <c r="F170" s="1067"/>
      <c r="G170" s="1068"/>
      <c r="H170" s="416"/>
      <c r="I170" s="375"/>
      <c r="J170" s="368"/>
      <c r="K170" s="84">
        <v>0</v>
      </c>
      <c r="L170" s="84">
        <v>0</v>
      </c>
    </row>
    <row r="171" spans="1:12" x14ac:dyDescent="0.25">
      <c r="A171" s="240"/>
      <c r="B171" s="1107" t="s">
        <v>959</v>
      </c>
      <c r="C171" s="1108"/>
      <c r="D171" s="1108"/>
      <c r="E171" s="1108"/>
      <c r="F171" s="1108"/>
      <c r="G171" s="1108"/>
      <c r="H171" s="1108"/>
      <c r="I171" s="1109"/>
      <c r="J171" s="46">
        <f>J177</f>
        <v>0</v>
      </c>
      <c r="K171" s="46">
        <f>K172+K173+K174</f>
        <v>0</v>
      </c>
      <c r="L171" s="46">
        <f>L172+L173+L174</f>
        <v>0</v>
      </c>
    </row>
    <row r="172" spans="1:12" hidden="1" x14ac:dyDescent="0.25">
      <c r="A172" s="240"/>
      <c r="B172" s="349"/>
      <c r="C172" s="349"/>
      <c r="D172" s="349"/>
      <c r="E172" s="349"/>
      <c r="F172" s="1119"/>
      <c r="G172" s="1120"/>
      <c r="H172" s="417"/>
      <c r="I172" s="400"/>
      <c r="J172" s="41"/>
      <c r="K172" s="84"/>
      <c r="L172" s="84"/>
    </row>
    <row r="173" spans="1:12" hidden="1" x14ac:dyDescent="0.25">
      <c r="A173" s="486"/>
      <c r="B173" s="349"/>
      <c r="C173" s="349"/>
      <c r="D173" s="349"/>
      <c r="E173" s="349"/>
      <c r="F173" s="349"/>
      <c r="G173" s="405"/>
      <c r="H173" s="395"/>
      <c r="I173" s="400"/>
      <c r="J173" s="41"/>
      <c r="K173" s="84"/>
      <c r="L173" s="84"/>
    </row>
    <row r="174" spans="1:12" hidden="1" x14ac:dyDescent="0.25">
      <c r="A174" s="240"/>
      <c r="B174" s="349"/>
      <c r="C174" s="349"/>
      <c r="D174" s="349"/>
      <c r="E174" s="349"/>
      <c r="F174" s="349"/>
      <c r="G174" s="405"/>
      <c r="H174" s="395"/>
      <c r="I174" s="400"/>
      <c r="J174" s="41"/>
      <c r="K174" s="84"/>
      <c r="L174" s="84"/>
    </row>
    <row r="175" spans="1:12" hidden="1" x14ac:dyDescent="0.25">
      <c r="A175" s="240"/>
      <c r="B175" s="349"/>
      <c r="C175" s="349"/>
      <c r="D175" s="349"/>
      <c r="E175" s="349"/>
      <c r="F175" s="349"/>
      <c r="G175" s="349"/>
      <c r="H175" s="349"/>
      <c r="I175" s="400"/>
      <c r="J175" s="41"/>
      <c r="K175" s="84"/>
      <c r="L175" s="84"/>
    </row>
    <row r="176" spans="1:12" hidden="1" x14ac:dyDescent="0.25">
      <c r="A176" s="240"/>
      <c r="B176" s="419"/>
      <c r="C176" s="133"/>
      <c r="D176" s="133"/>
      <c r="E176" s="133"/>
      <c r="F176" s="133"/>
      <c r="G176" s="133"/>
      <c r="H176" s="133"/>
      <c r="I176" s="36"/>
      <c r="J176" s="41"/>
      <c r="K176" s="84"/>
      <c r="L176" s="84"/>
    </row>
    <row r="177" spans="1:12" hidden="1" x14ac:dyDescent="0.25">
      <c r="A177" s="240"/>
      <c r="B177" s="489"/>
      <c r="C177" s="416"/>
      <c r="D177" s="416"/>
      <c r="E177" s="416"/>
      <c r="F177" s="1065"/>
      <c r="G177" s="1066"/>
      <c r="H177" s="416"/>
      <c r="I177" s="420"/>
      <c r="J177" s="368"/>
      <c r="K177" s="84">
        <v>0</v>
      </c>
      <c r="L177" s="84">
        <v>0</v>
      </c>
    </row>
    <row r="178" spans="1:12" x14ac:dyDescent="0.25">
      <c r="A178" s="240"/>
      <c r="B178" s="1114" t="s">
        <v>960</v>
      </c>
      <c r="C178" s="1115"/>
      <c r="D178" s="1115"/>
      <c r="E178" s="1115"/>
      <c r="F178" s="1115"/>
      <c r="G178" s="1115"/>
      <c r="H178" s="1115"/>
      <c r="I178" s="1116"/>
      <c r="J178" s="46">
        <f>SUM(J184:J186)+J179+J180+J182+J183+J181+J187+J188+J189+J190</f>
        <v>0</v>
      </c>
      <c r="K178" s="46">
        <f>SUM(K184:K186)+K179+K180+K182+K183+K181+K187+K188+K189+K190</f>
        <v>0</v>
      </c>
      <c r="L178" s="46">
        <f>SUM(L184:L186)+L179+L180+L182+L183+L181+L187+L188+L189+L190</f>
        <v>0</v>
      </c>
    </row>
    <row r="179" spans="1:12" hidden="1" x14ac:dyDescent="0.25">
      <c r="A179" s="240"/>
      <c r="B179" s="414"/>
      <c r="C179" s="414"/>
      <c r="D179" s="414"/>
      <c r="E179" s="414"/>
      <c r="F179" s="1194"/>
      <c r="G179" s="1195"/>
      <c r="H179" s="443"/>
      <c r="I179" s="460"/>
      <c r="J179" s="41">
        <v>0</v>
      </c>
      <c r="K179" s="41">
        <v>0</v>
      </c>
      <c r="L179" s="41">
        <v>0</v>
      </c>
    </row>
    <row r="180" spans="1:12" hidden="1" x14ac:dyDescent="0.25">
      <c r="A180" s="240"/>
      <c r="B180" s="421"/>
      <c r="C180" s="421"/>
      <c r="D180" s="421"/>
      <c r="E180" s="421"/>
      <c r="F180" s="1194"/>
      <c r="G180" s="1195"/>
      <c r="H180" s="476"/>
      <c r="I180" s="375"/>
      <c r="J180" s="41">
        <v>0</v>
      </c>
      <c r="K180" s="41">
        <v>0</v>
      </c>
      <c r="L180" s="41">
        <v>0</v>
      </c>
    </row>
    <row r="181" spans="1:12" hidden="1" x14ac:dyDescent="0.25">
      <c r="A181" s="477"/>
      <c r="B181" s="421"/>
      <c r="C181" s="421"/>
      <c r="D181" s="421"/>
      <c r="E181" s="421"/>
      <c r="F181" s="1067"/>
      <c r="G181" s="1068"/>
      <c r="H181" s="421"/>
      <c r="I181" s="460"/>
      <c r="J181" s="368"/>
      <c r="K181" s="368"/>
      <c r="L181" s="368"/>
    </row>
    <row r="182" spans="1:12" hidden="1" x14ac:dyDescent="0.25">
      <c r="A182" s="477"/>
      <c r="B182" s="421"/>
      <c r="C182" s="421"/>
      <c r="D182" s="421"/>
      <c r="E182" s="421"/>
      <c r="F182" s="1067"/>
      <c r="G182" s="1068"/>
      <c r="H182" s="421"/>
      <c r="I182" s="457"/>
      <c r="J182" s="368"/>
      <c r="K182" s="368"/>
      <c r="L182" s="368"/>
    </row>
    <row r="183" spans="1:12" hidden="1" x14ac:dyDescent="0.25">
      <c r="A183" s="477"/>
      <c r="B183" s="421"/>
      <c r="C183" s="421"/>
      <c r="D183" s="421"/>
      <c r="E183" s="421"/>
      <c r="F183" s="1196"/>
      <c r="G183" s="1197"/>
      <c r="H183" s="421"/>
      <c r="I183" s="460"/>
      <c r="J183" s="368"/>
      <c r="K183" s="41"/>
      <c r="L183" s="41"/>
    </row>
    <row r="184" spans="1:12" s="1" customFormat="1" hidden="1" x14ac:dyDescent="0.25">
      <c r="A184" s="477"/>
      <c r="B184" s="422"/>
      <c r="C184" s="422"/>
      <c r="D184" s="422"/>
      <c r="E184" s="422"/>
      <c r="F184" s="1198"/>
      <c r="G184" s="1199"/>
      <c r="H184" s="422"/>
      <c r="I184" s="441"/>
      <c r="J184" s="368"/>
      <c r="K184" s="84">
        <v>0</v>
      </c>
      <c r="L184" s="84">
        <v>0</v>
      </c>
    </row>
    <row r="185" spans="1:12" s="1" customFormat="1" hidden="1" x14ac:dyDescent="0.25">
      <c r="A185" s="430"/>
      <c r="B185" s="349"/>
      <c r="C185" s="349"/>
      <c r="D185" s="349"/>
      <c r="E185" s="349"/>
      <c r="F185" s="1119"/>
      <c r="G185" s="1120"/>
      <c r="H185" s="349"/>
      <c r="I185" s="378"/>
      <c r="J185" s="368"/>
      <c r="K185" s="84">
        <v>0</v>
      </c>
      <c r="L185" s="84">
        <v>0</v>
      </c>
    </row>
    <row r="186" spans="1:12" hidden="1" x14ac:dyDescent="0.25">
      <c r="A186" s="430"/>
      <c r="B186" s="349"/>
      <c r="C186" s="349"/>
      <c r="D186" s="349"/>
      <c r="E186" s="349"/>
      <c r="F186" s="1119"/>
      <c r="G186" s="1120"/>
      <c r="H186" s="349"/>
      <c r="I186" s="378"/>
      <c r="J186" s="368"/>
      <c r="K186" s="84">
        <v>0</v>
      </c>
      <c r="L186" s="84">
        <v>0</v>
      </c>
    </row>
    <row r="187" spans="1:12" hidden="1" x14ac:dyDescent="0.25">
      <c r="A187" s="430"/>
      <c r="B187" s="349"/>
      <c r="C187" s="349"/>
      <c r="D187" s="349"/>
      <c r="E187" s="349"/>
      <c r="F187" s="1119"/>
      <c r="G187" s="1120"/>
      <c r="H187" s="349"/>
      <c r="I187" s="378"/>
      <c r="J187" s="368"/>
      <c r="K187" s="84">
        <v>0</v>
      </c>
      <c r="L187" s="84">
        <v>0</v>
      </c>
    </row>
    <row r="188" spans="1:12" hidden="1" x14ac:dyDescent="0.25">
      <c r="A188" s="430"/>
      <c r="B188" s="349"/>
      <c r="C188" s="349"/>
      <c r="D188" s="349"/>
      <c r="E188" s="349"/>
      <c r="F188" s="1119"/>
      <c r="G188" s="1120"/>
      <c r="H188" s="349"/>
      <c r="I188" s="378"/>
      <c r="J188" s="368"/>
      <c r="K188" s="84">
        <v>0</v>
      </c>
      <c r="L188" s="84">
        <v>0</v>
      </c>
    </row>
    <row r="189" spans="1:12" hidden="1" x14ac:dyDescent="0.25">
      <c r="A189" s="484"/>
      <c r="B189" s="423"/>
      <c r="C189" s="423"/>
      <c r="D189" s="423"/>
      <c r="E189" s="423"/>
      <c r="F189" s="1121"/>
      <c r="G189" s="1122"/>
      <c r="H189" s="423"/>
      <c r="I189" s="442"/>
      <c r="J189" s="368"/>
      <c r="K189" s="84">
        <v>0</v>
      </c>
      <c r="L189" s="84">
        <v>0</v>
      </c>
    </row>
    <row r="190" spans="1:12" hidden="1" x14ac:dyDescent="0.25">
      <c r="A190" s="387"/>
      <c r="B190" s="423"/>
      <c r="C190" s="423"/>
      <c r="D190" s="423"/>
      <c r="E190" s="423"/>
      <c r="F190" s="1121"/>
      <c r="G190" s="1122"/>
      <c r="H190" s="423"/>
      <c r="I190" s="377"/>
      <c r="J190" s="368"/>
      <c r="K190" s="84">
        <v>0</v>
      </c>
      <c r="L190" s="84">
        <v>0</v>
      </c>
    </row>
    <row r="191" spans="1:12" hidden="1" x14ac:dyDescent="0.25">
      <c r="A191" s="380"/>
      <c r="B191" s="349"/>
      <c r="C191" s="349"/>
      <c r="D191" s="349"/>
      <c r="E191" s="349"/>
      <c r="F191" s="1119"/>
      <c r="G191" s="1120"/>
      <c r="H191" s="349"/>
      <c r="I191" s="424"/>
      <c r="J191" s="368"/>
      <c r="K191" s="84"/>
      <c r="L191" s="84"/>
    </row>
    <row r="192" spans="1:12" x14ac:dyDescent="0.25">
      <c r="A192" s="240"/>
      <c r="B192" s="1123" t="s">
        <v>961</v>
      </c>
      <c r="C192" s="1124"/>
      <c r="D192" s="1124"/>
      <c r="E192" s="1124"/>
      <c r="F192" s="1124"/>
      <c r="G192" s="1124"/>
      <c r="H192" s="1124"/>
      <c r="I192" s="1125"/>
      <c r="J192" s="46">
        <f>J196+J195+J194+J193</f>
        <v>0</v>
      </c>
      <c r="K192" s="46">
        <f>K196+K195+K194+K193</f>
        <v>0</v>
      </c>
      <c r="L192" s="46">
        <f>L196+L195+L194+L193</f>
        <v>0</v>
      </c>
    </row>
    <row r="193" spans="1:12" ht="18.75" hidden="1" customHeight="1" x14ac:dyDescent="0.25">
      <c r="A193" s="348"/>
      <c r="B193" s="349"/>
      <c r="C193" s="349"/>
      <c r="D193" s="349"/>
      <c r="E193" s="349"/>
      <c r="F193" s="1119"/>
      <c r="G193" s="1120"/>
      <c r="H193" s="417"/>
      <c r="I193" s="228"/>
      <c r="J193" s="41">
        <v>0</v>
      </c>
      <c r="K193" s="84">
        <v>0</v>
      </c>
      <c r="L193" s="84">
        <v>0</v>
      </c>
    </row>
    <row r="194" spans="1:12" ht="0.75" hidden="1" customHeight="1" x14ac:dyDescent="0.25">
      <c r="A194" s="348"/>
      <c r="B194" s="349"/>
      <c r="C194" s="349"/>
      <c r="D194" s="349"/>
      <c r="E194" s="349"/>
      <c r="F194" s="1119"/>
      <c r="G194" s="1120"/>
      <c r="H194" s="349"/>
      <c r="I194" s="386"/>
      <c r="J194" s="368"/>
      <c r="K194" s="84">
        <v>0</v>
      </c>
      <c r="L194" s="84">
        <v>0</v>
      </c>
    </row>
    <row r="195" spans="1:12" hidden="1" x14ac:dyDescent="0.25">
      <c r="A195" s="82"/>
      <c r="B195" s="349"/>
      <c r="C195" s="349"/>
      <c r="D195" s="349"/>
      <c r="E195" s="349"/>
      <c r="F195" s="1119"/>
      <c r="G195" s="1120"/>
      <c r="H195" s="349"/>
      <c r="I195" s="375"/>
      <c r="J195" s="368"/>
      <c r="K195" s="84">
        <v>0</v>
      </c>
      <c r="L195" s="84">
        <v>0</v>
      </c>
    </row>
    <row r="196" spans="1:12" hidden="1" x14ac:dyDescent="0.25">
      <c r="A196" s="82"/>
      <c r="B196" s="482"/>
      <c r="C196" s="490"/>
      <c r="D196" s="490"/>
      <c r="E196" s="490"/>
      <c r="F196" s="1067"/>
      <c r="G196" s="1068"/>
      <c r="H196" s="416"/>
      <c r="I196" s="375"/>
      <c r="J196" s="368"/>
      <c r="K196" s="84">
        <v>0</v>
      </c>
      <c r="L196" s="84">
        <v>0</v>
      </c>
    </row>
    <row r="197" spans="1:12" x14ac:dyDescent="0.25">
      <c r="A197" s="82"/>
      <c r="B197" s="1123" t="s">
        <v>962</v>
      </c>
      <c r="C197" s="1124"/>
      <c r="D197" s="1124"/>
      <c r="E197" s="1124"/>
      <c r="F197" s="1124"/>
      <c r="G197" s="1124"/>
      <c r="H197" s="1124"/>
      <c r="I197" s="1125"/>
      <c r="J197" s="46">
        <f>J199+J200</f>
        <v>0</v>
      </c>
      <c r="K197" s="46">
        <f>K198</f>
        <v>0</v>
      </c>
      <c r="L197" s="46">
        <f>L198</f>
        <v>0</v>
      </c>
    </row>
    <row r="198" spans="1:12" hidden="1" x14ac:dyDescent="0.25">
      <c r="A198" s="370"/>
      <c r="B198" s="349"/>
      <c r="C198" s="349"/>
      <c r="D198" s="349"/>
      <c r="E198" s="349"/>
      <c r="F198" s="1119"/>
      <c r="G198" s="1120"/>
      <c r="H198" s="349"/>
      <c r="I198" s="400"/>
      <c r="J198" s="41"/>
      <c r="K198" s="84"/>
      <c r="L198" s="84"/>
    </row>
    <row r="199" spans="1:12" ht="1.5" hidden="1" customHeight="1" x14ac:dyDescent="0.25">
      <c r="A199" s="370"/>
      <c r="B199" s="425"/>
      <c r="C199" s="425"/>
      <c r="D199" s="425"/>
      <c r="E199" s="425"/>
      <c r="F199" s="1131"/>
      <c r="G199" s="1132"/>
      <c r="H199" s="425"/>
      <c r="I199" s="426"/>
      <c r="J199" s="427"/>
      <c r="K199" s="84">
        <v>0</v>
      </c>
      <c r="L199" s="84">
        <v>0</v>
      </c>
    </row>
    <row r="200" spans="1:12" hidden="1" x14ac:dyDescent="0.25">
      <c r="A200" s="370"/>
      <c r="B200" s="349"/>
      <c r="C200" s="349"/>
      <c r="D200" s="349"/>
      <c r="E200" s="349"/>
      <c r="F200" s="1119"/>
      <c r="G200" s="1120"/>
      <c r="H200" s="349"/>
      <c r="I200" s="400"/>
      <c r="J200" s="41"/>
      <c r="K200" s="84"/>
      <c r="L200" s="84"/>
    </row>
    <row r="201" spans="1:12" s="1" customFormat="1" x14ac:dyDescent="0.25">
      <c r="A201" s="26"/>
      <c r="B201" s="1133" t="s">
        <v>963</v>
      </c>
      <c r="C201" s="1134"/>
      <c r="D201" s="1134"/>
      <c r="E201" s="1134"/>
      <c r="F201" s="1134"/>
      <c r="G201" s="1134"/>
      <c r="H201" s="1134"/>
      <c r="I201" s="1135"/>
      <c r="J201" s="46">
        <f>SUM(J202:J210)</f>
        <v>0</v>
      </c>
      <c r="K201" s="46">
        <f>SUM(K202:K210)</f>
        <v>0</v>
      </c>
      <c r="L201" s="46">
        <f>SUM(L202:L210)</f>
        <v>0</v>
      </c>
    </row>
    <row r="202" spans="1:12" s="1" customFormat="1" hidden="1" x14ac:dyDescent="0.25">
      <c r="A202" s="428"/>
      <c r="B202" s="349"/>
      <c r="C202" s="349"/>
      <c r="D202" s="349"/>
      <c r="E202" s="349"/>
      <c r="F202" s="1119"/>
      <c r="G202" s="1120"/>
      <c r="H202" s="349"/>
      <c r="I202" s="400"/>
      <c r="J202" s="401">
        <v>0</v>
      </c>
      <c r="K202" s="110">
        <v>0</v>
      </c>
      <c r="L202" s="110">
        <v>0</v>
      </c>
    </row>
    <row r="203" spans="1:12" s="1" customFormat="1" hidden="1" x14ac:dyDescent="0.25">
      <c r="A203" s="428"/>
      <c r="B203" s="349"/>
      <c r="C203" s="349"/>
      <c r="D203" s="349"/>
      <c r="E203" s="349"/>
      <c r="F203" s="1119"/>
      <c r="G203" s="1120"/>
      <c r="H203" s="349"/>
      <c r="I203" s="400"/>
      <c r="J203" s="110">
        <v>0</v>
      </c>
      <c r="K203" s="429">
        <v>0</v>
      </c>
      <c r="L203" s="110">
        <v>0</v>
      </c>
    </row>
    <row r="204" spans="1:12" s="1" customFormat="1" ht="0.75" hidden="1" customHeight="1" x14ac:dyDescent="0.25">
      <c r="A204" s="430"/>
      <c r="B204" s="349"/>
      <c r="C204" s="349"/>
      <c r="D204" s="349"/>
      <c r="E204" s="349"/>
      <c r="F204" s="349"/>
      <c r="G204" s="349"/>
      <c r="H204" s="349"/>
      <c r="I204" s="36"/>
      <c r="J204" s="41"/>
      <c r="K204" s="110"/>
      <c r="L204" s="110"/>
    </row>
    <row r="205" spans="1:12" hidden="1" x14ac:dyDescent="0.25">
      <c r="A205" s="430"/>
      <c r="B205" s="349"/>
      <c r="C205" s="349"/>
      <c r="D205" s="349"/>
      <c r="E205" s="349"/>
      <c r="F205" s="349"/>
      <c r="G205" s="349"/>
      <c r="H205" s="349"/>
      <c r="I205" s="400"/>
      <c r="J205" s="41"/>
      <c r="K205" s="84"/>
      <c r="L205" s="84"/>
    </row>
    <row r="206" spans="1:12" hidden="1" x14ac:dyDescent="0.25">
      <c r="A206" s="78"/>
      <c r="B206" s="349"/>
      <c r="C206" s="349"/>
      <c r="D206" s="349"/>
      <c r="E206" s="349"/>
      <c r="F206" s="349"/>
      <c r="G206" s="349"/>
      <c r="H206" s="349"/>
      <c r="I206" s="431"/>
      <c r="J206" s="41"/>
      <c r="K206" s="84"/>
      <c r="L206" s="84"/>
    </row>
    <row r="207" spans="1:12" hidden="1" x14ac:dyDescent="0.25">
      <c r="A207" s="78"/>
      <c r="B207" s="349"/>
      <c r="C207" s="349"/>
      <c r="D207" s="349"/>
      <c r="E207" s="349"/>
      <c r="F207" s="349"/>
      <c r="G207" s="349"/>
      <c r="H207" s="349"/>
      <c r="I207" s="400"/>
      <c r="J207" s="41"/>
      <c r="K207" s="84"/>
      <c r="L207" s="84"/>
    </row>
    <row r="208" spans="1:12" hidden="1" x14ac:dyDescent="0.25">
      <c r="A208" s="78"/>
      <c r="B208" s="349"/>
      <c r="C208" s="349"/>
      <c r="D208" s="349"/>
      <c r="E208" s="349"/>
      <c r="F208" s="349"/>
      <c r="G208" s="349"/>
      <c r="H208" s="349"/>
      <c r="I208" s="400"/>
      <c r="J208" s="41"/>
      <c r="K208" s="84"/>
      <c r="L208" s="84"/>
    </row>
    <row r="209" spans="1:14" hidden="1" x14ac:dyDescent="0.25">
      <c r="A209" s="78"/>
      <c r="B209" s="349"/>
      <c r="C209" s="349"/>
      <c r="D209" s="349"/>
      <c r="E209" s="349"/>
      <c r="F209" s="1119"/>
      <c r="G209" s="1120"/>
      <c r="H209" s="349"/>
      <c r="I209" s="400"/>
      <c r="J209" s="41"/>
      <c r="K209" s="84"/>
      <c r="L209" s="84"/>
    </row>
    <row r="210" spans="1:14" hidden="1" x14ac:dyDescent="0.25">
      <c r="A210" s="432"/>
      <c r="B210" s="433"/>
      <c r="C210" s="433"/>
      <c r="D210" s="433"/>
      <c r="E210" s="433"/>
      <c r="F210" s="1127"/>
      <c r="G210" s="1128"/>
      <c r="H210" s="433"/>
      <c r="I210" s="434"/>
      <c r="J210" s="435"/>
      <c r="K210" s="436"/>
      <c r="L210" s="436"/>
    </row>
    <row r="211" spans="1:14" hidden="1" x14ac:dyDescent="0.25">
      <c r="A211" s="78"/>
      <c r="B211" s="349"/>
      <c r="C211" s="349"/>
      <c r="D211" s="349"/>
      <c r="E211" s="349"/>
      <c r="F211" s="349"/>
      <c r="G211" s="349"/>
      <c r="H211" s="349"/>
      <c r="I211" s="400"/>
      <c r="J211" s="41"/>
      <c r="K211" s="84"/>
      <c r="L211" s="84"/>
    </row>
    <row r="212" spans="1:14" x14ac:dyDescent="0.25">
      <c r="A212" s="82"/>
      <c r="B212" s="1097" t="s">
        <v>964</v>
      </c>
      <c r="C212" s="1098"/>
      <c r="D212" s="1098"/>
      <c r="E212" s="1098"/>
      <c r="F212" s="1098"/>
      <c r="G212" s="1098"/>
      <c r="H212" s="1098"/>
      <c r="I212" s="1099"/>
      <c r="J212" s="46">
        <f>J201+J178+J171+J160+J123+J108+J88+J78+J120+J192+J197+J91+J211</f>
        <v>0</v>
      </c>
      <c r="K212" s="46">
        <f>K201+K178+K171+K160+K123+K108+K88+K78+K120+K192+K197+K91+K211</f>
        <v>0</v>
      </c>
      <c r="L212" s="46">
        <f>L201+L178+L171+L160+L123+L108+L88+L78+L120+L192+L197+L91+L211</f>
        <v>0</v>
      </c>
    </row>
    <row r="213" spans="1:14" x14ac:dyDescent="0.25">
      <c r="I213" s="25"/>
      <c r="J213" s="64"/>
    </row>
    <row r="214" spans="1:14" x14ac:dyDescent="0.25">
      <c r="I214" s="25"/>
      <c r="J214" s="64"/>
    </row>
    <row r="215" spans="1:14" x14ac:dyDescent="0.25">
      <c r="I215" s="25"/>
      <c r="J215" s="64"/>
    </row>
    <row r="216" spans="1:14" s="1" customFormat="1" x14ac:dyDescent="0.25">
      <c r="A216" s="1129" t="s">
        <v>965</v>
      </c>
      <c r="B216" s="1129"/>
      <c r="C216" s="1129"/>
      <c r="D216" s="1129"/>
      <c r="E216" s="1129"/>
      <c r="F216" s="1129"/>
      <c r="G216" s="1129"/>
      <c r="H216" s="1129"/>
      <c r="I216" s="976" t="s">
        <v>966</v>
      </c>
      <c r="J216" s="976"/>
    </row>
    <row r="218" spans="1:14" ht="15" customHeight="1" x14ac:dyDescent="0.25">
      <c r="J218" s="28" t="s">
        <v>969</v>
      </c>
      <c r="K218" s="364">
        <f>П2ДОХОДЫ!E170</f>
        <v>782475604.05999994</v>
      </c>
    </row>
    <row r="219" spans="1:14" hidden="1" x14ac:dyDescent="0.25">
      <c r="A219" s="1" t="s">
        <v>967</v>
      </c>
    </row>
    <row r="220" spans="1:14" ht="15" hidden="1" customHeight="1" x14ac:dyDescent="0.25">
      <c r="A220" s="1130" t="s">
        <v>968</v>
      </c>
      <c r="B220" s="1130"/>
    </row>
    <row r="221" spans="1:14" ht="1.5" hidden="1" customHeight="1" x14ac:dyDescent="0.25">
      <c r="B221" s="3"/>
      <c r="C221" s="76"/>
      <c r="D221" s="76"/>
      <c r="E221" s="76"/>
      <c r="F221" s="76"/>
      <c r="G221" s="76"/>
      <c r="H221" s="76"/>
      <c r="I221" s="76"/>
      <c r="J221" s="76" t="s">
        <v>969</v>
      </c>
      <c r="K221" s="364">
        <f>П2ДОХОДЫ!E170</f>
        <v>782475604.05999994</v>
      </c>
      <c r="N221" s="364"/>
    </row>
    <row r="222" spans="1:14" ht="0.75" hidden="1" customHeight="1" x14ac:dyDescent="0.25">
      <c r="B222" s="1126" t="s">
        <v>944</v>
      </c>
      <c r="C222" s="1126"/>
      <c r="D222" s="1126"/>
      <c r="E222" s="1126"/>
      <c r="F222" s="1126"/>
      <c r="G222" s="1126"/>
      <c r="H222" s="1126"/>
      <c r="I222" s="1126"/>
      <c r="J222" s="437"/>
    </row>
    <row r="223" spans="1:14" ht="1.5" hidden="1" customHeight="1" x14ac:dyDescent="0.25">
      <c r="B223" s="976" t="s">
        <v>970</v>
      </c>
      <c r="C223" s="976"/>
      <c r="D223" s="976"/>
      <c r="E223" s="976"/>
      <c r="F223" s="976"/>
      <c r="G223" s="976"/>
      <c r="H223" s="976"/>
      <c r="I223" s="976"/>
      <c r="J223" s="5">
        <f>J224+J225+J226+J227</f>
        <v>0</v>
      </c>
      <c r="K223" s="5" t="e">
        <f>#REF!</f>
        <v>#REF!</v>
      </c>
      <c r="L223" s="5" t="e">
        <f>#REF!</f>
        <v>#REF!</v>
      </c>
    </row>
    <row r="224" spans="1:14" hidden="1" x14ac:dyDescent="0.25">
      <c r="B224" s="480"/>
      <c r="C224" s="480"/>
      <c r="D224" s="480"/>
      <c r="E224" s="480"/>
      <c r="F224" s="480"/>
      <c r="G224" s="480"/>
      <c r="H224" s="480"/>
      <c r="I224" s="438" t="s">
        <v>15</v>
      </c>
      <c r="J224" s="5"/>
      <c r="K224" s="5"/>
      <c r="L224" s="5"/>
    </row>
    <row r="225" spans="2:12" hidden="1" x14ac:dyDescent="0.25">
      <c r="B225" s="480"/>
      <c r="C225" s="480"/>
      <c r="D225" s="480"/>
      <c r="E225" s="480"/>
      <c r="F225" s="480"/>
      <c r="G225" s="480"/>
      <c r="H225" s="480"/>
      <c r="I225" s="438" t="s">
        <v>16</v>
      </c>
      <c r="J225" s="5"/>
      <c r="K225" s="5"/>
      <c r="L225" s="5"/>
    </row>
    <row r="226" spans="2:12" hidden="1" x14ac:dyDescent="0.25">
      <c r="B226" s="480"/>
      <c r="C226" s="480"/>
      <c r="D226" s="480"/>
      <c r="E226" s="480"/>
      <c r="F226" s="480"/>
      <c r="G226" s="480"/>
      <c r="H226" s="480"/>
      <c r="I226" s="438" t="s">
        <v>18</v>
      </c>
      <c r="J226" s="5"/>
      <c r="K226" s="5"/>
      <c r="L226" s="5"/>
    </row>
    <row r="227" spans="2:12" hidden="1" x14ac:dyDescent="0.25">
      <c r="B227" s="480"/>
      <c r="C227" s="480"/>
      <c r="D227" s="480"/>
      <c r="E227" s="480"/>
      <c r="F227" s="480"/>
      <c r="G227" s="480"/>
      <c r="H227" s="480"/>
      <c r="I227" s="438" t="s">
        <v>19</v>
      </c>
      <c r="J227" s="5"/>
      <c r="K227" s="5"/>
      <c r="L227" s="5"/>
    </row>
    <row r="228" spans="2:12" hidden="1" x14ac:dyDescent="0.25">
      <c r="B228" s="976" t="s">
        <v>971</v>
      </c>
      <c r="C228" s="976"/>
      <c r="D228" s="976"/>
      <c r="E228" s="976"/>
      <c r="F228" s="976"/>
      <c r="G228" s="976"/>
      <c r="H228" s="976"/>
      <c r="I228" s="976"/>
      <c r="J228" s="5">
        <f>J229+J230+J231+J232</f>
        <v>0</v>
      </c>
      <c r="K228" s="5" t="e">
        <f>K7+K8+#REF!+#REF!+#REF!+#REF!+#REF!+#REF!+#REF!+#REF!+#REF!+#REF!+#REF!+#REF!</f>
        <v>#REF!</v>
      </c>
      <c r="L228" s="5" t="e">
        <f>L7+L8+#REF!+#REF!+#REF!+#REF!+#REF!+#REF!+#REF!+#REF!+#REF!+#REF!+#REF!+#REF!</f>
        <v>#REF!</v>
      </c>
    </row>
    <row r="229" spans="2:12" hidden="1" x14ac:dyDescent="0.25">
      <c r="B229" s="480"/>
      <c r="C229" s="480"/>
      <c r="D229" s="480"/>
      <c r="E229" s="480"/>
      <c r="F229" s="480"/>
      <c r="G229" s="480"/>
      <c r="H229" s="480"/>
      <c r="I229" s="438" t="s">
        <v>15</v>
      </c>
      <c r="J229" s="5">
        <f>J7+J8</f>
        <v>0</v>
      </c>
      <c r="K229" s="5"/>
      <c r="L229" s="5"/>
    </row>
    <row r="230" spans="2:12" hidden="1" x14ac:dyDescent="0.25">
      <c r="B230" s="480"/>
      <c r="C230" s="480"/>
      <c r="D230" s="480"/>
      <c r="E230" s="480"/>
      <c r="F230" s="480"/>
      <c r="G230" s="480"/>
      <c r="H230" s="480"/>
      <c r="I230" s="438" t="s">
        <v>16</v>
      </c>
      <c r="J230" s="5">
        <f>J10</f>
        <v>0</v>
      </c>
      <c r="K230" s="5"/>
      <c r="L230" s="5"/>
    </row>
    <row r="231" spans="2:12" hidden="1" x14ac:dyDescent="0.25">
      <c r="B231" s="480"/>
      <c r="C231" s="480"/>
      <c r="D231" s="480"/>
      <c r="E231" s="480"/>
      <c r="F231" s="480"/>
      <c r="G231" s="480"/>
      <c r="H231" s="480"/>
      <c r="I231" s="438" t="s">
        <v>18</v>
      </c>
      <c r="J231" s="5">
        <v>0</v>
      </c>
      <c r="K231" s="5"/>
      <c r="L231" s="5"/>
    </row>
    <row r="232" spans="2:12" hidden="1" x14ac:dyDescent="0.25">
      <c r="B232" s="480"/>
      <c r="C232" s="480"/>
      <c r="D232" s="480"/>
      <c r="E232" s="480"/>
      <c r="F232" s="480"/>
      <c r="G232" s="480"/>
      <c r="H232" s="480"/>
      <c r="I232" s="438" t="s">
        <v>19</v>
      </c>
      <c r="J232" s="5">
        <v>0</v>
      </c>
      <c r="K232" s="5"/>
      <c r="L232" s="5"/>
    </row>
    <row r="233" spans="2:12" hidden="1" x14ac:dyDescent="0.25">
      <c r="B233" s="976" t="s">
        <v>260</v>
      </c>
      <c r="C233" s="976"/>
      <c r="D233" s="976"/>
      <c r="E233" s="976"/>
      <c r="F233" s="976"/>
      <c r="G233" s="976"/>
      <c r="H233" s="976"/>
      <c r="I233" s="976"/>
      <c r="J233" s="5">
        <f>SUM(J223:J228)</f>
        <v>0</v>
      </c>
      <c r="K233" s="5" t="e">
        <f>SUM(K223:K228)</f>
        <v>#REF!</v>
      </c>
      <c r="L233" s="5" t="e">
        <f>SUM(L223:L228)</f>
        <v>#REF!</v>
      </c>
    </row>
    <row r="234" spans="2:12" hidden="1" x14ac:dyDescent="0.25">
      <c r="B234" s="1126" t="s">
        <v>948</v>
      </c>
      <c r="C234" s="1126"/>
      <c r="D234" s="1126"/>
      <c r="E234" s="1126"/>
      <c r="F234" s="1126"/>
      <c r="G234" s="1126"/>
      <c r="H234" s="1126"/>
      <c r="I234" s="1126"/>
      <c r="J234" s="437"/>
    </row>
    <row r="235" spans="2:12" hidden="1" x14ac:dyDescent="0.25">
      <c r="B235" s="976" t="s">
        <v>972</v>
      </c>
      <c r="C235" s="976"/>
      <c r="D235" s="976"/>
      <c r="E235" s="976"/>
      <c r="F235" s="976"/>
      <c r="G235" s="976"/>
      <c r="H235" s="976"/>
      <c r="I235" s="976"/>
      <c r="J235" s="5">
        <v>0</v>
      </c>
      <c r="K235" s="5">
        <f>K67+K69</f>
        <v>0</v>
      </c>
      <c r="L235" s="5">
        <f>L67+L69</f>
        <v>0</v>
      </c>
    </row>
    <row r="236" spans="2:12" hidden="1" x14ac:dyDescent="0.25">
      <c r="B236" s="976" t="s">
        <v>973</v>
      </c>
      <c r="C236" s="976"/>
      <c r="D236" s="976"/>
      <c r="E236" s="976"/>
      <c r="F236" s="976"/>
      <c r="G236" s="976"/>
      <c r="H236" s="976"/>
      <c r="I236" s="976"/>
      <c r="J236" s="5">
        <f>J67</f>
        <v>0</v>
      </c>
      <c r="K236" s="5"/>
      <c r="L236" s="5"/>
    </row>
    <row r="237" spans="2:12" hidden="1" x14ac:dyDescent="0.25">
      <c r="B237" s="976" t="s">
        <v>974</v>
      </c>
      <c r="C237" s="976"/>
      <c r="D237" s="976"/>
      <c r="E237" s="976"/>
      <c r="F237" s="976"/>
      <c r="G237" s="976"/>
      <c r="H237" s="976"/>
      <c r="I237" s="976"/>
      <c r="J237" s="5">
        <f>J68</f>
        <v>0</v>
      </c>
      <c r="K237" s="5">
        <f>K68</f>
        <v>0</v>
      </c>
      <c r="L237" s="5">
        <f>L68</f>
        <v>0</v>
      </c>
    </row>
    <row r="238" spans="2:12" hidden="1" x14ac:dyDescent="0.25">
      <c r="B238" s="976" t="s">
        <v>260</v>
      </c>
      <c r="C238" s="976"/>
      <c r="D238" s="976"/>
      <c r="E238" s="976"/>
      <c r="F238" s="976"/>
      <c r="G238" s="976"/>
      <c r="H238" s="976"/>
      <c r="I238" s="976"/>
      <c r="J238" s="5">
        <f>SUM(J235:J237)</f>
        <v>0</v>
      </c>
      <c r="K238" s="5">
        <f>SUM(K235:K237)</f>
        <v>0</v>
      </c>
      <c r="L238" s="5">
        <f>SUM(L235:L237)</f>
        <v>0</v>
      </c>
    </row>
    <row r="239" spans="2:12" hidden="1" x14ac:dyDescent="0.25">
      <c r="B239" s="1126" t="s">
        <v>950</v>
      </c>
      <c r="C239" s="1126"/>
      <c r="D239" s="1126"/>
      <c r="E239" s="1126"/>
      <c r="F239" s="1126"/>
      <c r="G239" s="1126"/>
      <c r="H239" s="1126"/>
      <c r="I239" s="1126"/>
      <c r="J239" s="437"/>
    </row>
    <row r="240" spans="2:12" hidden="1" x14ac:dyDescent="0.25">
      <c r="B240" s="976" t="s">
        <v>975</v>
      </c>
      <c r="C240" s="976"/>
      <c r="D240" s="976"/>
      <c r="E240" s="976"/>
      <c r="F240" s="976"/>
      <c r="G240" s="976"/>
      <c r="H240" s="976"/>
      <c r="I240" s="976"/>
      <c r="J240" s="64" t="e">
        <f>#REF!+#REF!+#REF!+#REF!+#REF!+J79+#REF!+#REF!+J193+J194+J195+#REF!+J80+J81+J109+J110+J87+J184+J111+#REF!</f>
        <v>#REF!</v>
      </c>
      <c r="K240" s="64" t="e">
        <f>#REF!+#REF!+#REF!+K79+K89+#REF!+#REF!+#REF!+K109+K110</f>
        <v>#REF!</v>
      </c>
      <c r="L240" s="64" t="e">
        <f>#REF!+#REF!+#REF!+L79+L89+#REF!+#REF!+#REF!+L109+L110</f>
        <v>#REF!</v>
      </c>
    </row>
    <row r="241" spans="2:12" hidden="1" x14ac:dyDescent="0.25">
      <c r="B241" s="976" t="s">
        <v>976</v>
      </c>
      <c r="C241" s="976"/>
      <c r="D241" s="976"/>
      <c r="E241" s="976"/>
      <c r="F241" s="976"/>
      <c r="G241" s="976"/>
      <c r="H241" s="976"/>
      <c r="I241" s="976"/>
      <c r="J241" s="64">
        <f>J197</f>
        <v>0</v>
      </c>
      <c r="K241" s="64">
        <f>K211+K202</f>
        <v>0</v>
      </c>
      <c r="L241" s="64">
        <f>L211+L202</f>
        <v>0</v>
      </c>
    </row>
    <row r="242" spans="2:12" hidden="1" x14ac:dyDescent="0.25">
      <c r="B242" s="976" t="s">
        <v>977</v>
      </c>
      <c r="C242" s="976"/>
      <c r="D242" s="976"/>
      <c r="E242" s="976"/>
      <c r="F242" s="976"/>
      <c r="G242" s="976"/>
      <c r="H242" s="976"/>
      <c r="I242" s="976"/>
      <c r="J242" s="64">
        <f>J124+J125+J126</f>
        <v>0</v>
      </c>
      <c r="K242" s="64">
        <f>K127+K126+K125+K130+K131+K132+K133+K134+K135+K136+K137+K138+K140+K141+K142+K143+K144+K145+K146+K147</f>
        <v>0</v>
      </c>
      <c r="L242" s="64">
        <f>L127+L126+L125+L130+L131+L132+L133+L134+L135+L136+L137+L138+L140+L141+L142+L143+L144+L145+L146+L147</f>
        <v>0</v>
      </c>
    </row>
    <row r="243" spans="2:12" hidden="1" x14ac:dyDescent="0.25">
      <c r="B243" s="976" t="s">
        <v>978</v>
      </c>
      <c r="C243" s="976"/>
      <c r="D243" s="976"/>
      <c r="E243" s="976"/>
      <c r="F243" s="976"/>
      <c r="G243" s="976"/>
      <c r="H243" s="976"/>
      <c r="I243" s="976"/>
      <c r="J243" s="64" t="e">
        <f>#REF!+#REF!</f>
        <v>#REF!</v>
      </c>
      <c r="K243" s="64" t="e">
        <f>K128+#REF!</f>
        <v>#REF!</v>
      </c>
      <c r="L243" s="64" t="e">
        <f>L128+#REF!</f>
        <v>#REF!</v>
      </c>
    </row>
    <row r="244" spans="2:12" hidden="1" x14ac:dyDescent="0.25">
      <c r="B244" s="976" t="s">
        <v>260</v>
      </c>
      <c r="C244" s="976"/>
      <c r="D244" s="976"/>
      <c r="E244" s="976"/>
      <c r="F244" s="976"/>
      <c r="G244" s="976"/>
      <c r="H244" s="976"/>
      <c r="I244" s="976"/>
      <c r="J244" s="64" t="e">
        <f>SUM(J240:J243)</f>
        <v>#REF!</v>
      </c>
      <c r="K244" s="64" t="e">
        <f>SUM(K240:K243)</f>
        <v>#REF!</v>
      </c>
      <c r="L244" s="64" t="e">
        <f>SUM(L240:L243)</f>
        <v>#REF!</v>
      </c>
    </row>
    <row r="245" spans="2:12" hidden="1" x14ac:dyDescent="0.25">
      <c r="B245" s="1126" t="s">
        <v>979</v>
      </c>
      <c r="C245" s="1126"/>
      <c r="D245" s="1126"/>
      <c r="E245" s="1126"/>
      <c r="F245" s="1126"/>
      <c r="G245" s="1126"/>
      <c r="H245" s="1126"/>
      <c r="I245" s="1126"/>
      <c r="J245" s="439" t="e">
        <f>J233-(J244-J238)</f>
        <v>#REF!</v>
      </c>
      <c r="K245" s="439" t="e">
        <f>K233-(K244-K238)</f>
        <v>#REF!</v>
      </c>
      <c r="L245" s="439" t="e">
        <f>L233-(L244-L238)</f>
        <v>#REF!</v>
      </c>
    </row>
    <row r="246" spans="2:12" x14ac:dyDescent="0.25">
      <c r="J246" s="28" t="s">
        <v>980</v>
      </c>
      <c r="K246" s="364">
        <f>П4ВСР!Z698</f>
        <v>911824309</v>
      </c>
    </row>
    <row r="247" spans="2:12" x14ac:dyDescent="0.25">
      <c r="I247" s="480"/>
      <c r="J247" s="28" t="s">
        <v>981</v>
      </c>
      <c r="K247" s="364">
        <f>П2ДОХОДЫ!E13</f>
        <v>219266470.66000003</v>
      </c>
    </row>
    <row r="248" spans="2:12" x14ac:dyDescent="0.25">
      <c r="J248" s="28" t="s">
        <v>982</v>
      </c>
      <c r="K248" s="364">
        <f>K221-K246</f>
        <v>-129348704.94000006</v>
      </c>
    </row>
    <row r="249" spans="2:12" x14ac:dyDescent="0.25">
      <c r="K249" s="364">
        <f>П1ИВФ!C18</f>
        <v>2360000</v>
      </c>
    </row>
    <row r="250" spans="2:12" x14ac:dyDescent="0.25">
      <c r="K250" s="3">
        <f>K249/K247*100</f>
        <v>1.0763159514978804</v>
      </c>
    </row>
    <row r="252" spans="2:12" x14ac:dyDescent="0.25">
      <c r="K252" s="364"/>
    </row>
    <row r="253" spans="2:12" x14ac:dyDescent="0.25">
      <c r="K253" s="364"/>
    </row>
    <row r="254" spans="2:12" x14ac:dyDescent="0.25">
      <c r="K254" s="364"/>
    </row>
    <row r="256" spans="2:12" x14ac:dyDescent="0.25">
      <c r="K256" s="364"/>
    </row>
    <row r="259" spans="10:12" x14ac:dyDescent="0.25">
      <c r="L259" s="364"/>
    </row>
    <row r="260" spans="10:12" x14ac:dyDescent="0.25">
      <c r="L260" s="364"/>
    </row>
    <row r="261" spans="10:12" x14ac:dyDescent="0.25">
      <c r="K261" s="28"/>
      <c r="L261" s="364"/>
    </row>
    <row r="262" spans="10:12" x14ac:dyDescent="0.25">
      <c r="K262" s="28"/>
      <c r="L262" s="364"/>
    </row>
    <row r="263" spans="10:12" x14ac:dyDescent="0.25">
      <c r="J263" s="76"/>
      <c r="K263" s="28"/>
      <c r="L263" s="364"/>
    </row>
    <row r="264" spans="10:12" x14ac:dyDescent="0.25">
      <c r="J264" s="437"/>
    </row>
  </sheetData>
  <mergeCells count="162">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F184:G184"/>
    <mergeCell ref="F185:G185"/>
    <mergeCell ref="F186:G186"/>
    <mergeCell ref="F187:G187"/>
    <mergeCell ref="F188:G188"/>
    <mergeCell ref="F189:G189"/>
    <mergeCell ref="B178:I178"/>
    <mergeCell ref="F179:G179"/>
    <mergeCell ref="F180:G180"/>
    <mergeCell ref="F181:G181"/>
    <mergeCell ref="F182:G182"/>
    <mergeCell ref="F183:G183"/>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33:G133"/>
    <mergeCell ref="F145:G145"/>
    <mergeCell ref="F146:G146"/>
    <mergeCell ref="F147:G147"/>
    <mergeCell ref="F148:G148"/>
    <mergeCell ref="F149:G149"/>
    <mergeCell ref="F127:G127"/>
    <mergeCell ref="F128:G128"/>
    <mergeCell ref="F129:G129"/>
    <mergeCell ref="F130:G130"/>
    <mergeCell ref="F131:G131"/>
    <mergeCell ref="F132:G132"/>
    <mergeCell ref="B120:I120"/>
    <mergeCell ref="F121:G121"/>
    <mergeCell ref="B123:I123"/>
    <mergeCell ref="F124:G124"/>
    <mergeCell ref="F125:G125"/>
    <mergeCell ref="F126:G126"/>
    <mergeCell ref="F114:G114"/>
    <mergeCell ref="F115:G115"/>
    <mergeCell ref="F116:G116"/>
    <mergeCell ref="F117:G117"/>
    <mergeCell ref="F118:G118"/>
    <mergeCell ref="F119:G119"/>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I79:I80"/>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5"/>
      <c r="B1" s="186"/>
      <c r="C1" s="186"/>
      <c r="D1" s="183"/>
      <c r="E1" s="183"/>
      <c r="F1" s="76"/>
      <c r="G1" s="183" t="s">
        <v>795</v>
      </c>
      <c r="H1" s="76"/>
      <c r="I1" s="76"/>
      <c r="J1" s="76"/>
    </row>
    <row r="2" spans="1:11" ht="12.75" customHeight="1" x14ac:dyDescent="0.25">
      <c r="A2" s="187"/>
      <c r="B2" s="188"/>
      <c r="C2" s="188"/>
      <c r="D2" s="183"/>
      <c r="E2" s="183"/>
      <c r="F2" s="76"/>
      <c r="G2" s="183" t="s">
        <v>30</v>
      </c>
      <c r="H2" s="76"/>
      <c r="I2" s="76"/>
      <c r="J2" s="76"/>
    </row>
    <row r="3" spans="1:11" ht="15.75" x14ac:dyDescent="0.25">
      <c r="A3" s="187"/>
      <c r="B3" s="188"/>
      <c r="C3" s="188"/>
      <c r="D3" s="183"/>
      <c r="E3" s="183"/>
      <c r="F3" s="76"/>
      <c r="G3" s="183" t="s">
        <v>32</v>
      </c>
      <c r="H3" s="76"/>
      <c r="I3" s="76"/>
      <c r="J3" s="76"/>
    </row>
    <row r="4" spans="1:11" ht="16.5" customHeight="1" x14ac:dyDescent="0.25">
      <c r="A4" s="187"/>
      <c r="B4" s="188"/>
      <c r="C4" s="188"/>
      <c r="D4" s="183"/>
      <c r="E4" s="183"/>
      <c r="F4" s="76"/>
      <c r="G4" s="2" t="s">
        <v>802</v>
      </c>
      <c r="H4" s="76"/>
      <c r="I4" s="76"/>
      <c r="J4" s="76"/>
    </row>
    <row r="5" spans="1:11" x14ac:dyDescent="0.25">
      <c r="A5" s="189"/>
      <c r="B5" s="189"/>
      <c r="C5" s="189"/>
      <c r="D5" s="189"/>
      <c r="E5" s="190"/>
      <c r="F5" s="190"/>
      <c r="G5" s="189"/>
      <c r="H5" s="189"/>
    </row>
    <row r="6" spans="1:11" ht="0.75" customHeight="1" x14ac:dyDescent="0.25">
      <c r="A6" s="189"/>
      <c r="B6" s="189"/>
      <c r="C6" s="189"/>
      <c r="D6" s="189"/>
      <c r="E6" s="189"/>
      <c r="F6" s="189"/>
      <c r="G6" s="189"/>
      <c r="H6" s="189"/>
    </row>
    <row r="7" spans="1:11" ht="15.75" x14ac:dyDescent="0.25">
      <c r="A7" s="934" t="s">
        <v>651</v>
      </c>
      <c r="B7" s="934"/>
      <c r="C7" s="934"/>
      <c r="D7" s="934"/>
      <c r="E7" s="934"/>
      <c r="F7" s="189"/>
      <c r="G7" s="189"/>
      <c r="H7" s="189"/>
    </row>
    <row r="8" spans="1:11" ht="13.15" customHeight="1" x14ac:dyDescent="0.25">
      <c r="A8" s="189"/>
      <c r="B8" s="189"/>
      <c r="C8" s="189"/>
      <c r="D8" s="189"/>
      <c r="E8" s="189"/>
      <c r="F8" s="189"/>
      <c r="G8" s="189"/>
      <c r="H8" s="189"/>
    </row>
    <row r="9" spans="1:11" ht="0.75" customHeight="1" x14ac:dyDescent="0.25">
      <c r="A9" s="191"/>
      <c r="B9" s="192"/>
      <c r="C9" s="192"/>
      <c r="D9" s="192"/>
      <c r="E9" s="192"/>
      <c r="F9" s="189"/>
      <c r="G9" s="189"/>
      <c r="H9" s="189"/>
    </row>
    <row r="10" spans="1:11" ht="15" hidden="1" customHeight="1" x14ac:dyDescent="0.25">
      <c r="A10" s="189"/>
      <c r="B10" s="189"/>
      <c r="C10" s="189"/>
      <c r="D10" s="189"/>
      <c r="E10" s="189"/>
      <c r="F10" s="189"/>
      <c r="G10" s="189"/>
      <c r="H10" s="189"/>
    </row>
    <row r="11" spans="1:11" ht="16.5" customHeight="1" x14ac:dyDescent="0.25">
      <c r="A11" s="189" t="s">
        <v>652</v>
      </c>
      <c r="B11" s="189"/>
      <c r="C11" s="189"/>
      <c r="D11" s="189"/>
      <c r="E11" s="189"/>
      <c r="F11" s="189"/>
      <c r="G11" s="189"/>
      <c r="H11" s="189"/>
    </row>
    <row r="12" spans="1:11" ht="61.9" customHeight="1" x14ac:dyDescent="0.25">
      <c r="A12" s="193" t="s">
        <v>53</v>
      </c>
      <c r="B12" s="935" t="s">
        <v>653</v>
      </c>
      <c r="C12" s="936"/>
      <c r="D12" s="193" t="s">
        <v>654</v>
      </c>
      <c r="E12" s="194" t="s">
        <v>521</v>
      </c>
      <c r="F12" s="194" t="s">
        <v>522</v>
      </c>
      <c r="G12" s="193" t="s">
        <v>523</v>
      </c>
    </row>
    <row r="13" spans="1:11" ht="58.5" customHeight="1" x14ac:dyDescent="0.25">
      <c r="A13" s="195" t="s">
        <v>15</v>
      </c>
      <c r="B13" s="928" t="s">
        <v>799</v>
      </c>
      <c r="C13" s="929"/>
      <c r="D13" s="196" t="s">
        <v>800</v>
      </c>
      <c r="E13" s="197">
        <v>807344</v>
      </c>
      <c r="F13" s="198">
        <v>0</v>
      </c>
      <c r="G13" s="198">
        <v>0</v>
      </c>
    </row>
    <row r="14" spans="1:11" ht="76.5" customHeight="1" x14ac:dyDescent="0.25">
      <c r="A14" s="195" t="s">
        <v>15</v>
      </c>
      <c r="B14" s="928" t="s">
        <v>767</v>
      </c>
      <c r="C14" s="929"/>
      <c r="D14" s="199" t="s">
        <v>702</v>
      </c>
      <c r="E14" s="197">
        <f>1721300-20+1721280</f>
        <v>3442560</v>
      </c>
      <c r="F14" s="198">
        <v>1721300</v>
      </c>
      <c r="G14" s="198">
        <v>1721300</v>
      </c>
    </row>
    <row r="15" spans="1:11" ht="42.75" customHeight="1" x14ac:dyDescent="0.25">
      <c r="A15" s="253" t="s">
        <v>15</v>
      </c>
      <c r="B15" s="928" t="s">
        <v>747</v>
      </c>
      <c r="C15" s="929"/>
      <c r="D15" s="199" t="s">
        <v>185</v>
      </c>
      <c r="E15" s="197">
        <f>584400+21900+87107200+573400+573400+29.82-2.95-24.78-18.95-2.9</f>
        <v>88860280.23999998</v>
      </c>
      <c r="F15" s="198">
        <f>584400+21900+87107200+573400+573400</f>
        <v>88860300</v>
      </c>
      <c r="G15" s="198">
        <f>584400+21900+87107200+573400+573400</f>
        <v>88860300</v>
      </c>
      <c r="I15" s="127"/>
      <c r="J15" s="127"/>
      <c r="K15" s="127"/>
    </row>
    <row r="16" spans="1:11" ht="72" customHeight="1" x14ac:dyDescent="0.25">
      <c r="A16" s="253" t="s">
        <v>15</v>
      </c>
      <c r="B16" s="928" t="s">
        <v>752</v>
      </c>
      <c r="C16" s="929"/>
      <c r="D16" s="199" t="s">
        <v>753</v>
      </c>
      <c r="E16" s="197">
        <f>-348534822.95+344062759</f>
        <v>-4472063.9499999881</v>
      </c>
      <c r="F16" s="198">
        <v>0</v>
      </c>
      <c r="G16" s="198">
        <v>0</v>
      </c>
      <c r="I16" s="127"/>
      <c r="J16" s="127"/>
      <c r="K16" s="127"/>
    </row>
    <row r="17" spans="1:11" ht="53.25" customHeight="1" x14ac:dyDescent="0.25">
      <c r="A17" s="195" t="s">
        <v>16</v>
      </c>
      <c r="B17" s="928" t="s">
        <v>655</v>
      </c>
      <c r="C17" s="929"/>
      <c r="D17" s="199" t="s">
        <v>80</v>
      </c>
      <c r="E17" s="197">
        <v>136300</v>
      </c>
      <c r="F17" s="198">
        <v>50000</v>
      </c>
      <c r="G17" s="198">
        <v>0</v>
      </c>
      <c r="I17" s="127"/>
      <c r="J17" s="127"/>
      <c r="K17" s="127"/>
    </row>
    <row r="18" spans="1:11" ht="83.25" customHeight="1" x14ac:dyDescent="0.25">
      <c r="A18" s="195" t="s">
        <v>16</v>
      </c>
      <c r="B18" s="928" t="s">
        <v>740</v>
      </c>
      <c r="C18" s="929"/>
      <c r="D18" s="254" t="s">
        <v>714</v>
      </c>
      <c r="E18" s="197">
        <f>550000+2340000+50000</f>
        <v>2940000</v>
      </c>
      <c r="F18" s="198">
        <v>550000</v>
      </c>
      <c r="G18" s="198">
        <v>550000</v>
      </c>
      <c r="I18" s="127"/>
      <c r="J18" s="127"/>
      <c r="K18" s="127"/>
    </row>
    <row r="19" spans="1:11" ht="40.5" customHeight="1" x14ac:dyDescent="0.25">
      <c r="A19" s="230" t="s">
        <v>16</v>
      </c>
      <c r="B19" s="932" t="s">
        <v>768</v>
      </c>
      <c r="C19" s="933"/>
      <c r="D19" s="232" t="s">
        <v>261</v>
      </c>
      <c r="E19" s="231">
        <f>153674400-809172-4034178</f>
        <v>148831050</v>
      </c>
      <c r="F19" s="198">
        <v>150973700</v>
      </c>
      <c r="G19" s="198">
        <v>142883600</v>
      </c>
    </row>
    <row r="20" spans="1:11" ht="45.75" customHeight="1" x14ac:dyDescent="0.25">
      <c r="A20" s="230" t="s">
        <v>16</v>
      </c>
      <c r="B20" s="932" t="s">
        <v>769</v>
      </c>
      <c r="C20" s="933"/>
      <c r="D20" s="232" t="s">
        <v>656</v>
      </c>
      <c r="E20" s="231">
        <f>1920500+16433+1096016</f>
        <v>3032949</v>
      </c>
      <c r="F20" s="198">
        <v>2365900</v>
      </c>
      <c r="G20" s="198">
        <v>2846200</v>
      </c>
    </row>
    <row r="21" spans="1:11" ht="114.75" customHeight="1" x14ac:dyDescent="0.25">
      <c r="A21" s="195" t="s">
        <v>18</v>
      </c>
      <c r="B21" s="924" t="s">
        <v>750</v>
      </c>
      <c r="C21" s="925"/>
      <c r="D21" s="199" t="s">
        <v>703</v>
      </c>
      <c r="E21" s="197">
        <f>10826900+38.46</f>
        <v>10826938.460000001</v>
      </c>
      <c r="F21" s="198">
        <v>10826900</v>
      </c>
      <c r="G21" s="198">
        <v>10826900</v>
      </c>
    </row>
    <row r="22" spans="1:11" ht="79.5" customHeight="1" x14ac:dyDescent="0.25">
      <c r="A22" s="195" t="s">
        <v>18</v>
      </c>
      <c r="B22" s="924" t="s">
        <v>747</v>
      </c>
      <c r="C22" s="925"/>
      <c r="D22" s="199" t="s">
        <v>704</v>
      </c>
      <c r="E22" s="197">
        <f>1241900-44</f>
        <v>1241856</v>
      </c>
      <c r="F22" s="198">
        <v>1241900</v>
      </c>
      <c r="G22" s="198">
        <v>1241900</v>
      </c>
    </row>
    <row r="23" spans="1:11" ht="38.25" customHeight="1" x14ac:dyDescent="0.25">
      <c r="A23" s="195" t="s">
        <v>18</v>
      </c>
      <c r="B23" s="924" t="s">
        <v>747</v>
      </c>
      <c r="C23" s="925"/>
      <c r="D23" s="199" t="s">
        <v>185</v>
      </c>
      <c r="E23" s="197">
        <f>1750200+55100-8.85-2.48</f>
        <v>1805288.67</v>
      </c>
      <c r="F23" s="198">
        <f>1750200+55100</f>
        <v>1805300</v>
      </c>
      <c r="G23" s="198">
        <f>1750200+55100</f>
        <v>1805300</v>
      </c>
    </row>
    <row r="24" spans="1:11" ht="69.75" customHeight="1" x14ac:dyDescent="0.3">
      <c r="A24" s="195" t="s">
        <v>18</v>
      </c>
      <c r="B24" s="926" t="s">
        <v>751</v>
      </c>
      <c r="C24" s="927"/>
      <c r="D24" s="254" t="s">
        <v>186</v>
      </c>
      <c r="E24" s="197">
        <f>14076600+2461156.82</f>
        <v>16537756.82</v>
      </c>
      <c r="F24" s="198">
        <v>14076600</v>
      </c>
      <c r="G24" s="198">
        <v>14076600</v>
      </c>
    </row>
    <row r="25" spans="1:11" ht="69.75" customHeight="1" x14ac:dyDescent="0.3">
      <c r="A25" s="195" t="s">
        <v>18</v>
      </c>
      <c r="B25" s="926" t="s">
        <v>747</v>
      </c>
      <c r="C25" s="927"/>
      <c r="D25" s="254" t="s">
        <v>705</v>
      </c>
      <c r="E25" s="197">
        <f>195822100-13459.9</f>
        <v>195808640.09999999</v>
      </c>
      <c r="F25" s="198">
        <v>195822100</v>
      </c>
      <c r="G25" s="198">
        <v>195822100</v>
      </c>
    </row>
    <row r="26" spans="1:11" ht="38.25" customHeight="1" x14ac:dyDescent="0.25">
      <c r="A26" s="195" t="s">
        <v>18</v>
      </c>
      <c r="B26" s="924" t="s">
        <v>749</v>
      </c>
      <c r="C26" s="925"/>
      <c r="D26" s="199" t="s">
        <v>706</v>
      </c>
      <c r="E26" s="197">
        <f>889800+547200</f>
        <v>1437000</v>
      </c>
      <c r="F26" s="198">
        <v>1035200</v>
      </c>
      <c r="G26" s="198">
        <v>1278800</v>
      </c>
    </row>
    <row r="27" spans="1:11" ht="140.25" customHeight="1" x14ac:dyDescent="0.25">
      <c r="A27" s="195" t="s">
        <v>19</v>
      </c>
      <c r="B27" s="928" t="s">
        <v>20</v>
      </c>
      <c r="C27" s="929"/>
      <c r="D27" s="196" t="s">
        <v>657</v>
      </c>
      <c r="E27" s="197">
        <v>729000</v>
      </c>
      <c r="F27" s="198">
        <v>729000</v>
      </c>
      <c r="G27" s="198">
        <v>729000</v>
      </c>
    </row>
    <row r="28" spans="1:11" ht="123.95" customHeight="1" x14ac:dyDescent="0.25">
      <c r="A28" s="195" t="s">
        <v>19</v>
      </c>
      <c r="B28" s="928" t="s">
        <v>21</v>
      </c>
      <c r="C28" s="929"/>
      <c r="D28" s="196" t="s">
        <v>658</v>
      </c>
      <c r="E28" s="197">
        <v>1166400</v>
      </c>
      <c r="F28" s="198">
        <v>1166400</v>
      </c>
      <c r="G28" s="198">
        <v>1166400</v>
      </c>
    </row>
    <row r="29" spans="1:11" ht="116.25" customHeight="1" x14ac:dyDescent="0.25">
      <c r="A29" s="195" t="s">
        <v>19</v>
      </c>
      <c r="B29" s="928" t="s">
        <v>659</v>
      </c>
      <c r="C29" s="929"/>
      <c r="D29" s="196" t="s">
        <v>660</v>
      </c>
      <c r="E29" s="197">
        <v>12684600</v>
      </c>
      <c r="F29" s="198">
        <v>12684600</v>
      </c>
      <c r="G29" s="198">
        <v>12684600</v>
      </c>
    </row>
    <row r="30" spans="1:11" ht="74.45" customHeight="1" x14ac:dyDescent="0.25">
      <c r="A30" s="195" t="s">
        <v>19</v>
      </c>
      <c r="B30" s="928" t="s">
        <v>661</v>
      </c>
      <c r="C30" s="929"/>
      <c r="D30" s="196" t="s">
        <v>22</v>
      </c>
      <c r="E30" s="197">
        <v>204000</v>
      </c>
      <c r="F30" s="198">
        <v>210000</v>
      </c>
      <c r="G30" s="198">
        <v>210000</v>
      </c>
    </row>
    <row r="31" spans="1:11" ht="111.6" customHeight="1" x14ac:dyDescent="0.25">
      <c r="A31" s="195" t="s">
        <v>19</v>
      </c>
      <c r="B31" s="928" t="s">
        <v>23</v>
      </c>
      <c r="C31" s="929"/>
      <c r="D31" s="199" t="s">
        <v>24</v>
      </c>
      <c r="E31" s="197">
        <v>5800000</v>
      </c>
      <c r="F31" s="198">
        <v>5800000</v>
      </c>
      <c r="G31" s="198">
        <v>5800000</v>
      </c>
    </row>
    <row r="32" spans="1:11" ht="49.5" customHeight="1" x14ac:dyDescent="0.25">
      <c r="A32" s="195" t="s">
        <v>19</v>
      </c>
      <c r="B32" s="928" t="s">
        <v>25</v>
      </c>
      <c r="C32" s="929"/>
      <c r="D32" s="199" t="s">
        <v>662</v>
      </c>
      <c r="E32" s="197">
        <v>100000</v>
      </c>
      <c r="F32" s="198">
        <v>100000</v>
      </c>
      <c r="G32" s="198">
        <v>100000</v>
      </c>
    </row>
    <row r="33" spans="1:7" ht="83.25" customHeight="1" x14ac:dyDescent="0.25">
      <c r="A33" s="195" t="s">
        <v>19</v>
      </c>
      <c r="B33" s="928" t="s">
        <v>26</v>
      </c>
      <c r="C33" s="929"/>
      <c r="D33" s="199" t="s">
        <v>663</v>
      </c>
      <c r="E33" s="197">
        <v>30000</v>
      </c>
      <c r="F33" s="198">
        <v>30000</v>
      </c>
      <c r="G33" s="198">
        <v>30000</v>
      </c>
    </row>
    <row r="34" spans="1:7" ht="74.45" customHeight="1" x14ac:dyDescent="0.25">
      <c r="A34" s="195" t="s">
        <v>19</v>
      </c>
      <c r="B34" s="928" t="s">
        <v>27</v>
      </c>
      <c r="C34" s="929"/>
      <c r="D34" s="199" t="s">
        <v>664</v>
      </c>
      <c r="E34" s="197">
        <v>70000</v>
      </c>
      <c r="F34" s="198">
        <v>70000</v>
      </c>
      <c r="G34" s="198">
        <v>70000</v>
      </c>
    </row>
    <row r="35" spans="1:7" ht="63.75" customHeight="1" x14ac:dyDescent="0.25">
      <c r="A35" s="195" t="s">
        <v>19</v>
      </c>
      <c r="B35" s="928" t="s">
        <v>665</v>
      </c>
      <c r="C35" s="929"/>
      <c r="D35" s="199" t="s">
        <v>666</v>
      </c>
      <c r="E35" s="197">
        <v>200000</v>
      </c>
      <c r="F35" s="198">
        <v>200000</v>
      </c>
      <c r="G35" s="198">
        <v>200000</v>
      </c>
    </row>
    <row r="36" spans="1:7" ht="65.25" customHeight="1" x14ac:dyDescent="0.25">
      <c r="A36" s="195" t="s">
        <v>14</v>
      </c>
      <c r="B36" s="928" t="s">
        <v>7</v>
      </c>
      <c r="C36" s="929"/>
      <c r="D36" s="196" t="s">
        <v>667</v>
      </c>
      <c r="E36" s="197">
        <v>16880</v>
      </c>
      <c r="F36" s="198">
        <v>17690</v>
      </c>
      <c r="G36" s="198">
        <v>18451</v>
      </c>
    </row>
    <row r="37" spans="1:7" ht="50.25" customHeight="1" x14ac:dyDescent="0.25">
      <c r="A37" s="195" t="s">
        <v>5</v>
      </c>
      <c r="B37" s="928" t="s">
        <v>668</v>
      </c>
      <c r="C37" s="929"/>
      <c r="D37" s="199" t="s">
        <v>669</v>
      </c>
      <c r="E37" s="197">
        <v>777600</v>
      </c>
      <c r="F37" s="198">
        <v>839808</v>
      </c>
      <c r="G37" s="198">
        <v>906993</v>
      </c>
    </row>
    <row r="38" spans="1:7" ht="46.5" hidden="1" customHeight="1" x14ac:dyDescent="0.25">
      <c r="A38" s="195" t="s">
        <v>5</v>
      </c>
      <c r="B38" s="928" t="s">
        <v>670</v>
      </c>
      <c r="C38" s="929"/>
      <c r="D38" s="199" t="s">
        <v>671</v>
      </c>
      <c r="E38" s="197">
        <v>0</v>
      </c>
      <c r="F38" s="198">
        <v>0</v>
      </c>
      <c r="G38" s="198">
        <v>0</v>
      </c>
    </row>
    <row r="39" spans="1:7" ht="36" customHeight="1" x14ac:dyDescent="0.25">
      <c r="A39" s="195" t="s">
        <v>5</v>
      </c>
      <c r="B39" s="928" t="s">
        <v>672</v>
      </c>
      <c r="C39" s="929"/>
      <c r="D39" s="199" t="s">
        <v>673</v>
      </c>
      <c r="E39" s="197">
        <v>270000</v>
      </c>
      <c r="F39" s="198">
        <v>291600</v>
      </c>
      <c r="G39" s="198">
        <v>314928</v>
      </c>
    </row>
    <row r="40" spans="1:7" ht="39.75" customHeight="1" x14ac:dyDescent="0.25">
      <c r="A40" s="195" t="s">
        <v>5</v>
      </c>
      <c r="B40" s="928" t="s">
        <v>674</v>
      </c>
      <c r="C40" s="929"/>
      <c r="D40" s="199" t="s">
        <v>675</v>
      </c>
      <c r="E40" s="197">
        <v>1512000</v>
      </c>
      <c r="F40" s="198">
        <v>1632960</v>
      </c>
      <c r="G40" s="198">
        <v>1763597</v>
      </c>
    </row>
    <row r="41" spans="1:7" ht="61.9" customHeight="1" x14ac:dyDescent="0.25">
      <c r="A41" s="195" t="s">
        <v>676</v>
      </c>
      <c r="B41" s="928" t="s">
        <v>7</v>
      </c>
      <c r="C41" s="929"/>
      <c r="D41" s="196" t="s">
        <v>8</v>
      </c>
      <c r="E41" s="197">
        <v>88620</v>
      </c>
      <c r="F41" s="198">
        <v>92873</v>
      </c>
      <c r="G41" s="198">
        <v>96867</v>
      </c>
    </row>
    <row r="42" spans="1:7" ht="99.2" customHeight="1" x14ac:dyDescent="0.25">
      <c r="A42" s="230" t="s">
        <v>38</v>
      </c>
      <c r="B42" s="932" t="s">
        <v>10</v>
      </c>
      <c r="C42" s="933"/>
      <c r="D42" s="270" t="s">
        <v>60</v>
      </c>
      <c r="E42" s="231">
        <f>11373614.96+0.01</f>
        <v>11373614.970000001</v>
      </c>
      <c r="F42" s="271">
        <f>11373614.96+0.01</f>
        <v>11373614.970000001</v>
      </c>
      <c r="G42" s="271">
        <f>11373614.96</f>
        <v>11373614.960000001</v>
      </c>
    </row>
    <row r="43" spans="1:7" ht="128.25" customHeight="1" x14ac:dyDescent="0.25">
      <c r="A43" s="195" t="s">
        <v>38</v>
      </c>
      <c r="B43" s="928" t="s">
        <v>11</v>
      </c>
      <c r="C43" s="929"/>
      <c r="D43" s="200" t="s">
        <v>677</v>
      </c>
      <c r="E43" s="197">
        <v>259627.6</v>
      </c>
      <c r="F43" s="198">
        <v>259627.6</v>
      </c>
      <c r="G43" s="198">
        <v>259627.61</v>
      </c>
    </row>
    <row r="44" spans="1:7" ht="105.75" customHeight="1" x14ac:dyDescent="0.25">
      <c r="A44" s="230" t="s">
        <v>38</v>
      </c>
      <c r="B44" s="932" t="s">
        <v>12</v>
      </c>
      <c r="C44" s="933"/>
      <c r="D44" s="229" t="s">
        <v>678</v>
      </c>
      <c r="E44" s="231">
        <f>14229518.72</f>
        <v>14229518.720000001</v>
      </c>
      <c r="F44" s="271">
        <f>14229518.72</f>
        <v>14229518.720000001</v>
      </c>
      <c r="G44" s="271">
        <f>14229518.72</f>
        <v>14229518.720000001</v>
      </c>
    </row>
    <row r="45" spans="1:7" ht="98.25" customHeight="1" x14ac:dyDescent="0.25">
      <c r="A45" s="195" t="s">
        <v>38</v>
      </c>
      <c r="B45" s="928" t="s">
        <v>13</v>
      </c>
      <c r="C45" s="929"/>
      <c r="D45" s="200" t="s">
        <v>679</v>
      </c>
      <c r="E45" s="197">
        <v>100000</v>
      </c>
      <c r="F45" s="198">
        <v>100000</v>
      </c>
      <c r="G45" s="198">
        <v>100000</v>
      </c>
    </row>
    <row r="46" spans="1:7" ht="99" customHeight="1" x14ac:dyDescent="0.25">
      <c r="A46" s="195" t="s">
        <v>680</v>
      </c>
      <c r="B46" s="928" t="s">
        <v>681</v>
      </c>
      <c r="C46" s="929"/>
      <c r="D46" s="196" t="s">
        <v>682</v>
      </c>
      <c r="E46" s="197">
        <v>66465</v>
      </c>
      <c r="F46" s="198">
        <v>69655</v>
      </c>
      <c r="G46" s="198">
        <v>72650</v>
      </c>
    </row>
    <row r="47" spans="1:7" ht="117" customHeight="1" x14ac:dyDescent="0.25">
      <c r="A47" s="195" t="s">
        <v>34</v>
      </c>
      <c r="B47" s="928" t="s">
        <v>683</v>
      </c>
      <c r="C47" s="929"/>
      <c r="D47" s="196" t="s">
        <v>36</v>
      </c>
      <c r="E47" s="197">
        <v>102202974.97</v>
      </c>
      <c r="F47" s="198">
        <v>103440732.12</v>
      </c>
      <c r="G47" s="198">
        <v>104573428.73999999</v>
      </c>
    </row>
    <row r="48" spans="1:7" ht="159.75" customHeight="1" x14ac:dyDescent="0.25">
      <c r="A48" s="195" t="s">
        <v>34</v>
      </c>
      <c r="B48" s="928" t="s">
        <v>684</v>
      </c>
      <c r="C48" s="929"/>
      <c r="D48" s="196" t="s">
        <v>685</v>
      </c>
      <c r="E48" s="197">
        <v>350151.22</v>
      </c>
      <c r="F48" s="198">
        <v>313456.76</v>
      </c>
      <c r="G48" s="198">
        <v>316889</v>
      </c>
    </row>
    <row r="49" spans="1:7" ht="71.25" customHeight="1" x14ac:dyDescent="0.25">
      <c r="A49" s="195" t="s">
        <v>34</v>
      </c>
      <c r="B49" s="928" t="s">
        <v>686</v>
      </c>
      <c r="C49" s="929"/>
      <c r="D49" s="199" t="s">
        <v>687</v>
      </c>
      <c r="E49" s="197">
        <v>432539.81</v>
      </c>
      <c r="F49" s="198">
        <v>731399.12</v>
      </c>
      <c r="G49" s="198">
        <v>739408.26</v>
      </c>
    </row>
    <row r="50" spans="1:7" ht="42.75" customHeight="1" x14ac:dyDescent="0.25">
      <c r="A50" s="195" t="s">
        <v>34</v>
      </c>
      <c r="B50" s="928" t="s">
        <v>688</v>
      </c>
      <c r="C50" s="929"/>
      <c r="D50" s="199" t="s">
        <v>2</v>
      </c>
      <c r="E50" s="197">
        <v>20838000</v>
      </c>
      <c r="F50" s="198">
        <v>21358490</v>
      </c>
      <c r="G50" s="198">
        <v>21742418.100000001</v>
      </c>
    </row>
    <row r="51" spans="1:7" ht="33.75" customHeight="1" x14ac:dyDescent="0.25">
      <c r="A51" s="195" t="s">
        <v>34</v>
      </c>
      <c r="B51" s="928" t="s">
        <v>689</v>
      </c>
      <c r="C51" s="929"/>
      <c r="D51" s="199" t="s">
        <v>690</v>
      </c>
      <c r="E51" s="197">
        <v>20000</v>
      </c>
      <c r="F51" s="198">
        <v>20960</v>
      </c>
      <c r="G51" s="198">
        <v>21862</v>
      </c>
    </row>
    <row r="52" spans="1:7" ht="50.25" customHeight="1" x14ac:dyDescent="0.25">
      <c r="A52" s="195" t="s">
        <v>34</v>
      </c>
      <c r="B52" s="928" t="s">
        <v>691</v>
      </c>
      <c r="C52" s="929"/>
      <c r="D52" s="199" t="s">
        <v>692</v>
      </c>
      <c r="E52" s="197">
        <v>662012</v>
      </c>
      <c r="F52" s="201">
        <v>698422</v>
      </c>
      <c r="G52" s="198">
        <v>710994</v>
      </c>
    </row>
    <row r="53" spans="1:7" ht="63" x14ac:dyDescent="0.25">
      <c r="A53" s="195" t="s">
        <v>34</v>
      </c>
      <c r="B53" s="928" t="s">
        <v>693</v>
      </c>
      <c r="C53" s="929"/>
      <c r="D53" s="199" t="s">
        <v>694</v>
      </c>
      <c r="E53" s="197">
        <v>14000</v>
      </c>
      <c r="F53" s="201">
        <v>14000</v>
      </c>
      <c r="G53" s="198">
        <v>14000</v>
      </c>
    </row>
    <row r="54" spans="1:7" ht="120" customHeight="1" x14ac:dyDescent="0.25">
      <c r="A54" s="195" t="s">
        <v>34</v>
      </c>
      <c r="B54" s="928" t="s">
        <v>695</v>
      </c>
      <c r="C54" s="929"/>
      <c r="D54" s="199" t="s">
        <v>696</v>
      </c>
      <c r="E54" s="197">
        <v>3000000</v>
      </c>
      <c r="F54" s="198">
        <v>3075000</v>
      </c>
      <c r="G54" s="198">
        <v>3130000</v>
      </c>
    </row>
    <row r="55" spans="1:7" ht="110.25" x14ac:dyDescent="0.25">
      <c r="A55" s="195" t="s">
        <v>34</v>
      </c>
      <c r="B55" s="928" t="s">
        <v>697</v>
      </c>
      <c r="C55" s="929"/>
      <c r="D55" s="199" t="s">
        <v>4</v>
      </c>
      <c r="E55" s="197">
        <v>22155</v>
      </c>
      <c r="F55" s="198">
        <v>23218</v>
      </c>
      <c r="G55" s="198">
        <v>24217</v>
      </c>
    </row>
    <row r="56" spans="1:7" ht="78.75" x14ac:dyDescent="0.25">
      <c r="A56" s="195" t="s">
        <v>47</v>
      </c>
      <c r="B56" s="928" t="s">
        <v>698</v>
      </c>
      <c r="C56" s="929"/>
      <c r="D56" s="196" t="s">
        <v>699</v>
      </c>
      <c r="E56" s="197">
        <v>108665</v>
      </c>
      <c r="F56" s="198">
        <v>113881</v>
      </c>
      <c r="G56" s="198">
        <v>118777</v>
      </c>
    </row>
    <row r="57" spans="1:7" ht="63" x14ac:dyDescent="0.25">
      <c r="A57" s="195" t="s">
        <v>47</v>
      </c>
      <c r="B57" s="928" t="s">
        <v>700</v>
      </c>
      <c r="C57" s="929"/>
      <c r="D57" s="196" t="s">
        <v>8</v>
      </c>
      <c r="E57" s="197">
        <v>564636</v>
      </c>
      <c r="F57" s="198">
        <v>578751</v>
      </c>
      <c r="G57" s="198">
        <v>581235.81000000006</v>
      </c>
    </row>
    <row r="58" spans="1:7" ht="94.5" x14ac:dyDescent="0.25">
      <c r="A58" s="195" t="s">
        <v>47</v>
      </c>
      <c r="B58" s="928" t="s">
        <v>701</v>
      </c>
      <c r="C58" s="929"/>
      <c r="D58" s="196" t="s">
        <v>682</v>
      </c>
      <c r="E58" s="197">
        <v>302674</v>
      </c>
      <c r="F58" s="198">
        <v>310240</v>
      </c>
      <c r="G58" s="198">
        <v>315824</v>
      </c>
    </row>
    <row r="59" spans="1:7" ht="0.75" customHeight="1" x14ac:dyDescent="0.25">
      <c r="A59" s="195" t="s">
        <v>48</v>
      </c>
      <c r="B59" s="928" t="s">
        <v>701</v>
      </c>
      <c r="C59" s="929"/>
      <c r="D59" s="196" t="s">
        <v>682</v>
      </c>
      <c r="E59" s="197">
        <v>0</v>
      </c>
      <c r="F59" s="198"/>
      <c r="G59" s="198"/>
    </row>
    <row r="60" spans="1:7" ht="52.5" customHeight="1" x14ac:dyDescent="0.25">
      <c r="A60" s="195" t="s">
        <v>46</v>
      </c>
      <c r="B60" s="928" t="s">
        <v>9</v>
      </c>
      <c r="C60" s="929"/>
      <c r="D60" s="199" t="s">
        <v>45</v>
      </c>
      <c r="E60" s="197">
        <v>177479</v>
      </c>
      <c r="F60" s="198">
        <v>174955</v>
      </c>
      <c r="G60" s="198">
        <v>178104.19</v>
      </c>
    </row>
    <row r="61" spans="1:7" ht="20.25" customHeight="1" x14ac:dyDescent="0.25">
      <c r="A61" s="202" t="s">
        <v>103</v>
      </c>
      <c r="B61" s="930"/>
      <c r="C61" s="931"/>
      <c r="D61" s="203"/>
      <c r="E61" s="204">
        <f>E13+E14+E17+E27+E28+E29+E31+E32+E33+E34+E35+E36+E37+E38+E39+E40+E41+E42+E43+E44+E45+E46+E47+E48+E49+E50+E52+E54+E55+E56+E57+E58+E59+E60+E30+E51+E53+E20+E15+E19+E21+E22+E23+E24+E25+E26+E18+E16</f>
        <v>649609512.62999988</v>
      </c>
      <c r="F61" s="204">
        <f>F13+F14+F17+F27+F28+F29+F31+F32+F33+F34+F35+F36+F37+F38+F39+F40+F41+F42+F43+F44+F45+F46+F47+F48+F49+F50+F52+F54+F55+F56+F57+F58+F59+F60+F30+F51+F53+F20+F15+F19+F21+F22+F23+F24+F25+F26+F18</f>
        <v>650080052.28999996</v>
      </c>
      <c r="G61" s="208">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5"/>
      <c r="B64" s="127"/>
      <c r="C64" s="207" t="s">
        <v>15</v>
      </c>
      <c r="D64" s="127"/>
      <c r="E64" s="127">
        <f>E14+E15+E16+E13</f>
        <v>88638120.289999992</v>
      </c>
      <c r="F64" s="127">
        <f>F14+F15</f>
        <v>90581600</v>
      </c>
      <c r="G64" s="127">
        <f>G14+G15</f>
        <v>90581600</v>
      </c>
    </row>
    <row r="65" spans="1:7" x14ac:dyDescent="0.25">
      <c r="A65" s="205"/>
      <c r="C65" s="207" t="s">
        <v>16</v>
      </c>
      <c r="D65" s="127"/>
      <c r="E65" s="127">
        <f>E17+E18+E19+E20</f>
        <v>154940299</v>
      </c>
      <c r="F65" s="127">
        <f>F17+F18+F19+F20</f>
        <v>153939600</v>
      </c>
      <c r="G65" s="127">
        <f>G17+G18+G19+G20</f>
        <v>146279800</v>
      </c>
    </row>
    <row r="66" spans="1:7" x14ac:dyDescent="0.25">
      <c r="A66" s="205"/>
      <c r="C66" s="207" t="s">
        <v>18</v>
      </c>
      <c r="D66" s="127"/>
      <c r="E66" s="127">
        <f>E21+E22+E23+E24+E25+E26</f>
        <v>227657480.05000001</v>
      </c>
      <c r="F66" s="127">
        <f>F21+F22+F23+F24+F25+F26</f>
        <v>224808000</v>
      </c>
      <c r="G66" s="127">
        <f>G21+G22+G23+G24+G25+G26</f>
        <v>225051600</v>
      </c>
    </row>
    <row r="67" spans="1:7" x14ac:dyDescent="0.25">
      <c r="A67" s="205"/>
      <c r="C67" s="207" t="s">
        <v>19</v>
      </c>
      <c r="D67" s="127"/>
      <c r="E67" s="127">
        <f>E27+E28+E29+E30+E31+E32+E33+E34+E35</f>
        <v>20984000</v>
      </c>
      <c r="F67" s="127">
        <f>F27+F28+F29+F30+F31+F32+F33+F34+F35</f>
        <v>20990000</v>
      </c>
      <c r="G67" s="127">
        <f>G27+G28+G29+G30+G31+G32+G33+G34+G35</f>
        <v>20990000</v>
      </c>
    </row>
    <row r="68" spans="1:7" x14ac:dyDescent="0.25">
      <c r="A68" s="205"/>
      <c r="C68" s="207" t="s">
        <v>715</v>
      </c>
      <c r="D68" s="127"/>
      <c r="E68" s="127">
        <f>E36+E37+E39+E40+E41+E42+E43+E44+E45+E46+E47+E48+E49+E50+E51+E52+E53+E54+E55+E56+E57+E58+E60</f>
        <v>157389613.28999999</v>
      </c>
      <c r="F68" s="127">
        <f>F36+F37+F39+F40+F41+F42+F43+F44+F45+F46+F47+F48+F49+F50+F51+F52+F53+F54+F55+F56+F57+F58+F60</f>
        <v>159760852.29000002</v>
      </c>
      <c r="G68" s="127">
        <f>G36+G37+G39+G40+G41+G42+G43+G44+G45+G46+G47+G48+G49+G50+G51+G52+G53+G54+G55+G56+G57+G58+G60</f>
        <v>161603405.38999999</v>
      </c>
    </row>
    <row r="69" spans="1:7" x14ac:dyDescent="0.25">
      <c r="A69" s="205"/>
      <c r="D69" s="127"/>
      <c r="E69" s="127">
        <f>E64+E65+E66+E67+E68</f>
        <v>649609512.63</v>
      </c>
      <c r="F69" s="127">
        <f>F64+F65+F66+F67+F68</f>
        <v>650080052.28999996</v>
      </c>
      <c r="G69" s="127">
        <f>G64+G65+G66+G67+G68</f>
        <v>644506405.38999999</v>
      </c>
    </row>
    <row r="70" spans="1:7" x14ac:dyDescent="0.25">
      <c r="C70" s="207" t="s">
        <v>717</v>
      </c>
      <c r="D70" s="127"/>
      <c r="E70" s="127">
        <f>E14+E15+E18+E19+E20+E21+E22+E23+E24+E25+E26+E13</f>
        <v>475571663.28999996</v>
      </c>
      <c r="F70" s="127">
        <f>F14+F15+F18+F19+F20+F21+F22+F23+F24+F25+F26</f>
        <v>469279200</v>
      </c>
      <c r="G70" s="127">
        <f>G14+G15+G18+G19+G20+G21+G22+G23+G24+G25+G26</f>
        <v>461913000</v>
      </c>
    </row>
    <row r="71" spans="1:7" x14ac:dyDescent="0.25">
      <c r="C71" s="207" t="s">
        <v>716</v>
      </c>
      <c r="D71" s="127"/>
      <c r="E71" s="127">
        <f>E17+E27+E28+E29+E30+E31+E32+E33+E34+E35+E36+E37+E39+E40+E41+E42+E43+E44+E45+E46+E47+E48+E49+E50+E51+E52+E53+E54+E55+E56+E57+E58+E60</f>
        <v>178509913.28999999</v>
      </c>
      <c r="F71" s="127">
        <f>F17+F27+F28+F29+F30+F31+F32+F33+F34+F35+F36+F37+F39+F40+F41+F42+F43+F44+F45+F46+F47+F48+F49+F50+F51+F52+F53+F54+F55+F56+F57+F58+F60</f>
        <v>180800852.28999999</v>
      </c>
      <c r="G71" s="127">
        <f>G17+G27+G28+G29+G30+G31+G32+G33+G34+G35+G36+G37+G39+G40+G41+G42+G43+G44+G45+G46+G47+G48+G49+G50+G51+G52+G53+G54+G55+G56+G57+G58+G60</f>
        <v>182593405.38999999</v>
      </c>
    </row>
    <row r="72" spans="1:7" x14ac:dyDescent="0.25">
      <c r="C72" s="207" t="s">
        <v>754</v>
      </c>
      <c r="E72" s="127">
        <f>E14+E15+E16+E18+E19+E20+E21+E22+E23+E24+E25+E26+E13</f>
        <v>471099599.34000003</v>
      </c>
    </row>
    <row r="73" spans="1:7" x14ac:dyDescent="0.25">
      <c r="D73" s="127"/>
    </row>
    <row r="74" spans="1:7" x14ac:dyDescent="0.25">
      <c r="E74" s="127"/>
    </row>
    <row r="75" spans="1:7" x14ac:dyDescent="0.25">
      <c r="E75" s="127">
        <f>E65+E68</f>
        <v>312329912.28999996</v>
      </c>
    </row>
  </sheetData>
  <mergeCells count="51">
    <mergeCell ref="A7:E7"/>
    <mergeCell ref="B12:C12"/>
    <mergeCell ref="B13:C13"/>
    <mergeCell ref="B17:C17"/>
    <mergeCell ref="B20:C20"/>
    <mergeCell ref="B19:C19"/>
    <mergeCell ref="B15:C15"/>
    <mergeCell ref="B14:C14"/>
    <mergeCell ref="B18:C18"/>
    <mergeCell ref="B16:C1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26:C26"/>
    <mergeCell ref="B21:C21"/>
    <mergeCell ref="B22:C22"/>
    <mergeCell ref="B23:C23"/>
    <mergeCell ref="B24:C24"/>
    <mergeCell ref="B25:C25"/>
  </mergeCells>
  <pageMargins left="0.51181102362204722" right="0.11811023622047245" top="0.35433070866141736"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workbookViewId="0">
      <selection activeCell="G5" sqref="G5"/>
    </sheetView>
  </sheetViews>
  <sheetFormatPr defaultColWidth="9.140625" defaultRowHeight="15" x14ac:dyDescent="0.25"/>
  <cols>
    <col min="1" max="1" width="12.140625" style="823" customWidth="1"/>
    <col min="2" max="2" width="18.28515625" style="823" customWidth="1"/>
    <col min="3" max="3" width="10" style="823" customWidth="1"/>
    <col min="4" max="4" width="59.28515625" style="823" customWidth="1"/>
    <col min="5" max="5" width="20.5703125" style="823" customWidth="1"/>
    <col min="6" max="6" width="19.5703125" style="823" customWidth="1"/>
    <col min="7" max="7" width="19.85546875" style="823" customWidth="1"/>
    <col min="8" max="8" width="3.28515625" style="283" hidden="1" customWidth="1"/>
    <col min="9" max="11" width="13.5703125" style="283" hidden="1" customWidth="1"/>
    <col min="12" max="12" width="13.85546875" style="283" hidden="1" customWidth="1"/>
    <col min="13" max="13" width="13.5703125" style="283" customWidth="1"/>
    <col min="14" max="14" width="13.5703125" style="283" bestFit="1" customWidth="1"/>
    <col min="15" max="16384" width="9.140625" style="283"/>
  </cols>
  <sheetData>
    <row r="1" spans="1:10" ht="12.75" customHeight="1" x14ac:dyDescent="0.25">
      <c r="A1" s="296"/>
      <c r="B1" s="297"/>
      <c r="C1" s="297"/>
      <c r="D1" s="819"/>
      <c r="E1" s="819"/>
      <c r="F1" s="298"/>
      <c r="G1" s="819" t="s">
        <v>795</v>
      </c>
      <c r="H1" s="298"/>
      <c r="I1" s="298"/>
      <c r="J1" s="298"/>
    </row>
    <row r="2" spans="1:10" ht="12.75" customHeight="1" x14ac:dyDescent="0.25">
      <c r="A2" s="299"/>
      <c r="B2" s="300"/>
      <c r="C2" s="300"/>
      <c r="D2" s="819"/>
      <c r="E2" s="819"/>
      <c r="F2" s="298"/>
      <c r="G2" s="819" t="s">
        <v>30</v>
      </c>
      <c r="H2" s="298"/>
      <c r="I2" s="298"/>
      <c r="J2" s="298"/>
    </row>
    <row r="3" spans="1:10" ht="15.75" x14ac:dyDescent="0.25">
      <c r="A3" s="299"/>
      <c r="B3" s="300"/>
      <c r="C3" s="300"/>
      <c r="D3" s="819"/>
      <c r="E3" s="819"/>
      <c r="F3" s="298"/>
      <c r="G3" s="819" t="s">
        <v>32</v>
      </c>
      <c r="H3" s="298"/>
      <c r="I3" s="298"/>
      <c r="J3" s="298"/>
    </row>
    <row r="4" spans="1:10" ht="16.5" customHeight="1" x14ac:dyDescent="0.25">
      <c r="A4" s="299"/>
      <c r="B4" s="300"/>
      <c r="C4" s="300"/>
      <c r="D4" s="819"/>
      <c r="E4" s="819"/>
      <c r="F4" s="298"/>
      <c r="G4" s="301" t="s">
        <v>1541</v>
      </c>
      <c r="H4" s="298"/>
      <c r="I4" s="298"/>
      <c r="J4" s="298"/>
    </row>
    <row r="5" spans="1:10" x14ac:dyDescent="0.25">
      <c r="A5" s="302"/>
      <c r="B5" s="302"/>
      <c r="C5" s="302"/>
      <c r="D5" s="302"/>
      <c r="E5" s="303"/>
      <c r="F5" s="303"/>
      <c r="G5" s="302"/>
      <c r="H5" s="302"/>
    </row>
    <row r="6" spans="1:10" ht="0.75" customHeight="1" x14ac:dyDescent="0.25">
      <c r="A6" s="302"/>
      <c r="B6" s="302"/>
      <c r="C6" s="302"/>
      <c r="D6" s="302"/>
      <c r="E6" s="302"/>
      <c r="F6" s="302"/>
      <c r="G6" s="302"/>
      <c r="H6" s="302"/>
    </row>
    <row r="7" spans="1:10" ht="15.75" x14ac:dyDescent="0.25">
      <c r="A7" s="953" t="s">
        <v>1101</v>
      </c>
      <c r="B7" s="953"/>
      <c r="C7" s="953"/>
      <c r="D7" s="953"/>
      <c r="E7" s="953"/>
      <c r="F7" s="302"/>
      <c r="G7" s="302"/>
      <c r="H7" s="302"/>
    </row>
    <row r="8" spans="1:10" ht="13.15" customHeight="1" x14ac:dyDescent="0.25">
      <c r="A8" s="302"/>
      <c r="B8" s="302"/>
      <c r="C8" s="302"/>
      <c r="D8" s="302"/>
      <c r="E8" s="302"/>
      <c r="F8" s="302"/>
      <c r="G8" s="302"/>
      <c r="H8" s="302"/>
    </row>
    <row r="9" spans="1:10" ht="0.75" customHeight="1" x14ac:dyDescent="0.25">
      <c r="A9" s="304"/>
      <c r="B9" s="305"/>
      <c r="C9" s="305"/>
      <c r="D9" s="305"/>
      <c r="E9" s="305"/>
      <c r="F9" s="302"/>
      <c r="G9" s="302"/>
      <c r="H9" s="302"/>
    </row>
    <row r="10" spans="1:10" ht="15" hidden="1" customHeight="1" x14ac:dyDescent="0.25">
      <c r="A10" s="302"/>
      <c r="B10" s="302"/>
      <c r="C10" s="302"/>
      <c r="D10" s="302"/>
      <c r="E10" s="302"/>
      <c r="F10" s="302"/>
      <c r="G10" s="302"/>
      <c r="H10" s="302"/>
    </row>
    <row r="11" spans="1:10" ht="16.5" customHeight="1" x14ac:dyDescent="0.25">
      <c r="A11" s="302" t="s">
        <v>652</v>
      </c>
      <c r="B11" s="302"/>
      <c r="C11" s="302"/>
      <c r="D11" s="302"/>
      <c r="E11" s="302"/>
      <c r="F11" s="302"/>
      <c r="G11" s="302"/>
      <c r="H11" s="302"/>
    </row>
    <row r="12" spans="1:10" ht="61.9" customHeight="1" x14ac:dyDescent="0.25">
      <c r="A12" s="306" t="s">
        <v>53</v>
      </c>
      <c r="B12" s="954" t="s">
        <v>653</v>
      </c>
      <c r="C12" s="955"/>
      <c r="D12" s="306" t="s">
        <v>654</v>
      </c>
      <c r="E12" s="818" t="s">
        <v>523</v>
      </c>
      <c r="F12" s="818" t="s">
        <v>907</v>
      </c>
      <c r="G12" s="306" t="s">
        <v>1091</v>
      </c>
      <c r="H12" s="306"/>
    </row>
    <row r="13" spans="1:10" ht="33.75" customHeight="1" x14ac:dyDescent="0.25">
      <c r="A13" s="307" t="s">
        <v>502</v>
      </c>
      <c r="B13" s="956" t="s">
        <v>807</v>
      </c>
      <c r="C13" s="957"/>
      <c r="D13" s="307" t="s">
        <v>808</v>
      </c>
      <c r="E13" s="308">
        <f>E14+E20+E30+E40+E47+E50+E73+E83+E101+E80+E132+E97+E100</f>
        <v>219266470.66000003</v>
      </c>
      <c r="F13" s="308">
        <f>F14+F20+F30+F40+F47+F50+F73+F83+F101</f>
        <v>174400499.90000001</v>
      </c>
      <c r="G13" s="701">
        <f>G14+G20+G30+G40+G47+G50+G73+G83+G101</f>
        <v>176889355.21000001</v>
      </c>
      <c r="H13" s="579"/>
      <c r="I13" s="334"/>
    </row>
    <row r="14" spans="1:10" ht="27" customHeight="1" x14ac:dyDescent="0.25">
      <c r="A14" s="307" t="s">
        <v>502</v>
      </c>
      <c r="B14" s="956" t="s">
        <v>809</v>
      </c>
      <c r="C14" s="957"/>
      <c r="D14" s="307" t="s">
        <v>836</v>
      </c>
      <c r="E14" s="308">
        <f>E15</f>
        <v>106160325.8</v>
      </c>
      <c r="F14" s="308">
        <f>F15</f>
        <v>108288803.69000001</v>
      </c>
      <c r="G14" s="701">
        <f>G15</f>
        <v>109597757</v>
      </c>
      <c r="H14" s="579"/>
      <c r="I14" s="334"/>
    </row>
    <row r="15" spans="1:10" ht="27" customHeight="1" x14ac:dyDescent="0.25">
      <c r="A15" s="309" t="s">
        <v>34</v>
      </c>
      <c r="B15" s="958" t="s">
        <v>810</v>
      </c>
      <c r="C15" s="959"/>
      <c r="D15" s="309" t="s">
        <v>811</v>
      </c>
      <c r="E15" s="310">
        <f>E16+E17+E18+E19</f>
        <v>106160325.8</v>
      </c>
      <c r="F15" s="310">
        <f t="shared" ref="F15:G15" si="0">F16+F17+F18+F19</f>
        <v>108288803.69000001</v>
      </c>
      <c r="G15" s="578">
        <f t="shared" si="0"/>
        <v>109597757</v>
      </c>
      <c r="H15" s="578"/>
    </row>
    <row r="16" spans="1:10" ht="90" customHeight="1" x14ac:dyDescent="0.25">
      <c r="A16" s="311" t="s">
        <v>34</v>
      </c>
      <c r="B16" s="937" t="s">
        <v>683</v>
      </c>
      <c r="C16" s="938"/>
      <c r="D16" s="312" t="s">
        <v>36</v>
      </c>
      <c r="E16" s="313">
        <f>101626632.71+3477288.98</f>
        <v>105103921.69</v>
      </c>
      <c r="F16" s="321">
        <f>106539349+645693.18</f>
        <v>107185042.18000001</v>
      </c>
      <c r="G16" s="321">
        <f>107985253+460877.35</f>
        <v>108446130.34999999</v>
      </c>
      <c r="H16" s="580"/>
    </row>
    <row r="17" spans="1:8" ht="129" customHeight="1" x14ac:dyDescent="0.25">
      <c r="A17" s="311" t="s">
        <v>34</v>
      </c>
      <c r="B17" s="937" t="s">
        <v>684</v>
      </c>
      <c r="C17" s="938"/>
      <c r="D17" s="312" t="s">
        <v>685</v>
      </c>
      <c r="E17" s="313">
        <f>306104.32+10473.76</f>
        <v>316578.08</v>
      </c>
      <c r="F17" s="321">
        <v>322846.51</v>
      </c>
      <c r="G17" s="321">
        <v>326645</v>
      </c>
      <c r="H17" s="580"/>
    </row>
    <row r="18" spans="1:8" ht="57.75" customHeight="1" x14ac:dyDescent="0.25">
      <c r="A18" s="311" t="s">
        <v>34</v>
      </c>
      <c r="B18" s="937" t="s">
        <v>686</v>
      </c>
      <c r="C18" s="938"/>
      <c r="D18" s="314" t="s">
        <v>687</v>
      </c>
      <c r="E18" s="313">
        <f>102034.77+3491.26</f>
        <v>105526.03</v>
      </c>
      <c r="F18" s="321">
        <v>107615</v>
      </c>
      <c r="G18" s="321">
        <v>108881.65</v>
      </c>
      <c r="H18" s="580"/>
    </row>
    <row r="19" spans="1:8" ht="104.25" customHeight="1" x14ac:dyDescent="0.25">
      <c r="A19" s="311" t="s">
        <v>34</v>
      </c>
      <c r="B19" s="937" t="s">
        <v>1343</v>
      </c>
      <c r="C19" s="938"/>
      <c r="D19" s="314" t="s">
        <v>1342</v>
      </c>
      <c r="E19" s="313">
        <v>634300</v>
      </c>
      <c r="F19" s="339">
        <v>673300</v>
      </c>
      <c r="G19" s="321">
        <v>716100</v>
      </c>
      <c r="H19" s="580"/>
    </row>
    <row r="20" spans="1:8" ht="69.75" customHeight="1" x14ac:dyDescent="0.25">
      <c r="A20" s="315" t="s">
        <v>502</v>
      </c>
      <c r="B20" s="939" t="s">
        <v>830</v>
      </c>
      <c r="C20" s="940"/>
      <c r="D20" s="316" t="s">
        <v>829</v>
      </c>
      <c r="E20" s="317">
        <f>E21</f>
        <v>19227154.680000003</v>
      </c>
      <c r="F20" s="317">
        <f>F21</f>
        <v>20044044.210000001</v>
      </c>
      <c r="G20" s="323">
        <f>G21</f>
        <v>20044044.210000001</v>
      </c>
      <c r="H20" s="580"/>
    </row>
    <row r="21" spans="1:8" ht="69.75" customHeight="1" x14ac:dyDescent="0.25">
      <c r="A21" s="318" t="s">
        <v>502</v>
      </c>
      <c r="B21" s="949" t="s">
        <v>831</v>
      </c>
      <c r="C21" s="950"/>
      <c r="D21" s="319" t="s">
        <v>832</v>
      </c>
      <c r="E21" s="320">
        <f>E22+E24+E26+E28+E23+E25+E27+E29</f>
        <v>19227154.680000003</v>
      </c>
      <c r="F21" s="320">
        <f>F22+F24+F26+F28+F23+F25+F27+F29</f>
        <v>20044044.210000001</v>
      </c>
      <c r="G21" s="703">
        <f>G22+G24+G26+G28+G23+G25+G27+G29</f>
        <v>20044044.210000001</v>
      </c>
      <c r="H21" s="320"/>
    </row>
    <row r="22" spans="1:8" ht="89.25" customHeight="1" x14ac:dyDescent="0.25">
      <c r="A22" s="311" t="s">
        <v>38</v>
      </c>
      <c r="B22" s="937" t="s">
        <v>10</v>
      </c>
      <c r="C22" s="938"/>
      <c r="D22" s="798" t="s">
        <v>60</v>
      </c>
      <c r="E22" s="313">
        <f>8427261.89-8427261.89</f>
        <v>0</v>
      </c>
      <c r="F22" s="321">
        <f>8785304.57-8785304.57</f>
        <v>0</v>
      </c>
      <c r="G22" s="321">
        <f>8785304.57-8785304.57</f>
        <v>0</v>
      </c>
      <c r="H22" s="580"/>
    </row>
    <row r="23" spans="1:8" ht="132.75" customHeight="1" x14ac:dyDescent="0.25">
      <c r="A23" s="311" t="s">
        <v>38</v>
      </c>
      <c r="B23" s="937" t="s">
        <v>1429</v>
      </c>
      <c r="C23" s="938"/>
      <c r="D23" s="798" t="s">
        <v>1435</v>
      </c>
      <c r="E23" s="313">
        <v>8427261.8900000006</v>
      </c>
      <c r="F23" s="321">
        <v>8785304.5700000003</v>
      </c>
      <c r="G23" s="321">
        <v>8785304.5700000003</v>
      </c>
      <c r="H23" s="580"/>
    </row>
    <row r="24" spans="1:8" ht="96" customHeight="1" x14ac:dyDescent="0.25">
      <c r="A24" s="311" t="s">
        <v>38</v>
      </c>
      <c r="B24" s="937" t="s">
        <v>11</v>
      </c>
      <c r="C24" s="938"/>
      <c r="D24" s="322" t="s">
        <v>677</v>
      </c>
      <c r="E24" s="313">
        <f>190348.84-190348.84</f>
        <v>0</v>
      </c>
      <c r="F24" s="321">
        <f>198436.04-198436.04</f>
        <v>0</v>
      </c>
      <c r="G24" s="321">
        <f>198436.04-198436.04</f>
        <v>0</v>
      </c>
      <c r="H24" s="580"/>
    </row>
    <row r="25" spans="1:8" ht="147.75" customHeight="1" x14ac:dyDescent="0.25">
      <c r="A25" s="311" t="s">
        <v>38</v>
      </c>
      <c r="B25" s="937" t="s">
        <v>1430</v>
      </c>
      <c r="C25" s="938"/>
      <c r="D25" s="799" t="s">
        <v>1436</v>
      </c>
      <c r="E25" s="313">
        <v>190348.84</v>
      </c>
      <c r="F25" s="321">
        <v>198436.04</v>
      </c>
      <c r="G25" s="321">
        <v>198436.04</v>
      </c>
      <c r="H25" s="580"/>
    </row>
    <row r="26" spans="1:8" ht="86.25" customHeight="1" x14ac:dyDescent="0.25">
      <c r="A26" s="311" t="s">
        <v>38</v>
      </c>
      <c r="B26" s="937" t="s">
        <v>12</v>
      </c>
      <c r="C26" s="938"/>
      <c r="D26" s="322" t="s">
        <v>678</v>
      </c>
      <c r="E26" s="313">
        <f>10536480.76-10536480.76</f>
        <v>0</v>
      </c>
      <c r="F26" s="321">
        <f>10984136.23-10984136.23</f>
        <v>0</v>
      </c>
      <c r="G26" s="321">
        <f>10984136.23-10984136.23</f>
        <v>0</v>
      </c>
      <c r="H26" s="580"/>
    </row>
    <row r="27" spans="1:8" ht="136.5" customHeight="1" x14ac:dyDescent="0.25">
      <c r="A27" s="311" t="s">
        <v>38</v>
      </c>
      <c r="B27" s="937" t="s">
        <v>1446</v>
      </c>
      <c r="C27" s="938"/>
      <c r="D27" s="284" t="s">
        <v>1443</v>
      </c>
      <c r="E27" s="313">
        <v>10536480.76</v>
      </c>
      <c r="F27" s="321">
        <v>10984136.23</v>
      </c>
      <c r="G27" s="321">
        <v>10984136.23</v>
      </c>
      <c r="H27" s="580"/>
    </row>
    <row r="28" spans="1:8" ht="96" hidden="1" customHeight="1" x14ac:dyDescent="0.25">
      <c r="A28" s="311" t="s">
        <v>38</v>
      </c>
      <c r="B28" s="937" t="s">
        <v>13</v>
      </c>
      <c r="C28" s="938"/>
      <c r="D28" s="322" t="s">
        <v>679</v>
      </c>
      <c r="E28" s="313">
        <f>73063.19-73063.19</f>
        <v>0</v>
      </c>
      <c r="F28" s="321">
        <f>76167.37-76167.37</f>
        <v>0</v>
      </c>
      <c r="G28" s="321">
        <f>76167.37-76167.37</f>
        <v>0</v>
      </c>
      <c r="H28" s="580"/>
    </row>
    <row r="29" spans="1:8" ht="136.5" customHeight="1" x14ac:dyDescent="0.25">
      <c r="A29" s="311" t="s">
        <v>38</v>
      </c>
      <c r="B29" s="937" t="s">
        <v>1445</v>
      </c>
      <c r="C29" s="938"/>
      <c r="D29" s="19" t="s">
        <v>1444</v>
      </c>
      <c r="E29" s="313">
        <v>73063.19</v>
      </c>
      <c r="F29" s="321">
        <v>76167.37</v>
      </c>
      <c r="G29" s="321">
        <v>76167.37</v>
      </c>
      <c r="H29" s="580"/>
    </row>
    <row r="30" spans="1:8" ht="27.75" customHeight="1" x14ac:dyDescent="0.25">
      <c r="A30" s="315" t="s">
        <v>502</v>
      </c>
      <c r="B30" s="939" t="s">
        <v>812</v>
      </c>
      <c r="C30" s="940"/>
      <c r="D30" s="315" t="s">
        <v>813</v>
      </c>
      <c r="E30" s="317">
        <f>E31+E34+E38</f>
        <v>22796160</v>
      </c>
      <c r="F30" s="317">
        <f>F31+F34+F38</f>
        <v>23552006</v>
      </c>
      <c r="G30" s="323">
        <f>G31+G34+G38</f>
        <v>24494085</v>
      </c>
      <c r="H30" s="580"/>
    </row>
    <row r="31" spans="1:8" ht="30.75" customHeight="1" x14ac:dyDescent="0.25">
      <c r="A31" s="315" t="s">
        <v>34</v>
      </c>
      <c r="B31" s="939" t="s">
        <v>1093</v>
      </c>
      <c r="C31" s="940"/>
      <c r="D31" s="318" t="s">
        <v>1092</v>
      </c>
      <c r="E31" s="317">
        <f>E32+E33</f>
        <v>1974600</v>
      </c>
      <c r="F31" s="317">
        <f>F32</f>
        <v>1897584</v>
      </c>
      <c r="G31" s="323">
        <f>G32</f>
        <v>1973487</v>
      </c>
      <c r="H31" s="580"/>
    </row>
    <row r="32" spans="1:8" ht="44.25" customHeight="1" x14ac:dyDescent="0.25">
      <c r="A32" s="311" t="s">
        <v>34</v>
      </c>
      <c r="B32" s="937" t="s">
        <v>1094</v>
      </c>
      <c r="C32" s="938"/>
      <c r="D32" s="577" t="s">
        <v>1095</v>
      </c>
      <c r="E32" s="313">
        <v>1824600</v>
      </c>
      <c r="F32" s="313">
        <v>1897584</v>
      </c>
      <c r="G32" s="702">
        <v>1973487</v>
      </c>
      <c r="H32" s="580"/>
    </row>
    <row r="33" spans="1:8" ht="68.25" customHeight="1" x14ac:dyDescent="0.25">
      <c r="A33" s="311" t="s">
        <v>34</v>
      </c>
      <c r="B33" s="937" t="s">
        <v>1462</v>
      </c>
      <c r="C33" s="938"/>
      <c r="D33" s="492" t="s">
        <v>1466</v>
      </c>
      <c r="E33" s="313">
        <v>150000</v>
      </c>
      <c r="F33" s="313">
        <v>0</v>
      </c>
      <c r="G33" s="702">
        <v>0</v>
      </c>
      <c r="H33" s="580"/>
    </row>
    <row r="34" spans="1:8" ht="38.450000000000003" customHeight="1" x14ac:dyDescent="0.25">
      <c r="A34" s="318" t="s">
        <v>34</v>
      </c>
      <c r="B34" s="949" t="s">
        <v>923</v>
      </c>
      <c r="C34" s="950"/>
      <c r="D34" s="318" t="s">
        <v>2</v>
      </c>
      <c r="E34" s="320">
        <f>E35+E36+E37</f>
        <v>20439000</v>
      </c>
      <c r="F34" s="320">
        <f>F35+F36+F37</f>
        <v>21256560</v>
      </c>
      <c r="G34" s="703">
        <f>G35+G36+G37</f>
        <v>22106822</v>
      </c>
      <c r="H34" s="580"/>
    </row>
    <row r="35" spans="1:8" ht="36" customHeight="1" x14ac:dyDescent="0.25">
      <c r="A35" s="311" t="s">
        <v>34</v>
      </c>
      <c r="B35" s="937" t="s">
        <v>688</v>
      </c>
      <c r="C35" s="938"/>
      <c r="D35" s="314" t="s">
        <v>2</v>
      </c>
      <c r="E35" s="313">
        <v>20429000</v>
      </c>
      <c r="F35" s="321">
        <v>21246160</v>
      </c>
      <c r="G35" s="321">
        <v>22096006</v>
      </c>
      <c r="H35" s="580"/>
    </row>
    <row r="36" spans="1:8" ht="56.25" customHeight="1" x14ac:dyDescent="0.25">
      <c r="A36" s="311" t="s">
        <v>34</v>
      </c>
      <c r="B36" s="937" t="s">
        <v>689</v>
      </c>
      <c r="C36" s="938"/>
      <c r="D36" s="314" t="s">
        <v>690</v>
      </c>
      <c r="E36" s="313">
        <v>10000</v>
      </c>
      <c r="F36" s="321">
        <v>10400</v>
      </c>
      <c r="G36" s="321">
        <v>10816</v>
      </c>
      <c r="H36" s="580"/>
    </row>
    <row r="37" spans="1:8" ht="2.25" hidden="1" customHeight="1" x14ac:dyDescent="0.25">
      <c r="A37" s="311" t="s">
        <v>34</v>
      </c>
      <c r="B37" s="937" t="s">
        <v>845</v>
      </c>
      <c r="C37" s="938"/>
      <c r="D37" s="314" t="s">
        <v>3</v>
      </c>
      <c r="E37" s="313">
        <v>0</v>
      </c>
      <c r="F37" s="321">
        <v>0</v>
      </c>
      <c r="G37" s="321">
        <v>0</v>
      </c>
      <c r="H37" s="580"/>
    </row>
    <row r="38" spans="1:8" ht="44.25" customHeight="1" x14ac:dyDescent="0.25">
      <c r="A38" s="318" t="s">
        <v>34</v>
      </c>
      <c r="B38" s="949" t="s">
        <v>924</v>
      </c>
      <c r="C38" s="950"/>
      <c r="D38" s="319" t="s">
        <v>925</v>
      </c>
      <c r="E38" s="320">
        <f>E39</f>
        <v>382560</v>
      </c>
      <c r="F38" s="320">
        <f t="shared" ref="F38:G38" si="1">F39</f>
        <v>397862</v>
      </c>
      <c r="G38" s="703">
        <f t="shared" si="1"/>
        <v>413776</v>
      </c>
      <c r="H38" s="580"/>
    </row>
    <row r="39" spans="1:8" ht="56.25" customHeight="1" x14ac:dyDescent="0.25">
      <c r="A39" s="311" t="s">
        <v>34</v>
      </c>
      <c r="B39" s="937" t="s">
        <v>691</v>
      </c>
      <c r="C39" s="938"/>
      <c r="D39" s="314" t="s">
        <v>837</v>
      </c>
      <c r="E39" s="313">
        <v>382560</v>
      </c>
      <c r="F39" s="321">
        <v>397862</v>
      </c>
      <c r="G39" s="321">
        <v>413776</v>
      </c>
      <c r="H39" s="580"/>
    </row>
    <row r="40" spans="1:8" ht="29.25" customHeight="1" x14ac:dyDescent="0.25">
      <c r="A40" s="315" t="s">
        <v>502</v>
      </c>
      <c r="B40" s="939" t="s">
        <v>814</v>
      </c>
      <c r="C40" s="940"/>
      <c r="D40" s="324" t="s">
        <v>815</v>
      </c>
      <c r="E40" s="317">
        <f>E43+E41</f>
        <v>37213166.439999998</v>
      </c>
      <c r="F40" s="337">
        <f>F43</f>
        <v>0</v>
      </c>
      <c r="G40" s="337">
        <f>G43</f>
        <v>0</v>
      </c>
      <c r="H40" s="580"/>
    </row>
    <row r="41" spans="1:8" ht="29.25" customHeight="1" x14ac:dyDescent="0.25">
      <c r="A41" s="318" t="s">
        <v>34</v>
      </c>
      <c r="B41" s="949" t="s">
        <v>1463</v>
      </c>
      <c r="C41" s="950"/>
      <c r="D41" s="821" t="s">
        <v>1468</v>
      </c>
      <c r="E41" s="320">
        <f>E42</f>
        <v>26439</v>
      </c>
      <c r="F41" s="320">
        <f t="shared" ref="F41:G41" si="2">F42</f>
        <v>0</v>
      </c>
      <c r="G41" s="703">
        <f t="shared" si="2"/>
        <v>0</v>
      </c>
      <c r="H41" s="580"/>
    </row>
    <row r="42" spans="1:8" ht="52.5" customHeight="1" x14ac:dyDescent="0.25">
      <c r="A42" s="311" t="s">
        <v>34</v>
      </c>
      <c r="B42" s="937" t="s">
        <v>1464</v>
      </c>
      <c r="C42" s="938"/>
      <c r="D42" s="492" t="s">
        <v>1467</v>
      </c>
      <c r="E42" s="313">
        <v>26439</v>
      </c>
      <c r="F42" s="321">
        <v>0</v>
      </c>
      <c r="G42" s="321">
        <v>0</v>
      </c>
      <c r="H42" s="580"/>
    </row>
    <row r="43" spans="1:8" ht="29.25" customHeight="1" x14ac:dyDescent="0.25">
      <c r="A43" s="318" t="s">
        <v>34</v>
      </c>
      <c r="B43" s="949" t="s">
        <v>816</v>
      </c>
      <c r="C43" s="950"/>
      <c r="D43" s="325" t="s">
        <v>817</v>
      </c>
      <c r="E43" s="320">
        <f>E44+E46+E45</f>
        <v>37186727.439999998</v>
      </c>
      <c r="F43" s="338">
        <f t="shared" ref="F43:G43" si="3">F44</f>
        <v>0</v>
      </c>
      <c r="G43" s="338">
        <f t="shared" si="3"/>
        <v>0</v>
      </c>
      <c r="H43" s="580"/>
    </row>
    <row r="44" spans="1:8" ht="49.5" customHeight="1" x14ac:dyDescent="0.25">
      <c r="A44" s="311" t="s">
        <v>34</v>
      </c>
      <c r="B44" s="937" t="s">
        <v>921</v>
      </c>
      <c r="C44" s="938"/>
      <c r="D44" s="314" t="s">
        <v>922</v>
      </c>
      <c r="E44" s="313">
        <f>36006000+1379727.44-200000</f>
        <v>37185727.439999998</v>
      </c>
      <c r="F44" s="321">
        <v>0</v>
      </c>
      <c r="G44" s="321">
        <v>0</v>
      </c>
      <c r="H44" s="580"/>
    </row>
    <row r="45" spans="1:8" s="826" customFormat="1" ht="61.5" hidden="1" customHeight="1" x14ac:dyDescent="0.25">
      <c r="A45" s="311" t="s">
        <v>34</v>
      </c>
      <c r="B45" s="937" t="s">
        <v>1491</v>
      </c>
      <c r="C45" s="938"/>
      <c r="D45" s="883"/>
      <c r="E45" s="313"/>
      <c r="F45" s="321">
        <v>0</v>
      </c>
      <c r="G45" s="321">
        <v>0</v>
      </c>
      <c r="H45" s="351"/>
    </row>
    <row r="46" spans="1:8" ht="51" customHeight="1" x14ac:dyDescent="0.25">
      <c r="A46" s="311" t="s">
        <v>34</v>
      </c>
      <c r="B46" s="937" t="s">
        <v>693</v>
      </c>
      <c r="C46" s="938"/>
      <c r="D46" s="314" t="s">
        <v>694</v>
      </c>
      <c r="E46" s="313">
        <v>1000</v>
      </c>
      <c r="F46" s="321">
        <v>0</v>
      </c>
      <c r="G46" s="321">
        <v>0</v>
      </c>
      <c r="H46" s="580"/>
    </row>
    <row r="47" spans="1:8" ht="29.25" customHeight="1" x14ac:dyDescent="0.25">
      <c r="A47" s="315" t="s">
        <v>502</v>
      </c>
      <c r="B47" s="939" t="s">
        <v>818</v>
      </c>
      <c r="C47" s="940"/>
      <c r="D47" s="324" t="s">
        <v>819</v>
      </c>
      <c r="E47" s="317">
        <f>E48+E49</f>
        <v>2802600</v>
      </c>
      <c r="F47" s="317">
        <f>F48+F49</f>
        <v>2914704</v>
      </c>
      <c r="G47" s="323">
        <f>G48+G49</f>
        <v>3031292</v>
      </c>
      <c r="H47" s="580"/>
    </row>
    <row r="48" spans="1:8" ht="81.75" customHeight="1" x14ac:dyDescent="0.25">
      <c r="A48" s="311" t="s">
        <v>34</v>
      </c>
      <c r="B48" s="937" t="s">
        <v>695</v>
      </c>
      <c r="C48" s="938"/>
      <c r="D48" s="314" t="s">
        <v>696</v>
      </c>
      <c r="E48" s="313">
        <v>2802600</v>
      </c>
      <c r="F48" s="321">
        <v>2914704</v>
      </c>
      <c r="G48" s="321">
        <v>3031292</v>
      </c>
      <c r="H48" s="580"/>
    </row>
    <row r="49" spans="1:13" ht="45" hidden="1" customHeight="1" x14ac:dyDescent="0.25">
      <c r="A49" s="311" t="s">
        <v>19</v>
      </c>
      <c r="B49" s="937" t="s">
        <v>892</v>
      </c>
      <c r="C49" s="938"/>
      <c r="D49" s="314" t="s">
        <v>906</v>
      </c>
      <c r="E49" s="313">
        <v>0</v>
      </c>
      <c r="F49" s="339">
        <v>0</v>
      </c>
      <c r="G49" s="321">
        <v>0</v>
      </c>
      <c r="H49" s="580"/>
    </row>
    <row r="50" spans="1:13" ht="56.25" customHeight="1" x14ac:dyDescent="0.25">
      <c r="A50" s="315" t="s">
        <v>502</v>
      </c>
      <c r="B50" s="939" t="s">
        <v>820</v>
      </c>
      <c r="C50" s="940"/>
      <c r="D50" s="316" t="s">
        <v>821</v>
      </c>
      <c r="E50" s="317">
        <f>E51+E53+E69+E67</f>
        <v>28746460.740000002</v>
      </c>
      <c r="F50" s="317">
        <f>F51+F53+F69+F67</f>
        <v>16720000</v>
      </c>
      <c r="G50" s="323">
        <f>G51+G53+G69+G67</f>
        <v>16740000</v>
      </c>
      <c r="H50" s="580"/>
      <c r="I50" s="334"/>
    </row>
    <row r="51" spans="1:13" ht="54.75" customHeight="1" x14ac:dyDescent="0.25">
      <c r="A51" s="315" t="s">
        <v>502</v>
      </c>
      <c r="B51" s="949" t="s">
        <v>932</v>
      </c>
      <c r="C51" s="950"/>
      <c r="D51" s="325" t="s">
        <v>80</v>
      </c>
      <c r="E51" s="320">
        <f>E52</f>
        <v>100000</v>
      </c>
      <c r="F51" s="320">
        <f t="shared" ref="F51:G51" si="4">F52</f>
        <v>0</v>
      </c>
      <c r="G51" s="703">
        <f t="shared" si="4"/>
        <v>0</v>
      </c>
      <c r="H51" s="580"/>
    </row>
    <row r="52" spans="1:13" ht="59.25" customHeight="1" x14ac:dyDescent="0.25">
      <c r="A52" s="311" t="s">
        <v>16</v>
      </c>
      <c r="B52" s="937" t="s">
        <v>838</v>
      </c>
      <c r="C52" s="938"/>
      <c r="D52" s="314" t="s">
        <v>80</v>
      </c>
      <c r="E52" s="313">
        <v>100000</v>
      </c>
      <c r="F52" s="321">
        <v>0</v>
      </c>
      <c r="G52" s="321">
        <v>0</v>
      </c>
      <c r="H52" s="580"/>
    </row>
    <row r="53" spans="1:13" ht="83.25" customHeight="1" x14ac:dyDescent="0.25">
      <c r="A53" s="318" t="s">
        <v>502</v>
      </c>
      <c r="B53" s="949" t="s">
        <v>933</v>
      </c>
      <c r="C53" s="950"/>
      <c r="D53" s="319" t="s">
        <v>934</v>
      </c>
      <c r="E53" s="320">
        <f>E54+E56+E57+E58+E59+E65+E55+E66+E60+E61</f>
        <v>24868985</v>
      </c>
      <c r="F53" s="320">
        <f>F54+F56+F57+F58+F59+F65+F55</f>
        <v>15500000</v>
      </c>
      <c r="G53" s="703">
        <f>G54+G56+G57+G58+G59+G65+G55</f>
        <v>15500000</v>
      </c>
      <c r="H53" s="580"/>
    </row>
    <row r="54" spans="1:13" ht="102.75" customHeight="1" x14ac:dyDescent="0.25">
      <c r="A54" s="311" t="s">
        <v>19</v>
      </c>
      <c r="B54" s="937" t="s">
        <v>20</v>
      </c>
      <c r="C54" s="938"/>
      <c r="D54" s="312" t="s">
        <v>919</v>
      </c>
      <c r="E54" s="313">
        <v>10500000</v>
      </c>
      <c r="F54" s="321">
        <v>5000000</v>
      </c>
      <c r="G54" s="321">
        <v>5000000</v>
      </c>
      <c r="H54" s="580"/>
    </row>
    <row r="55" spans="1:13" ht="98.25" customHeight="1" x14ac:dyDescent="0.25">
      <c r="A55" s="311" t="s">
        <v>19</v>
      </c>
      <c r="B55" s="937" t="s">
        <v>659</v>
      </c>
      <c r="C55" s="938"/>
      <c r="D55" s="312" t="s">
        <v>1425</v>
      </c>
      <c r="E55" s="313">
        <f>7363985+3000000</f>
        <v>10363985</v>
      </c>
      <c r="F55" s="321">
        <v>10500000</v>
      </c>
      <c r="G55" s="321">
        <v>10500000</v>
      </c>
      <c r="H55" s="580"/>
    </row>
    <row r="56" spans="1:13" ht="97.5" customHeight="1" x14ac:dyDescent="0.25">
      <c r="A56" s="311" t="s">
        <v>893</v>
      </c>
      <c r="B56" s="937" t="s">
        <v>659</v>
      </c>
      <c r="C56" s="938"/>
      <c r="D56" s="312" t="s">
        <v>658</v>
      </c>
      <c r="E56" s="313">
        <f>292000+108000</f>
        <v>400000</v>
      </c>
      <c r="F56" s="321">
        <v>0</v>
      </c>
      <c r="G56" s="321">
        <v>0</v>
      </c>
      <c r="H56" s="847"/>
      <c r="I56" s="848"/>
      <c r="J56" s="848"/>
      <c r="K56" s="848"/>
      <c r="L56" s="848"/>
      <c r="M56" s="848"/>
    </row>
    <row r="57" spans="1:13" ht="78.599999999999994" hidden="1" customHeight="1" x14ac:dyDescent="0.25">
      <c r="A57" s="311"/>
      <c r="B57" s="937"/>
      <c r="C57" s="938"/>
      <c r="D57" s="312"/>
      <c r="E57" s="313"/>
      <c r="F57" s="321"/>
      <c r="G57" s="321"/>
      <c r="H57" s="580"/>
    </row>
    <row r="58" spans="1:13" ht="75.599999999999994" hidden="1" customHeight="1" x14ac:dyDescent="0.25">
      <c r="A58" s="311"/>
      <c r="B58" s="937"/>
      <c r="C58" s="938"/>
      <c r="D58" s="312"/>
      <c r="E58" s="313"/>
      <c r="F58" s="321"/>
      <c r="G58" s="321"/>
      <c r="H58" s="580"/>
    </row>
    <row r="59" spans="1:13" ht="2.25" hidden="1" customHeight="1" x14ac:dyDescent="0.25">
      <c r="A59" s="311"/>
      <c r="B59" s="937"/>
      <c r="C59" s="938"/>
      <c r="D59" s="312"/>
      <c r="E59" s="313"/>
      <c r="F59" s="321"/>
      <c r="G59" s="321"/>
      <c r="H59" s="580"/>
    </row>
    <row r="60" spans="1:13" ht="96" customHeight="1" x14ac:dyDescent="0.25">
      <c r="A60" s="311" t="s">
        <v>846</v>
      </c>
      <c r="B60" s="937" t="s">
        <v>659</v>
      </c>
      <c r="C60" s="938"/>
      <c r="D60" s="312" t="s">
        <v>660</v>
      </c>
      <c r="E60" s="313">
        <f>1350000+1650000</f>
        <v>3000000</v>
      </c>
      <c r="F60" s="321">
        <v>0</v>
      </c>
      <c r="G60" s="321">
        <v>0</v>
      </c>
      <c r="H60" s="847"/>
      <c r="I60" s="848"/>
      <c r="J60" s="848"/>
      <c r="K60" s="848"/>
      <c r="L60" s="848"/>
      <c r="M60" s="848"/>
    </row>
    <row r="61" spans="1:13" ht="96.75" customHeight="1" x14ac:dyDescent="0.25">
      <c r="A61" s="311" t="s">
        <v>847</v>
      </c>
      <c r="B61" s="937" t="s">
        <v>659</v>
      </c>
      <c r="C61" s="938"/>
      <c r="D61" s="312" t="s">
        <v>660</v>
      </c>
      <c r="E61" s="313">
        <f>133200+66800</f>
        <v>200000</v>
      </c>
      <c r="F61" s="321">
        <v>0</v>
      </c>
      <c r="G61" s="321">
        <v>0</v>
      </c>
      <c r="H61" s="847"/>
      <c r="I61" s="848"/>
      <c r="J61" s="848"/>
      <c r="K61" s="848"/>
      <c r="L61" s="848"/>
      <c r="M61" s="848"/>
    </row>
    <row r="62" spans="1:13" ht="73.150000000000006" hidden="1" customHeight="1" x14ac:dyDescent="0.25">
      <c r="A62" s="311"/>
      <c r="B62" s="937"/>
      <c r="C62" s="938"/>
      <c r="D62" s="322"/>
      <c r="E62" s="313"/>
      <c r="F62" s="321"/>
      <c r="G62" s="321"/>
      <c r="H62" s="580"/>
    </row>
    <row r="63" spans="1:13" ht="1.1499999999999999" hidden="1" customHeight="1" x14ac:dyDescent="0.25">
      <c r="A63" s="311"/>
      <c r="B63" s="937"/>
      <c r="C63" s="938"/>
      <c r="D63" s="326"/>
      <c r="E63" s="313"/>
      <c r="F63" s="321"/>
      <c r="G63" s="321"/>
      <c r="H63" s="580"/>
    </row>
    <row r="64" spans="1:13" ht="0.75" hidden="1" customHeight="1" x14ac:dyDescent="0.25">
      <c r="A64" s="311"/>
      <c r="B64" s="937"/>
      <c r="C64" s="938"/>
      <c r="D64" s="312"/>
      <c r="E64" s="313"/>
      <c r="F64" s="321"/>
      <c r="G64" s="321"/>
      <c r="H64" s="580"/>
    </row>
    <row r="65" spans="1:13" ht="1.1499999999999999" hidden="1" customHeight="1" x14ac:dyDescent="0.25">
      <c r="A65" s="311"/>
      <c r="B65" s="949"/>
      <c r="C65" s="950"/>
      <c r="D65" s="822"/>
      <c r="E65" s="320"/>
      <c r="F65" s="339"/>
      <c r="G65" s="321"/>
      <c r="H65" s="580"/>
    </row>
    <row r="66" spans="1:13" ht="99" customHeight="1" x14ac:dyDescent="0.25">
      <c r="A66" s="311" t="s">
        <v>19</v>
      </c>
      <c r="B66" s="937" t="s">
        <v>848</v>
      </c>
      <c r="C66" s="938"/>
      <c r="D66" s="312" t="s">
        <v>1025</v>
      </c>
      <c r="E66" s="313">
        <f>352146+52854</f>
        <v>405000</v>
      </c>
      <c r="F66" s="339">
        <v>0</v>
      </c>
      <c r="G66" s="321">
        <v>0</v>
      </c>
      <c r="H66" s="847"/>
      <c r="I66" s="848"/>
      <c r="J66" s="848"/>
      <c r="K66" s="848"/>
      <c r="L66" s="848"/>
      <c r="M66" s="848"/>
    </row>
    <row r="67" spans="1:13" ht="47.25" customHeight="1" x14ac:dyDescent="0.25">
      <c r="A67" s="539" t="s">
        <v>502</v>
      </c>
      <c r="B67" s="951" t="s">
        <v>1048</v>
      </c>
      <c r="C67" s="952"/>
      <c r="D67" s="540" t="s">
        <v>1049</v>
      </c>
      <c r="E67" s="317">
        <f>E68</f>
        <v>210000</v>
      </c>
      <c r="F67" s="317">
        <f>F68</f>
        <v>220000</v>
      </c>
      <c r="G67" s="323">
        <f>G68</f>
        <v>240000</v>
      </c>
      <c r="H67" s="580"/>
    </row>
    <row r="68" spans="1:13" ht="93.75" customHeight="1" x14ac:dyDescent="0.25">
      <c r="A68" s="545" t="s">
        <v>19</v>
      </c>
      <c r="B68" s="941" t="s">
        <v>1050</v>
      </c>
      <c r="C68" s="942"/>
      <c r="D68" s="546" t="s">
        <v>22</v>
      </c>
      <c r="E68" s="313">
        <v>210000</v>
      </c>
      <c r="F68" s="339">
        <v>220000</v>
      </c>
      <c r="G68" s="321">
        <v>240000</v>
      </c>
      <c r="H68" s="580"/>
    </row>
    <row r="69" spans="1:13" ht="144" customHeight="1" x14ac:dyDescent="0.25">
      <c r="A69" s="318" t="s">
        <v>502</v>
      </c>
      <c r="B69" s="949" t="s">
        <v>935</v>
      </c>
      <c r="C69" s="950"/>
      <c r="D69" s="319" t="s">
        <v>936</v>
      </c>
      <c r="E69" s="320">
        <f>E72+E70+E71</f>
        <v>3567475.74</v>
      </c>
      <c r="F69" s="320">
        <f t="shared" ref="F69:G69" si="5">F72+F70</f>
        <v>1000000</v>
      </c>
      <c r="G69" s="703">
        <f t="shared" si="5"/>
        <v>1000000</v>
      </c>
      <c r="H69" s="580"/>
    </row>
    <row r="70" spans="1:13" s="503" customFormat="1" ht="59.25" hidden="1" customHeight="1" x14ac:dyDescent="0.25">
      <c r="A70" s="311" t="s">
        <v>15</v>
      </c>
      <c r="B70" s="937" t="s">
        <v>1019</v>
      </c>
      <c r="C70" s="938"/>
      <c r="D70" s="314" t="s">
        <v>1018</v>
      </c>
      <c r="E70" s="313">
        <v>0</v>
      </c>
      <c r="F70" s="313">
        <v>0</v>
      </c>
      <c r="G70" s="702">
        <v>0</v>
      </c>
      <c r="H70" s="580"/>
    </row>
    <row r="71" spans="1:13" s="503" customFormat="1" ht="54" customHeight="1" x14ac:dyDescent="0.25">
      <c r="A71" s="311" t="s">
        <v>15</v>
      </c>
      <c r="B71" s="937" t="s">
        <v>1485</v>
      </c>
      <c r="C71" s="938"/>
      <c r="D71" s="314" t="s">
        <v>1018</v>
      </c>
      <c r="E71" s="313">
        <v>2187475.7400000002</v>
      </c>
      <c r="F71" s="313">
        <v>0</v>
      </c>
      <c r="G71" s="702">
        <v>0</v>
      </c>
      <c r="H71" s="580"/>
    </row>
    <row r="72" spans="1:13" ht="102.75" customHeight="1" x14ac:dyDescent="0.25">
      <c r="A72" s="311" t="s">
        <v>19</v>
      </c>
      <c r="B72" s="937" t="s">
        <v>23</v>
      </c>
      <c r="C72" s="938"/>
      <c r="D72" s="314" t="s">
        <v>24</v>
      </c>
      <c r="E72" s="313">
        <f>1000000+380000</f>
        <v>1380000</v>
      </c>
      <c r="F72" s="321">
        <v>1000000</v>
      </c>
      <c r="G72" s="321">
        <v>1000000</v>
      </c>
      <c r="H72" s="847"/>
      <c r="I72" s="848"/>
      <c r="J72" s="848"/>
      <c r="K72" s="848"/>
      <c r="L72" s="848"/>
      <c r="M72" s="848"/>
    </row>
    <row r="73" spans="1:13" ht="39" customHeight="1" x14ac:dyDescent="0.25">
      <c r="A73" s="315" t="s">
        <v>502</v>
      </c>
      <c r="B73" s="939" t="s">
        <v>822</v>
      </c>
      <c r="C73" s="940"/>
      <c r="D73" s="316" t="s">
        <v>823</v>
      </c>
      <c r="E73" s="317">
        <f>E75+E76+E77+E78+E79</f>
        <v>150000</v>
      </c>
      <c r="F73" s="317">
        <f>F75+F76+F77+F78+F79</f>
        <v>156000</v>
      </c>
      <c r="G73" s="323">
        <f>G75+G76+G77+G78+G79</f>
        <v>162240</v>
      </c>
      <c r="H73" s="580"/>
    </row>
    <row r="74" spans="1:13" ht="39" customHeight="1" x14ac:dyDescent="0.25">
      <c r="A74" s="318" t="s">
        <v>5</v>
      </c>
      <c r="B74" s="949" t="s">
        <v>926</v>
      </c>
      <c r="C74" s="950"/>
      <c r="D74" s="319" t="s">
        <v>927</v>
      </c>
      <c r="E74" s="320">
        <f>E75+E77+E78+E79</f>
        <v>150000</v>
      </c>
      <c r="F74" s="320">
        <f>F75+F76+F77+F78+F79</f>
        <v>156000</v>
      </c>
      <c r="G74" s="703">
        <f>G75+G76+G77+G78+G79</f>
        <v>162240</v>
      </c>
      <c r="H74" s="580"/>
    </row>
    <row r="75" spans="1:13" ht="47.25" customHeight="1" x14ac:dyDescent="0.25">
      <c r="A75" s="311" t="s">
        <v>5</v>
      </c>
      <c r="B75" s="937" t="s">
        <v>668</v>
      </c>
      <c r="C75" s="938"/>
      <c r="D75" s="314" t="s">
        <v>669</v>
      </c>
      <c r="E75" s="313">
        <v>80000</v>
      </c>
      <c r="F75" s="321">
        <v>83200</v>
      </c>
      <c r="G75" s="321">
        <v>86528</v>
      </c>
      <c r="H75" s="580"/>
    </row>
    <row r="76" spans="1:13" ht="36" hidden="1" customHeight="1" x14ac:dyDescent="0.25">
      <c r="A76" s="311" t="s">
        <v>5</v>
      </c>
      <c r="B76" s="937" t="s">
        <v>670</v>
      </c>
      <c r="C76" s="938"/>
      <c r="D76" s="314" t="s">
        <v>671</v>
      </c>
      <c r="E76" s="313">
        <v>0</v>
      </c>
      <c r="F76" s="321">
        <v>0</v>
      </c>
      <c r="G76" s="321">
        <v>0</v>
      </c>
      <c r="H76" s="580"/>
    </row>
    <row r="77" spans="1:13" ht="37.5" hidden="1" customHeight="1" x14ac:dyDescent="0.25">
      <c r="A77" s="311" t="s">
        <v>5</v>
      </c>
      <c r="B77" s="937" t="s">
        <v>672</v>
      </c>
      <c r="C77" s="938"/>
      <c r="D77" s="314" t="s">
        <v>673</v>
      </c>
      <c r="E77" s="313">
        <v>0</v>
      </c>
      <c r="F77" s="321">
        <v>0</v>
      </c>
      <c r="G77" s="321">
        <v>0</v>
      </c>
      <c r="H77" s="580"/>
    </row>
    <row r="78" spans="1:13" ht="34.5" hidden="1" customHeight="1" x14ac:dyDescent="0.25">
      <c r="A78" s="311" t="s">
        <v>5</v>
      </c>
      <c r="B78" s="937" t="s">
        <v>674</v>
      </c>
      <c r="C78" s="938"/>
      <c r="D78" s="314" t="s">
        <v>675</v>
      </c>
      <c r="E78" s="313">
        <v>0</v>
      </c>
      <c r="F78" s="321">
        <v>0</v>
      </c>
      <c r="G78" s="321">
        <v>0</v>
      </c>
      <c r="H78" s="580"/>
    </row>
    <row r="79" spans="1:13" ht="38.25" customHeight="1" x14ac:dyDescent="0.25">
      <c r="A79" s="545" t="s">
        <v>5</v>
      </c>
      <c r="B79" s="941" t="s">
        <v>1051</v>
      </c>
      <c r="C79" s="942"/>
      <c r="D79" s="547" t="s">
        <v>1052</v>
      </c>
      <c r="E79" s="532">
        <v>70000</v>
      </c>
      <c r="F79" s="339">
        <v>72800</v>
      </c>
      <c r="G79" s="321">
        <v>75712</v>
      </c>
      <c r="H79" s="580"/>
    </row>
    <row r="80" spans="1:13" ht="39.75" customHeight="1" x14ac:dyDescent="0.25">
      <c r="A80" s="315" t="s">
        <v>502</v>
      </c>
      <c r="B80" s="939" t="s">
        <v>1026</v>
      </c>
      <c r="C80" s="940"/>
      <c r="D80" s="316" t="s">
        <v>1027</v>
      </c>
      <c r="E80" s="317">
        <f>E81+E82</f>
        <v>36125.22</v>
      </c>
      <c r="F80" s="317">
        <f t="shared" ref="F80:G80" si="6">F81+F82</f>
        <v>0</v>
      </c>
      <c r="G80" s="317">
        <f t="shared" si="6"/>
        <v>0</v>
      </c>
      <c r="H80" s="580"/>
    </row>
    <row r="81" spans="1:13" ht="42" customHeight="1" x14ac:dyDescent="0.25">
      <c r="A81" s="311" t="s">
        <v>18</v>
      </c>
      <c r="B81" s="937" t="s">
        <v>849</v>
      </c>
      <c r="C81" s="938"/>
      <c r="D81" s="322" t="s">
        <v>850</v>
      </c>
      <c r="E81" s="313">
        <f>10000+10000</f>
        <v>20000</v>
      </c>
      <c r="F81" s="339">
        <v>0</v>
      </c>
      <c r="G81" s="321">
        <v>0</v>
      </c>
      <c r="H81" s="847"/>
      <c r="I81" s="848"/>
      <c r="J81" s="848"/>
      <c r="K81" s="848"/>
      <c r="L81" s="848"/>
      <c r="M81" s="848"/>
    </row>
    <row r="82" spans="1:13" ht="42" customHeight="1" x14ac:dyDescent="0.25">
      <c r="A82" s="311" t="s">
        <v>19</v>
      </c>
      <c r="B82" s="937" t="s">
        <v>849</v>
      </c>
      <c r="C82" s="938"/>
      <c r="D82" s="322" t="s">
        <v>850</v>
      </c>
      <c r="E82" s="313">
        <v>16125.22</v>
      </c>
      <c r="F82" s="339">
        <v>0</v>
      </c>
      <c r="G82" s="321">
        <v>0</v>
      </c>
      <c r="H82" s="847"/>
      <c r="I82" s="848"/>
      <c r="J82" s="848"/>
      <c r="K82" s="848"/>
      <c r="L82" s="848"/>
      <c r="M82" s="848"/>
    </row>
    <row r="83" spans="1:13" ht="51" customHeight="1" x14ac:dyDescent="0.25">
      <c r="A83" s="315" t="s">
        <v>502</v>
      </c>
      <c r="B83" s="939" t="s">
        <v>824</v>
      </c>
      <c r="C83" s="940"/>
      <c r="D83" s="316" t="s">
        <v>825</v>
      </c>
      <c r="E83" s="317">
        <f>E84+E86</f>
        <v>445000</v>
      </c>
      <c r="F83" s="317">
        <f>F84+F86</f>
        <v>350000</v>
      </c>
      <c r="G83" s="323">
        <f>G84+G86</f>
        <v>350000</v>
      </c>
      <c r="H83" s="580"/>
    </row>
    <row r="84" spans="1:13" ht="122.25" customHeight="1" x14ac:dyDescent="0.25">
      <c r="A84" s="318" t="s">
        <v>502</v>
      </c>
      <c r="B84" s="949" t="s">
        <v>928</v>
      </c>
      <c r="C84" s="950"/>
      <c r="D84" s="328" t="s">
        <v>929</v>
      </c>
      <c r="E84" s="320">
        <f>E85</f>
        <v>100000</v>
      </c>
      <c r="F84" s="320">
        <f t="shared" ref="F84:G84" si="7">F85</f>
        <v>100000</v>
      </c>
      <c r="G84" s="703">
        <f t="shared" si="7"/>
        <v>100000</v>
      </c>
      <c r="H84" s="580"/>
    </row>
    <row r="85" spans="1:13" ht="103.5" customHeight="1" x14ac:dyDescent="0.25">
      <c r="A85" s="311" t="s">
        <v>19</v>
      </c>
      <c r="B85" s="937" t="s">
        <v>25</v>
      </c>
      <c r="C85" s="938"/>
      <c r="D85" s="314" t="s">
        <v>662</v>
      </c>
      <c r="E85" s="313">
        <v>100000</v>
      </c>
      <c r="F85" s="321">
        <v>100000</v>
      </c>
      <c r="G85" s="321">
        <v>100000</v>
      </c>
      <c r="H85" s="580"/>
    </row>
    <row r="86" spans="1:13" ht="52.15" customHeight="1" x14ac:dyDescent="0.25">
      <c r="A86" s="318" t="s">
        <v>502</v>
      </c>
      <c r="B86" s="949" t="s">
        <v>930</v>
      </c>
      <c r="C86" s="950"/>
      <c r="D86" s="319" t="s">
        <v>931</v>
      </c>
      <c r="E86" s="320">
        <f>E88+E92+E89+E90+E91</f>
        <v>345000</v>
      </c>
      <c r="F86" s="320">
        <f t="shared" ref="F86:G86" si="8">F88+F92</f>
        <v>250000</v>
      </c>
      <c r="G86" s="703">
        <f t="shared" si="8"/>
        <v>250000</v>
      </c>
      <c r="H86" s="580"/>
    </row>
    <row r="87" spans="1:13" ht="52.15" customHeight="1" x14ac:dyDescent="0.25">
      <c r="A87" s="318" t="s">
        <v>502</v>
      </c>
      <c r="B87" s="949" t="s">
        <v>1028</v>
      </c>
      <c r="C87" s="950"/>
      <c r="D87" s="319" t="s">
        <v>1029</v>
      </c>
      <c r="E87" s="320">
        <f>E88+E92+E89+E90+E91</f>
        <v>345000</v>
      </c>
      <c r="F87" s="320">
        <f>F88+F92</f>
        <v>250000</v>
      </c>
      <c r="G87" s="703">
        <f>G88+G92</f>
        <v>250000</v>
      </c>
      <c r="H87" s="580"/>
    </row>
    <row r="88" spans="1:13" ht="72.75" customHeight="1" x14ac:dyDescent="0.25">
      <c r="A88" s="311" t="s">
        <v>19</v>
      </c>
      <c r="B88" s="937" t="s">
        <v>26</v>
      </c>
      <c r="C88" s="938"/>
      <c r="D88" s="314" t="s">
        <v>920</v>
      </c>
      <c r="E88" s="313">
        <v>200000</v>
      </c>
      <c r="F88" s="321">
        <v>200000</v>
      </c>
      <c r="G88" s="321">
        <v>200000</v>
      </c>
      <c r="H88" s="580"/>
    </row>
    <row r="89" spans="1:13" ht="66.599999999999994" customHeight="1" x14ac:dyDescent="0.25">
      <c r="A89" s="311" t="s">
        <v>893</v>
      </c>
      <c r="B89" s="937" t="s">
        <v>665</v>
      </c>
      <c r="C89" s="938"/>
      <c r="D89" s="314" t="s">
        <v>666</v>
      </c>
      <c r="E89" s="313">
        <f>15000+5000</f>
        <v>20000</v>
      </c>
      <c r="F89" s="321">
        <v>0</v>
      </c>
      <c r="G89" s="321">
        <v>0</v>
      </c>
      <c r="H89" s="847"/>
      <c r="I89" s="848"/>
      <c r="J89" s="848"/>
      <c r="K89" s="848"/>
      <c r="L89" s="848"/>
      <c r="M89" s="848"/>
    </row>
    <row r="90" spans="1:13" ht="64.150000000000006" customHeight="1" x14ac:dyDescent="0.25">
      <c r="A90" s="311" t="s">
        <v>846</v>
      </c>
      <c r="B90" s="937" t="s">
        <v>665</v>
      </c>
      <c r="C90" s="938"/>
      <c r="D90" s="314" t="s">
        <v>666</v>
      </c>
      <c r="E90" s="313">
        <f>38500+21500</f>
        <v>60000</v>
      </c>
      <c r="F90" s="321">
        <v>0</v>
      </c>
      <c r="G90" s="321">
        <v>0</v>
      </c>
      <c r="H90" s="847"/>
      <c r="I90" s="848"/>
      <c r="J90" s="848"/>
      <c r="K90" s="848"/>
      <c r="L90" s="848"/>
      <c r="M90" s="848"/>
    </row>
    <row r="91" spans="1:13" ht="69.599999999999994" customHeight="1" x14ac:dyDescent="0.25">
      <c r="A91" s="311" t="s">
        <v>847</v>
      </c>
      <c r="B91" s="937" t="s">
        <v>665</v>
      </c>
      <c r="C91" s="938"/>
      <c r="D91" s="314" t="s">
        <v>1030</v>
      </c>
      <c r="E91" s="313">
        <f>1800+13200</f>
        <v>15000</v>
      </c>
      <c r="F91" s="321">
        <v>0</v>
      </c>
      <c r="G91" s="321">
        <v>0</v>
      </c>
      <c r="H91" s="847"/>
      <c r="I91" s="848"/>
      <c r="J91" s="848"/>
      <c r="K91" s="848"/>
      <c r="L91" s="848"/>
      <c r="M91" s="848"/>
    </row>
    <row r="92" spans="1:13" ht="60" customHeight="1" x14ac:dyDescent="0.25">
      <c r="A92" s="311" t="s">
        <v>19</v>
      </c>
      <c r="B92" s="937" t="s">
        <v>665</v>
      </c>
      <c r="C92" s="938"/>
      <c r="D92" s="314" t="s">
        <v>666</v>
      </c>
      <c r="E92" s="313">
        <v>50000</v>
      </c>
      <c r="F92" s="321">
        <v>50000</v>
      </c>
      <c r="G92" s="321">
        <v>50000</v>
      </c>
      <c r="H92" s="580"/>
    </row>
    <row r="93" spans="1:13" ht="93.75" hidden="1" customHeight="1" x14ac:dyDescent="0.25">
      <c r="A93" s="318" t="s">
        <v>502</v>
      </c>
      <c r="B93" s="949" t="s">
        <v>1031</v>
      </c>
      <c r="C93" s="950"/>
      <c r="D93" s="319" t="s">
        <v>1032</v>
      </c>
      <c r="E93" s="320">
        <f>E94</f>
        <v>0</v>
      </c>
      <c r="F93" s="339">
        <v>0</v>
      </c>
      <c r="G93" s="321">
        <v>0</v>
      </c>
      <c r="H93" s="580"/>
    </row>
    <row r="94" spans="1:13" ht="108.75" hidden="1" customHeight="1" x14ac:dyDescent="0.25">
      <c r="A94" s="311" t="s">
        <v>847</v>
      </c>
      <c r="B94" s="937" t="s">
        <v>852</v>
      </c>
      <c r="C94" s="938"/>
      <c r="D94" s="314" t="s">
        <v>1033</v>
      </c>
      <c r="E94" s="313">
        <v>0</v>
      </c>
      <c r="F94" s="339">
        <v>0</v>
      </c>
      <c r="G94" s="321">
        <v>0</v>
      </c>
      <c r="H94" s="580"/>
    </row>
    <row r="95" spans="1:13" ht="21.75" hidden="1" customHeight="1" x14ac:dyDescent="0.25">
      <c r="A95" s="311" t="s">
        <v>847</v>
      </c>
      <c r="B95" s="937" t="s">
        <v>665</v>
      </c>
      <c r="C95" s="938"/>
      <c r="D95" s="314" t="s">
        <v>666</v>
      </c>
      <c r="E95" s="313">
        <v>0</v>
      </c>
      <c r="F95" s="339">
        <v>0</v>
      </c>
      <c r="G95" s="321">
        <v>0</v>
      </c>
      <c r="H95" s="580"/>
    </row>
    <row r="96" spans="1:13" ht="15" hidden="1" customHeight="1" x14ac:dyDescent="0.25">
      <c r="A96" s="311" t="s">
        <v>846</v>
      </c>
      <c r="B96" s="937" t="s">
        <v>852</v>
      </c>
      <c r="C96" s="938"/>
      <c r="D96" s="322" t="s">
        <v>851</v>
      </c>
      <c r="E96" s="313">
        <v>0</v>
      </c>
      <c r="F96" s="339">
        <v>0</v>
      </c>
      <c r="G96" s="321">
        <v>0</v>
      </c>
      <c r="H96" s="580"/>
    </row>
    <row r="97" spans="1:14" ht="19.5" hidden="1" customHeight="1" x14ac:dyDescent="0.25">
      <c r="A97" s="311" t="s">
        <v>502</v>
      </c>
      <c r="B97" s="937" t="s">
        <v>894</v>
      </c>
      <c r="C97" s="938"/>
      <c r="D97" s="329" t="s">
        <v>895</v>
      </c>
      <c r="E97" s="317">
        <f>E98</f>
        <v>0</v>
      </c>
      <c r="F97" s="339">
        <v>0</v>
      </c>
      <c r="G97" s="321">
        <v>0</v>
      </c>
      <c r="H97" s="580"/>
    </row>
    <row r="98" spans="1:14" ht="32.25" hidden="1" customHeight="1" x14ac:dyDescent="0.25">
      <c r="A98" s="311" t="s">
        <v>19</v>
      </c>
      <c r="B98" s="937" t="s">
        <v>894</v>
      </c>
      <c r="C98" s="938"/>
      <c r="D98" s="322" t="s">
        <v>44</v>
      </c>
      <c r="E98" s="313">
        <v>0</v>
      </c>
      <c r="F98" s="339">
        <v>0</v>
      </c>
      <c r="G98" s="321">
        <v>0</v>
      </c>
      <c r="H98" s="580"/>
    </row>
    <row r="99" spans="1:14" ht="32.25" customHeight="1" x14ac:dyDescent="0.25">
      <c r="A99" s="315" t="s">
        <v>502</v>
      </c>
      <c r="B99" s="939" t="s">
        <v>1096</v>
      </c>
      <c r="C99" s="940"/>
      <c r="D99" s="329" t="s">
        <v>895</v>
      </c>
      <c r="E99" s="317">
        <f>E100</f>
        <v>850</v>
      </c>
      <c r="F99" s="340">
        <v>0</v>
      </c>
      <c r="G99" s="337">
        <v>0</v>
      </c>
      <c r="H99" s="580"/>
    </row>
    <row r="100" spans="1:14" ht="51.75" customHeight="1" x14ac:dyDescent="0.25">
      <c r="A100" s="311" t="s">
        <v>19</v>
      </c>
      <c r="B100" s="937" t="s">
        <v>1097</v>
      </c>
      <c r="C100" s="938"/>
      <c r="D100" s="322" t="s">
        <v>44</v>
      </c>
      <c r="E100" s="313">
        <v>850</v>
      </c>
      <c r="F100" s="339">
        <v>0</v>
      </c>
      <c r="G100" s="321">
        <v>0</v>
      </c>
      <c r="H100" s="580"/>
    </row>
    <row r="101" spans="1:14" ht="39.75" customHeight="1" x14ac:dyDescent="0.25">
      <c r="A101" s="315" t="s">
        <v>502</v>
      </c>
      <c r="B101" s="939" t="s">
        <v>826</v>
      </c>
      <c r="C101" s="940"/>
      <c r="D101" s="316" t="s">
        <v>827</v>
      </c>
      <c r="E101" s="317">
        <f>E109+E111+E114+E115+E118+E123+E124+E125+E127+E104+E105+E106+E107+E112+E113+E117+E120+E121+E129+E130+E131+E116+E110+E119+E108+E102+E103+E122+E126</f>
        <v>1688627.78</v>
      </c>
      <c r="F101" s="317">
        <f>F109+F111+F114+F115+F118+F123+F124+F125+F127+F104+F105+F106+F107+F112+F113+F117+F120+F121+F129+F130+F131+F116+F110+F119+F108</f>
        <v>2374942</v>
      </c>
      <c r="G101" s="323">
        <f>G109+G111+G114+G115+G118+G123+G124+G125+G127+G104+G105+G106+G107+G112+G113+G117+G120+G121+G129+G130+G131+G116+G110+G119+G108</f>
        <v>2469937</v>
      </c>
      <c r="H101" s="580"/>
    </row>
    <row r="102" spans="1:14" ht="83.25" customHeight="1" x14ac:dyDescent="0.25">
      <c r="A102" s="311" t="s">
        <v>15</v>
      </c>
      <c r="B102" s="937" t="s">
        <v>855</v>
      </c>
      <c r="C102" s="938"/>
      <c r="D102" s="492" t="s">
        <v>853</v>
      </c>
      <c r="E102" s="313">
        <v>15000</v>
      </c>
      <c r="F102" s="313">
        <v>0</v>
      </c>
      <c r="G102" s="702">
        <v>0</v>
      </c>
      <c r="H102" s="580"/>
    </row>
    <row r="103" spans="1:14" ht="53.25" customHeight="1" x14ac:dyDescent="0.25">
      <c r="A103" s="311" t="s">
        <v>15</v>
      </c>
      <c r="B103" s="937" t="s">
        <v>7</v>
      </c>
      <c r="C103" s="938"/>
      <c r="D103" s="312" t="s">
        <v>667</v>
      </c>
      <c r="E103" s="313">
        <f>11500+21500</f>
        <v>33000</v>
      </c>
      <c r="F103" s="313">
        <v>0</v>
      </c>
      <c r="G103" s="702">
        <v>0</v>
      </c>
      <c r="H103" s="847"/>
      <c r="I103" s="848"/>
      <c r="J103" s="848"/>
      <c r="K103" s="848"/>
      <c r="L103" s="848"/>
      <c r="M103" s="848"/>
      <c r="N103" s="848"/>
    </row>
    <row r="104" spans="1:14" ht="52.5" customHeight="1" x14ac:dyDescent="0.25">
      <c r="A104" s="311" t="s">
        <v>19</v>
      </c>
      <c r="B104" s="937" t="s">
        <v>7</v>
      </c>
      <c r="C104" s="938"/>
      <c r="D104" s="312" t="s">
        <v>667</v>
      </c>
      <c r="E104" s="313">
        <f>950+7550</f>
        <v>8500</v>
      </c>
      <c r="F104" s="313">
        <v>0</v>
      </c>
      <c r="G104" s="702">
        <v>0</v>
      </c>
      <c r="H104" s="847"/>
      <c r="I104" s="848"/>
      <c r="J104" s="848"/>
      <c r="K104" s="848"/>
      <c r="L104" s="848"/>
      <c r="M104" s="848"/>
    </row>
    <row r="105" spans="1:14" ht="66" customHeight="1" x14ac:dyDescent="0.25">
      <c r="A105" s="311" t="s">
        <v>14</v>
      </c>
      <c r="B105" s="937" t="s">
        <v>7</v>
      </c>
      <c r="C105" s="938"/>
      <c r="D105" s="312" t="s">
        <v>667</v>
      </c>
      <c r="E105" s="313">
        <v>17690</v>
      </c>
      <c r="F105" s="313">
        <v>18397</v>
      </c>
      <c r="G105" s="702">
        <v>19132</v>
      </c>
      <c r="H105" s="580"/>
    </row>
    <row r="106" spans="1:14" ht="66.75" hidden="1" customHeight="1" x14ac:dyDescent="0.25">
      <c r="A106" s="311" t="s">
        <v>19</v>
      </c>
      <c r="B106" s="937" t="s">
        <v>7</v>
      </c>
      <c r="C106" s="938"/>
      <c r="D106" s="312" t="s">
        <v>667</v>
      </c>
      <c r="E106" s="313">
        <v>0</v>
      </c>
      <c r="F106" s="313">
        <v>0</v>
      </c>
      <c r="G106" s="702">
        <v>0</v>
      </c>
      <c r="H106" s="580"/>
    </row>
    <row r="107" spans="1:14" ht="97.5" hidden="1" customHeight="1" x14ac:dyDescent="0.25">
      <c r="A107" s="311" t="s">
        <v>854</v>
      </c>
      <c r="B107" s="937" t="s">
        <v>855</v>
      </c>
      <c r="C107" s="938"/>
      <c r="D107" s="327" t="s">
        <v>853</v>
      </c>
      <c r="E107" s="313">
        <v>0</v>
      </c>
      <c r="F107" s="313">
        <v>0</v>
      </c>
      <c r="G107" s="702">
        <v>0</v>
      </c>
      <c r="H107" s="580"/>
    </row>
    <row r="108" spans="1:14" ht="60.75" hidden="1" customHeight="1" x14ac:dyDescent="0.25">
      <c r="A108" s="545" t="s">
        <v>19</v>
      </c>
      <c r="B108" s="941" t="s">
        <v>7</v>
      </c>
      <c r="C108" s="942"/>
      <c r="D108" s="546" t="s">
        <v>667</v>
      </c>
      <c r="E108" s="532">
        <v>0</v>
      </c>
      <c r="F108" s="313">
        <v>0</v>
      </c>
      <c r="G108" s="702">
        <v>0</v>
      </c>
      <c r="H108" s="580"/>
    </row>
    <row r="109" spans="1:14" ht="17.25" hidden="1" customHeight="1" x14ac:dyDescent="0.25">
      <c r="A109" s="311" t="s">
        <v>14</v>
      </c>
      <c r="B109" s="937" t="s">
        <v>7</v>
      </c>
      <c r="C109" s="938"/>
      <c r="D109" s="312" t="s">
        <v>667</v>
      </c>
      <c r="E109" s="313">
        <v>0</v>
      </c>
      <c r="F109" s="321">
        <v>0</v>
      </c>
      <c r="G109" s="321">
        <v>0</v>
      </c>
      <c r="H109" s="580"/>
    </row>
    <row r="110" spans="1:14" ht="33.75" hidden="1" customHeight="1" x14ac:dyDescent="0.25">
      <c r="A110" s="311" t="s">
        <v>6</v>
      </c>
      <c r="B110" s="937" t="s">
        <v>9</v>
      </c>
      <c r="C110" s="938"/>
      <c r="D110" s="312" t="s">
        <v>45</v>
      </c>
      <c r="E110" s="313">
        <v>0</v>
      </c>
      <c r="F110" s="321">
        <v>0</v>
      </c>
      <c r="G110" s="321">
        <v>0</v>
      </c>
      <c r="H110" s="580"/>
    </row>
    <row r="111" spans="1:14" ht="66" customHeight="1" x14ac:dyDescent="0.25">
      <c r="A111" s="311" t="s">
        <v>676</v>
      </c>
      <c r="B111" s="937" t="s">
        <v>7</v>
      </c>
      <c r="C111" s="938"/>
      <c r="D111" s="312" t="s">
        <v>8</v>
      </c>
      <c r="E111" s="313">
        <v>88620</v>
      </c>
      <c r="F111" s="321">
        <v>92165</v>
      </c>
      <c r="G111" s="321">
        <v>95851</v>
      </c>
      <c r="H111" s="580"/>
    </row>
    <row r="112" spans="1:14" ht="66" hidden="1" customHeight="1" x14ac:dyDescent="0.25">
      <c r="A112" s="311" t="s">
        <v>856</v>
      </c>
      <c r="B112" s="937" t="s">
        <v>7</v>
      </c>
      <c r="C112" s="938"/>
      <c r="D112" s="312" t="s">
        <v>8</v>
      </c>
      <c r="E112" s="313">
        <v>0</v>
      </c>
      <c r="F112" s="321">
        <v>0</v>
      </c>
      <c r="G112" s="321">
        <v>0</v>
      </c>
      <c r="H112" s="580"/>
    </row>
    <row r="113" spans="1:13" ht="66" hidden="1" customHeight="1" x14ac:dyDescent="0.25">
      <c r="A113" s="311" t="s">
        <v>857</v>
      </c>
      <c r="B113" s="937" t="s">
        <v>7</v>
      </c>
      <c r="C113" s="938"/>
      <c r="D113" s="312" t="s">
        <v>8</v>
      </c>
      <c r="E113" s="313">
        <v>0</v>
      </c>
      <c r="F113" s="321">
        <v>0</v>
      </c>
      <c r="G113" s="321">
        <v>0</v>
      </c>
      <c r="H113" s="580"/>
    </row>
    <row r="114" spans="1:13" ht="99" customHeight="1" x14ac:dyDescent="0.25">
      <c r="A114" s="311" t="s">
        <v>680</v>
      </c>
      <c r="B114" s="937" t="s">
        <v>839</v>
      </c>
      <c r="C114" s="938"/>
      <c r="D114" s="312" t="s">
        <v>682</v>
      </c>
      <c r="E114" s="313">
        <v>10000</v>
      </c>
      <c r="F114" s="321">
        <v>10400</v>
      </c>
      <c r="G114" s="321">
        <v>10816</v>
      </c>
      <c r="H114" s="580"/>
    </row>
    <row r="115" spans="1:13" ht="109.9" customHeight="1" x14ac:dyDescent="0.25">
      <c r="A115" s="311" t="s">
        <v>34</v>
      </c>
      <c r="B115" s="937" t="s">
        <v>697</v>
      </c>
      <c r="C115" s="938"/>
      <c r="D115" s="314" t="s">
        <v>840</v>
      </c>
      <c r="E115" s="313">
        <f>70000-60000</f>
        <v>10000</v>
      </c>
      <c r="F115" s="321">
        <v>72800</v>
      </c>
      <c r="G115" s="321">
        <v>75712</v>
      </c>
      <c r="H115" s="847"/>
      <c r="I115" s="848"/>
      <c r="J115" s="848"/>
      <c r="K115" s="848"/>
      <c r="L115" s="848"/>
      <c r="M115" s="848"/>
    </row>
    <row r="116" spans="1:13" ht="81" customHeight="1" x14ac:dyDescent="0.25">
      <c r="A116" s="311" t="s">
        <v>34</v>
      </c>
      <c r="B116" s="937" t="s">
        <v>896</v>
      </c>
      <c r="C116" s="938"/>
      <c r="D116" s="314" t="s">
        <v>897</v>
      </c>
      <c r="E116" s="313">
        <v>3000</v>
      </c>
      <c r="F116" s="321">
        <v>3120</v>
      </c>
      <c r="G116" s="321">
        <v>3244</v>
      </c>
      <c r="H116" s="580"/>
    </row>
    <row r="117" spans="1:13" ht="78.75" hidden="1" customHeight="1" x14ac:dyDescent="0.25">
      <c r="A117" s="311" t="s">
        <v>34</v>
      </c>
      <c r="B117" s="937" t="s">
        <v>859</v>
      </c>
      <c r="C117" s="938"/>
      <c r="D117" s="327" t="s">
        <v>858</v>
      </c>
      <c r="E117" s="313">
        <v>0</v>
      </c>
      <c r="F117" s="321">
        <v>0</v>
      </c>
      <c r="G117" s="321">
        <v>0</v>
      </c>
      <c r="H117" s="580"/>
    </row>
    <row r="118" spans="1:13" ht="81.75" customHeight="1" x14ac:dyDescent="0.25">
      <c r="A118" s="545" t="s">
        <v>47</v>
      </c>
      <c r="B118" s="941" t="s">
        <v>698</v>
      </c>
      <c r="C118" s="942"/>
      <c r="D118" s="546" t="s">
        <v>699</v>
      </c>
      <c r="E118" s="532">
        <f>251000+2000</f>
        <v>253000</v>
      </c>
      <c r="F118" s="884">
        <v>227752</v>
      </c>
      <c r="G118" s="884">
        <v>236862</v>
      </c>
      <c r="H118" s="849"/>
      <c r="I118" s="850"/>
      <c r="J118" s="848"/>
      <c r="K118" s="848"/>
      <c r="L118" s="848"/>
      <c r="M118" s="848"/>
    </row>
    <row r="119" spans="1:13" ht="81.75" hidden="1" customHeight="1" x14ac:dyDescent="0.25">
      <c r="A119" s="311" t="s">
        <v>47</v>
      </c>
      <c r="B119" s="937" t="s">
        <v>1034</v>
      </c>
      <c r="C119" s="938"/>
      <c r="D119" s="312" t="s">
        <v>1035</v>
      </c>
      <c r="E119" s="313">
        <v>0</v>
      </c>
      <c r="F119" s="321">
        <v>0</v>
      </c>
      <c r="G119" s="321">
        <v>0</v>
      </c>
      <c r="H119" s="580"/>
    </row>
    <row r="120" spans="1:13" ht="75" customHeight="1" x14ac:dyDescent="0.25">
      <c r="A120" s="311" t="s">
        <v>47</v>
      </c>
      <c r="B120" s="937" t="s">
        <v>861</v>
      </c>
      <c r="C120" s="938"/>
      <c r="D120" s="322" t="s">
        <v>860</v>
      </c>
      <c r="E120" s="313">
        <f>65000-40000</f>
        <v>25000</v>
      </c>
      <c r="F120" s="321">
        <v>67600</v>
      </c>
      <c r="G120" s="321">
        <v>70304</v>
      </c>
      <c r="H120" s="847"/>
      <c r="I120" s="848"/>
      <c r="J120" s="848"/>
      <c r="K120" s="848"/>
      <c r="L120" s="848"/>
      <c r="M120" s="848"/>
    </row>
    <row r="121" spans="1:13" ht="51" customHeight="1" x14ac:dyDescent="0.25">
      <c r="A121" s="311" t="s">
        <v>1098</v>
      </c>
      <c r="B121" s="937" t="s">
        <v>1099</v>
      </c>
      <c r="C121" s="938"/>
      <c r="D121" s="322" t="s">
        <v>1100</v>
      </c>
      <c r="E121" s="313">
        <f>390000-250000</f>
        <v>140000</v>
      </c>
      <c r="F121" s="321">
        <v>405600</v>
      </c>
      <c r="G121" s="321">
        <v>421824</v>
      </c>
      <c r="H121" s="847"/>
      <c r="I121" s="848"/>
      <c r="J121" s="848"/>
      <c r="K121" s="848"/>
      <c r="L121" s="848"/>
      <c r="M121" s="848"/>
    </row>
    <row r="122" spans="1:13" ht="49.9" customHeight="1" x14ac:dyDescent="0.25">
      <c r="A122" s="311" t="s">
        <v>47</v>
      </c>
      <c r="B122" s="937" t="s">
        <v>1465</v>
      </c>
      <c r="C122" s="938"/>
      <c r="D122" s="662" t="s">
        <v>1469</v>
      </c>
      <c r="E122" s="313">
        <v>20000</v>
      </c>
      <c r="F122" s="321">
        <v>0</v>
      </c>
      <c r="G122" s="321">
        <v>0</v>
      </c>
      <c r="H122" s="580"/>
    </row>
    <row r="123" spans="1:13" ht="71.25" customHeight="1" x14ac:dyDescent="0.25">
      <c r="A123" s="311" t="s">
        <v>47</v>
      </c>
      <c r="B123" s="937" t="s">
        <v>700</v>
      </c>
      <c r="C123" s="938"/>
      <c r="D123" s="312" t="s">
        <v>8</v>
      </c>
      <c r="E123" s="313">
        <f>1052384-276621.22</f>
        <v>775762.78</v>
      </c>
      <c r="F123" s="321">
        <v>1094479</v>
      </c>
      <c r="G123" s="321">
        <v>1138258</v>
      </c>
      <c r="H123" s="847"/>
      <c r="I123" s="848"/>
      <c r="J123" s="848"/>
      <c r="K123" s="848"/>
      <c r="L123" s="848"/>
      <c r="M123" s="848"/>
    </row>
    <row r="124" spans="1:13" ht="99" customHeight="1" x14ac:dyDescent="0.25">
      <c r="A124" s="311" t="s">
        <v>47</v>
      </c>
      <c r="B124" s="937" t="s">
        <v>701</v>
      </c>
      <c r="C124" s="938"/>
      <c r="D124" s="312" t="s">
        <v>682</v>
      </c>
      <c r="E124" s="313">
        <f>180858-80858</f>
        <v>100000</v>
      </c>
      <c r="F124" s="321">
        <v>188092</v>
      </c>
      <c r="G124" s="321">
        <v>195616</v>
      </c>
      <c r="H124" s="847"/>
      <c r="I124" s="848"/>
      <c r="J124" s="848"/>
      <c r="K124" s="848"/>
      <c r="L124" s="848"/>
      <c r="M124" s="848"/>
    </row>
    <row r="125" spans="1:13" ht="51.75" hidden="1" customHeight="1" x14ac:dyDescent="0.25">
      <c r="A125" s="311" t="s">
        <v>862</v>
      </c>
      <c r="B125" s="937" t="s">
        <v>1036</v>
      </c>
      <c r="C125" s="938"/>
      <c r="D125" s="312" t="s">
        <v>1037</v>
      </c>
      <c r="E125" s="313">
        <v>0</v>
      </c>
      <c r="F125" s="321">
        <v>0</v>
      </c>
      <c r="G125" s="321">
        <v>0</v>
      </c>
      <c r="H125" s="580"/>
    </row>
    <row r="126" spans="1:13" ht="51.75" customHeight="1" x14ac:dyDescent="0.25">
      <c r="A126" s="311" t="s">
        <v>863</v>
      </c>
      <c r="B126" s="937" t="s">
        <v>700</v>
      </c>
      <c r="C126" s="938"/>
      <c r="D126" s="312" t="s">
        <v>8</v>
      </c>
      <c r="E126" s="313">
        <v>2000</v>
      </c>
      <c r="F126" s="321">
        <v>0</v>
      </c>
      <c r="G126" s="321">
        <v>0</v>
      </c>
      <c r="H126" s="580"/>
      <c r="M126" s="848"/>
    </row>
    <row r="127" spans="1:13" ht="54" customHeight="1" x14ac:dyDescent="0.25">
      <c r="A127" s="311" t="s">
        <v>46</v>
      </c>
      <c r="B127" s="937" t="s">
        <v>9</v>
      </c>
      <c r="C127" s="938"/>
      <c r="D127" s="314" t="s">
        <v>45</v>
      </c>
      <c r="E127" s="313">
        <v>187055</v>
      </c>
      <c r="F127" s="321">
        <v>194537</v>
      </c>
      <c r="G127" s="321">
        <v>202318</v>
      </c>
      <c r="H127" s="580"/>
    </row>
    <row r="128" spans="1:13" ht="53.25" hidden="1" customHeight="1" x14ac:dyDescent="0.25">
      <c r="A128" s="311"/>
      <c r="B128" s="937"/>
      <c r="C128" s="938"/>
      <c r="D128" s="805"/>
      <c r="E128" s="313"/>
      <c r="F128" s="339">
        <v>0</v>
      </c>
      <c r="G128" s="321">
        <v>0</v>
      </c>
      <c r="H128" s="580"/>
    </row>
    <row r="129" spans="1:12" ht="21" hidden="1" customHeight="1" x14ac:dyDescent="0.25">
      <c r="A129" s="311" t="s">
        <v>1038</v>
      </c>
      <c r="B129" s="937" t="s">
        <v>1039</v>
      </c>
      <c r="C129" s="938"/>
      <c r="D129" s="326" t="s">
        <v>1040</v>
      </c>
      <c r="E129" s="313">
        <v>0</v>
      </c>
      <c r="F129" s="339">
        <v>0</v>
      </c>
      <c r="G129" s="321">
        <v>0</v>
      </c>
      <c r="H129" s="580"/>
    </row>
    <row r="130" spans="1:12" ht="21.75" hidden="1" customHeight="1" x14ac:dyDescent="0.25">
      <c r="A130" s="311" t="s">
        <v>863</v>
      </c>
      <c r="B130" s="937" t="s">
        <v>700</v>
      </c>
      <c r="C130" s="938"/>
      <c r="D130" s="312" t="s">
        <v>8</v>
      </c>
      <c r="E130" s="313">
        <v>0</v>
      </c>
      <c r="F130" s="339">
        <v>0</v>
      </c>
      <c r="G130" s="321">
        <v>0</v>
      </c>
      <c r="H130" s="580"/>
    </row>
    <row r="131" spans="1:12" ht="19.5" hidden="1" customHeight="1" x14ac:dyDescent="0.25">
      <c r="A131" s="311" t="s">
        <v>864</v>
      </c>
      <c r="B131" s="937" t="s">
        <v>700</v>
      </c>
      <c r="C131" s="938"/>
      <c r="D131" s="312" t="s">
        <v>8</v>
      </c>
      <c r="E131" s="313">
        <v>0</v>
      </c>
      <c r="F131" s="339">
        <v>0</v>
      </c>
      <c r="G131" s="321">
        <v>0</v>
      </c>
      <c r="H131" s="580"/>
    </row>
    <row r="132" spans="1:12" ht="18.75" hidden="1" customHeight="1" x14ac:dyDescent="0.25">
      <c r="A132" s="315" t="s">
        <v>502</v>
      </c>
      <c r="B132" s="939" t="s">
        <v>865</v>
      </c>
      <c r="C132" s="940"/>
      <c r="D132" s="330" t="s">
        <v>866</v>
      </c>
      <c r="E132" s="317">
        <f>E133</f>
        <v>0</v>
      </c>
      <c r="F132" s="340">
        <v>0</v>
      </c>
      <c r="G132" s="337">
        <v>0</v>
      </c>
      <c r="H132" s="580"/>
    </row>
    <row r="133" spans="1:12" ht="25.5" hidden="1" customHeight="1" x14ac:dyDescent="0.25">
      <c r="A133" s="311" t="s">
        <v>867</v>
      </c>
      <c r="B133" s="937" t="s">
        <v>868</v>
      </c>
      <c r="C133" s="938"/>
      <c r="D133" s="327" t="s">
        <v>17</v>
      </c>
      <c r="E133" s="313">
        <v>0</v>
      </c>
      <c r="F133" s="339">
        <v>0</v>
      </c>
      <c r="G133" s="321">
        <v>0</v>
      </c>
      <c r="H133" s="580"/>
    </row>
    <row r="134" spans="1:12" ht="29.25" customHeight="1" x14ac:dyDescent="0.25">
      <c r="A134" s="311"/>
      <c r="B134" s="937"/>
      <c r="C134" s="938"/>
      <c r="D134" s="324" t="s">
        <v>828</v>
      </c>
      <c r="E134" s="317">
        <f>E15+E20+E30+E40+E47+E50+E73+E83+E101+E132+E80+E97+E99</f>
        <v>219266470.66000003</v>
      </c>
      <c r="F134" s="317">
        <f>F15+F20+F30+F40+F47+F50+F73+F83+F101+F132+F80+F97+F99</f>
        <v>174400499.90000001</v>
      </c>
      <c r="G134" s="323">
        <f>G15+G20+G30+G40+G47+G50+G73+G83+G101+G132+G80+G97+G99</f>
        <v>176889355.21000001</v>
      </c>
      <c r="H134" s="580"/>
    </row>
    <row r="135" spans="1:12" ht="32.25" hidden="1" customHeight="1" x14ac:dyDescent="0.25">
      <c r="A135" s="311"/>
      <c r="B135" s="937"/>
      <c r="C135" s="938"/>
      <c r="D135" s="324"/>
      <c r="E135" s="313"/>
      <c r="F135" s="321"/>
      <c r="G135" s="321"/>
      <c r="H135" s="580"/>
    </row>
    <row r="136" spans="1:12" ht="32.25" customHeight="1" x14ac:dyDescent="0.25">
      <c r="A136" s="315" t="s">
        <v>502</v>
      </c>
      <c r="B136" s="939" t="s">
        <v>833</v>
      </c>
      <c r="C136" s="940"/>
      <c r="D136" s="324" t="s">
        <v>834</v>
      </c>
      <c r="E136" s="317">
        <f>E137+E168</f>
        <v>563209133.39999998</v>
      </c>
      <c r="F136" s="317">
        <f>F138+F139+F143+F150+F154+F156+F158+F159+F160+F161+F162+F164+F168+F155+F157+F152+F145</f>
        <v>581985882.21999991</v>
      </c>
      <c r="G136" s="323">
        <f>G138+G139+G143+G150+G154+G156+G158+G159+G160+G161+G162+G164+G168+G155+G157+G152+G145</f>
        <v>601081007.33999991</v>
      </c>
      <c r="H136" s="580"/>
      <c r="I136" s="334"/>
    </row>
    <row r="137" spans="1:12" ht="57" customHeight="1" x14ac:dyDescent="0.25">
      <c r="A137" s="346" t="s">
        <v>502</v>
      </c>
      <c r="B137" s="947" t="s">
        <v>941</v>
      </c>
      <c r="C137" s="948"/>
      <c r="D137" s="347" t="s">
        <v>942</v>
      </c>
      <c r="E137" s="317">
        <f>E140+E153+E163+E165</f>
        <v>589784248.09000003</v>
      </c>
      <c r="F137" s="317">
        <f>F140+F153+F163+F165</f>
        <v>581985882.21999991</v>
      </c>
      <c r="G137" s="323">
        <f>G140+G153+G163+G165</f>
        <v>601081007.33999991</v>
      </c>
      <c r="H137" s="580"/>
      <c r="J137" s="334"/>
      <c r="K137" s="334"/>
      <c r="L137" s="334"/>
    </row>
    <row r="138" spans="1:12" ht="38.25" customHeight="1" x14ac:dyDescent="0.25">
      <c r="A138" s="311" t="s">
        <v>16</v>
      </c>
      <c r="B138" s="937" t="s">
        <v>1391</v>
      </c>
      <c r="C138" s="938"/>
      <c r="D138" s="331" t="s">
        <v>656</v>
      </c>
      <c r="E138" s="313">
        <v>63426</v>
      </c>
      <c r="F138" s="321">
        <v>71200</v>
      </c>
      <c r="G138" s="321">
        <v>64900</v>
      </c>
      <c r="H138" s="580"/>
    </row>
    <row r="139" spans="1:12" ht="0.75" hidden="1" customHeight="1" x14ac:dyDescent="0.25">
      <c r="A139" s="311" t="s">
        <v>16</v>
      </c>
      <c r="B139" s="937" t="s">
        <v>768</v>
      </c>
      <c r="C139" s="938"/>
      <c r="D139" s="314" t="s">
        <v>841</v>
      </c>
      <c r="E139" s="313">
        <v>0</v>
      </c>
      <c r="F139" s="321">
        <v>0</v>
      </c>
      <c r="G139" s="321">
        <v>0</v>
      </c>
      <c r="H139" s="321"/>
    </row>
    <row r="140" spans="1:12" ht="27" customHeight="1" x14ac:dyDescent="0.25">
      <c r="A140" s="311"/>
      <c r="B140" s="937"/>
      <c r="C140" s="938"/>
      <c r="D140" s="331" t="s">
        <v>843</v>
      </c>
      <c r="E140" s="332">
        <f>E138+E139</f>
        <v>63426</v>
      </c>
      <c r="F140" s="332">
        <f>F138</f>
        <v>71200</v>
      </c>
      <c r="G140" s="704">
        <f>G138</f>
        <v>64900</v>
      </c>
      <c r="H140" s="581"/>
    </row>
    <row r="141" spans="1:12" ht="129" customHeight="1" x14ac:dyDescent="0.25">
      <c r="A141" s="311" t="s">
        <v>15</v>
      </c>
      <c r="B141" s="937" t="s">
        <v>1452</v>
      </c>
      <c r="C141" s="938"/>
      <c r="D141" s="314" t="s">
        <v>1451</v>
      </c>
      <c r="E141" s="313">
        <v>19441179.390000001</v>
      </c>
      <c r="F141" s="332">
        <v>0</v>
      </c>
      <c r="G141" s="704">
        <v>0</v>
      </c>
      <c r="H141" s="581"/>
    </row>
    <row r="142" spans="1:12" ht="100.9" customHeight="1" x14ac:dyDescent="0.25">
      <c r="A142" s="311" t="s">
        <v>15</v>
      </c>
      <c r="B142" s="937" t="s">
        <v>1454</v>
      </c>
      <c r="C142" s="938"/>
      <c r="D142" s="314" t="s">
        <v>1453</v>
      </c>
      <c r="E142" s="313">
        <v>7133935.2999999998</v>
      </c>
      <c r="F142" s="332">
        <v>0</v>
      </c>
      <c r="G142" s="704">
        <v>0</v>
      </c>
      <c r="H142" s="581"/>
    </row>
    <row r="143" spans="1:12" ht="51" customHeight="1" x14ac:dyDescent="0.25">
      <c r="A143" s="311" t="s">
        <v>15</v>
      </c>
      <c r="B143" s="937" t="s">
        <v>1392</v>
      </c>
      <c r="C143" s="938"/>
      <c r="D143" s="314" t="s">
        <v>1387</v>
      </c>
      <c r="E143" s="313">
        <f>1355000+24</f>
        <v>1355024</v>
      </c>
      <c r="F143" s="321">
        <v>0</v>
      </c>
      <c r="G143" s="321">
        <v>0</v>
      </c>
      <c r="H143" s="580"/>
    </row>
    <row r="144" spans="1:12" ht="137.25" hidden="1" customHeight="1" x14ac:dyDescent="0.25">
      <c r="A144" s="311" t="s">
        <v>15</v>
      </c>
      <c r="B144" s="937" t="s">
        <v>1071</v>
      </c>
      <c r="C144" s="938"/>
      <c r="D144" s="312" t="s">
        <v>1072</v>
      </c>
      <c r="E144" s="313">
        <v>0</v>
      </c>
      <c r="F144" s="321">
        <v>0</v>
      </c>
      <c r="G144" s="321">
        <v>0</v>
      </c>
      <c r="H144" s="580"/>
    </row>
    <row r="145" spans="1:12" ht="39.75" customHeight="1" x14ac:dyDescent="0.25">
      <c r="A145" s="311" t="s">
        <v>15</v>
      </c>
      <c r="B145" s="937" t="s">
        <v>1393</v>
      </c>
      <c r="C145" s="938"/>
      <c r="D145" s="314" t="s">
        <v>706</v>
      </c>
      <c r="E145" s="313">
        <v>64000</v>
      </c>
      <c r="F145" s="321">
        <v>631300</v>
      </c>
      <c r="G145" s="321">
        <v>841400</v>
      </c>
      <c r="H145" s="580"/>
    </row>
    <row r="146" spans="1:12" ht="28.5" hidden="1" customHeight="1" x14ac:dyDescent="0.25">
      <c r="A146" s="311" t="s">
        <v>15</v>
      </c>
      <c r="B146" s="937" t="s">
        <v>799</v>
      </c>
      <c r="C146" s="938"/>
      <c r="D146" s="314" t="s">
        <v>1016</v>
      </c>
      <c r="E146" s="313">
        <v>0</v>
      </c>
      <c r="F146" s="321">
        <v>0</v>
      </c>
      <c r="G146" s="321">
        <v>0</v>
      </c>
      <c r="H146" s="580"/>
    </row>
    <row r="147" spans="1:12" ht="27.75" hidden="1" customHeight="1" x14ac:dyDescent="0.25">
      <c r="A147" s="311" t="s">
        <v>15</v>
      </c>
      <c r="B147" s="937" t="s">
        <v>1055</v>
      </c>
      <c r="C147" s="938"/>
      <c r="D147" s="314" t="s">
        <v>1056</v>
      </c>
      <c r="E147" s="313">
        <v>0</v>
      </c>
      <c r="F147" s="321">
        <v>0</v>
      </c>
      <c r="G147" s="321">
        <v>0</v>
      </c>
      <c r="H147" s="580"/>
    </row>
    <row r="148" spans="1:12" ht="34.5" hidden="1" customHeight="1" x14ac:dyDescent="0.25">
      <c r="A148" s="311" t="s">
        <v>18</v>
      </c>
      <c r="B148" s="937" t="s">
        <v>1007</v>
      </c>
      <c r="C148" s="938"/>
      <c r="D148" s="314" t="s">
        <v>1008</v>
      </c>
      <c r="E148" s="313">
        <v>0</v>
      </c>
      <c r="F148" s="321">
        <v>0</v>
      </c>
      <c r="G148" s="321">
        <v>0</v>
      </c>
      <c r="H148" s="580"/>
    </row>
    <row r="149" spans="1:12" ht="34.5" customHeight="1" x14ac:dyDescent="0.25">
      <c r="A149" s="311" t="s">
        <v>15</v>
      </c>
      <c r="B149" s="937" t="s">
        <v>1393</v>
      </c>
      <c r="C149" s="938"/>
      <c r="D149" s="314" t="s">
        <v>706</v>
      </c>
      <c r="E149" s="313">
        <v>2595672.91</v>
      </c>
      <c r="F149" s="321">
        <v>0</v>
      </c>
      <c r="G149" s="321">
        <v>0</v>
      </c>
      <c r="H149" s="580"/>
    </row>
    <row r="150" spans="1:12" ht="41.25" customHeight="1" x14ac:dyDescent="0.25">
      <c r="A150" s="311" t="s">
        <v>16</v>
      </c>
      <c r="B150" s="937" t="s">
        <v>1394</v>
      </c>
      <c r="C150" s="938"/>
      <c r="D150" s="314" t="s">
        <v>1107</v>
      </c>
      <c r="E150" s="313">
        <f>221130900-2408500-22</f>
        <v>218722378</v>
      </c>
      <c r="F150" s="321">
        <f>241484100+21</f>
        <v>241484121</v>
      </c>
      <c r="G150" s="321">
        <f>246034200+45</f>
        <v>246034245</v>
      </c>
      <c r="H150" s="580"/>
    </row>
    <row r="151" spans="1:12" ht="66" customHeight="1" x14ac:dyDescent="0.25">
      <c r="A151" s="311" t="s">
        <v>18</v>
      </c>
      <c r="B151" s="937" t="s">
        <v>1500</v>
      </c>
      <c r="C151" s="938"/>
      <c r="D151" s="314" t="s">
        <v>1501</v>
      </c>
      <c r="E151" s="313">
        <v>3234292.31</v>
      </c>
      <c r="F151" s="339">
        <v>0</v>
      </c>
      <c r="G151" s="321">
        <v>0</v>
      </c>
      <c r="H151" s="580"/>
    </row>
    <row r="152" spans="1:12" ht="36" customHeight="1" x14ac:dyDescent="0.25">
      <c r="A152" s="311" t="s">
        <v>18</v>
      </c>
      <c r="B152" s="937" t="s">
        <v>1393</v>
      </c>
      <c r="C152" s="938"/>
      <c r="D152" s="314" t="s">
        <v>706</v>
      </c>
      <c r="E152" s="313">
        <f>1394300+659200-11.79+32.02</f>
        <v>2053520.23</v>
      </c>
      <c r="F152" s="339">
        <f>246000+1394300-1.98+32.27</f>
        <v>1640330.29</v>
      </c>
      <c r="G152" s="321">
        <f>327800+411600+39.67+43.14</f>
        <v>739482.81</v>
      </c>
      <c r="H152" s="580"/>
    </row>
    <row r="153" spans="1:12" ht="30.75" customHeight="1" x14ac:dyDescent="0.25">
      <c r="A153" s="311"/>
      <c r="B153" s="943"/>
      <c r="C153" s="944"/>
      <c r="D153" s="314" t="s">
        <v>843</v>
      </c>
      <c r="E153" s="332">
        <f>E143+E150+E145+E148+E146+E147+E144+E152+E141+E142+E151+E149</f>
        <v>254600002.14000002</v>
      </c>
      <c r="F153" s="332">
        <f>F143+F150+F152+F145</f>
        <v>243755751.28999999</v>
      </c>
      <c r="G153" s="704">
        <f>G143+G150+G152+G145</f>
        <v>247615127.81</v>
      </c>
      <c r="H153" s="580"/>
    </row>
    <row r="154" spans="1:12" ht="78.75" customHeight="1" x14ac:dyDescent="0.25">
      <c r="A154" s="311" t="s">
        <v>15</v>
      </c>
      <c r="B154" s="937" t="s">
        <v>1395</v>
      </c>
      <c r="C154" s="938"/>
      <c r="D154" s="314" t="s">
        <v>702</v>
      </c>
      <c r="E154" s="313">
        <f>6320200-40+1053360</f>
        <v>7373520</v>
      </c>
      <c r="F154" s="321">
        <v>5266800</v>
      </c>
      <c r="G154" s="321">
        <v>5266800</v>
      </c>
      <c r="H154" s="580"/>
      <c r="J154" s="334"/>
      <c r="K154" s="334"/>
    </row>
    <row r="155" spans="1:12" ht="65.25" customHeight="1" x14ac:dyDescent="0.25">
      <c r="A155" s="195" t="s">
        <v>15</v>
      </c>
      <c r="B155" s="928" t="s">
        <v>1396</v>
      </c>
      <c r="C155" s="929"/>
      <c r="D155" s="272" t="s">
        <v>940</v>
      </c>
      <c r="E155" s="197">
        <f>27900-8</f>
        <v>27892</v>
      </c>
      <c r="F155" s="321">
        <f>29400+5</f>
        <v>29405</v>
      </c>
      <c r="G155" s="321">
        <f>31100+53</f>
        <v>31153</v>
      </c>
      <c r="H155" s="580"/>
      <c r="J155" s="334"/>
      <c r="K155" s="334"/>
      <c r="L155" s="334"/>
    </row>
    <row r="156" spans="1:12" ht="37.5" customHeight="1" x14ac:dyDescent="0.25">
      <c r="A156" s="333" t="s">
        <v>15</v>
      </c>
      <c r="B156" s="937" t="s">
        <v>1397</v>
      </c>
      <c r="C156" s="938"/>
      <c r="D156" s="331" t="s">
        <v>185</v>
      </c>
      <c r="E156" s="313">
        <f>88860286.09+63776.87+18.95+6135.71+6135.71-27680275.22+6151.71+370.18+42.64-26.53+21.43-26.53-42.53+8361841.85</f>
        <v>69624410.329999998</v>
      </c>
      <c r="F156" s="321">
        <f>87107200+584400+21900+573400+573400+29.82-24.78-18.95+63776.87+18.95+29535.71+29535.71-27680275.22+29551.71+370.18+21.43+42.64+27.66+27.66+11.66</f>
        <v>61332931.049999975</v>
      </c>
      <c r="G156" s="321">
        <f>87107200+21900+573400+584400+573400+29.82-24.78-18.95+63776.87+18.95+70735.71+70735.71-27680275.22+70651.71+370.18-18500-18600-18600+21.43+42.64-29.38-29.38-45.38</f>
        <v>61400559.929999977</v>
      </c>
      <c r="H156" s="580"/>
      <c r="I156" s="334"/>
      <c r="J156" s="334"/>
      <c r="K156" s="334"/>
    </row>
    <row r="157" spans="1:12" ht="51" customHeight="1" x14ac:dyDescent="0.25">
      <c r="A157" s="333" t="s">
        <v>1108</v>
      </c>
      <c r="B157" s="937" t="s">
        <v>1398</v>
      </c>
      <c r="C157" s="938"/>
      <c r="D157" s="314" t="s">
        <v>1109</v>
      </c>
      <c r="E157" s="313">
        <f>2402100+6-573729.13</f>
        <v>1828376.87</v>
      </c>
      <c r="F157" s="321">
        <f>2432700-13</f>
        <v>2432687</v>
      </c>
      <c r="G157" s="321">
        <f>2452200+25</f>
        <v>2452225</v>
      </c>
      <c r="H157" s="580"/>
      <c r="I157" s="334"/>
      <c r="J157" s="334"/>
      <c r="K157" s="334"/>
    </row>
    <row r="158" spans="1:12" ht="92.25" customHeight="1" x14ac:dyDescent="0.25">
      <c r="A158" s="311" t="s">
        <v>18</v>
      </c>
      <c r="B158" s="943" t="s">
        <v>1399</v>
      </c>
      <c r="C158" s="944"/>
      <c r="D158" s="314" t="s">
        <v>703</v>
      </c>
      <c r="E158" s="313">
        <f>12028800-8.33+460608.33+27.7</f>
        <v>12489427.699999999</v>
      </c>
      <c r="F158" s="321">
        <f>12028800-8.33+460608.33+27.7</f>
        <v>12489427.699999999</v>
      </c>
      <c r="G158" s="321">
        <f>12028800-8.33+460608.33+27.7</f>
        <v>12489427.699999999</v>
      </c>
      <c r="H158" s="580"/>
    </row>
    <row r="159" spans="1:12" ht="66" customHeight="1" x14ac:dyDescent="0.25">
      <c r="A159" s="311" t="s">
        <v>18</v>
      </c>
      <c r="B159" s="943" t="s">
        <v>1397</v>
      </c>
      <c r="C159" s="944"/>
      <c r="D159" s="314" t="s">
        <v>704</v>
      </c>
      <c r="E159" s="313">
        <f>501700+35.91</f>
        <v>501735.91</v>
      </c>
      <c r="F159" s="321">
        <v>1046600</v>
      </c>
      <c r="G159" s="321">
        <f>1032100+42.52+537757.48</f>
        <v>1569900</v>
      </c>
      <c r="H159" s="580"/>
    </row>
    <row r="160" spans="1:12" ht="32.25" customHeight="1" x14ac:dyDescent="0.25">
      <c r="A160" s="311" t="s">
        <v>18</v>
      </c>
      <c r="B160" s="943" t="s">
        <v>1397</v>
      </c>
      <c r="C160" s="944"/>
      <c r="D160" s="331" t="s">
        <v>185</v>
      </c>
      <c r="E160" s="313">
        <f>1750200+116800+37.12-8.85+63801.73+56007.12-56437.12+300-37700+20.42+77.96</f>
        <v>1893098.38</v>
      </c>
      <c r="F160" s="321">
        <f>1750200+120900+6.05-8.85+63801.73-4068.93+127807.12-53737.12-39100-17.02</f>
        <v>1965782.98</v>
      </c>
      <c r="G160" s="321">
        <f>1750200+120900+6.05-8.85+63801.73+254007.12-57806.05-97700+11.86</f>
        <v>2033411.86</v>
      </c>
      <c r="H160" s="580"/>
    </row>
    <row r="161" spans="1:14" ht="65.25" customHeight="1" x14ac:dyDescent="0.3">
      <c r="A161" s="311" t="s">
        <v>18</v>
      </c>
      <c r="B161" s="945" t="s">
        <v>1400</v>
      </c>
      <c r="C161" s="946"/>
      <c r="D161" s="800" t="s">
        <v>186</v>
      </c>
      <c r="E161" s="313">
        <f>13315800+36.49+13363.51+36.14</f>
        <v>13329236.140000001</v>
      </c>
      <c r="F161" s="321">
        <f>13315836.49+471063.51-100</f>
        <v>13786800</v>
      </c>
      <c r="G161" s="321">
        <f>13391400+395400</f>
        <v>13786800</v>
      </c>
      <c r="H161" s="580"/>
    </row>
    <row r="162" spans="1:14" ht="62.25" customHeight="1" x14ac:dyDescent="0.3">
      <c r="A162" s="311" t="s">
        <v>18</v>
      </c>
      <c r="B162" s="945" t="s">
        <v>1397</v>
      </c>
      <c r="C162" s="946"/>
      <c r="D162" s="335" t="s">
        <v>705</v>
      </c>
      <c r="E162" s="313">
        <f>209192387.76+15301412.24+22.62</f>
        <v>224493822.62</v>
      </c>
      <c r="F162" s="321">
        <f>216832762.19+22399737.81-2.8</f>
        <v>239232497.19999999</v>
      </c>
      <c r="G162" s="321">
        <f>216832800-37.81+44759037.81-7797100+2.04</f>
        <v>253794702.03999999</v>
      </c>
      <c r="H162" s="580"/>
    </row>
    <row r="163" spans="1:14" ht="22.5" customHeight="1" x14ac:dyDescent="0.3">
      <c r="A163" s="311"/>
      <c r="B163" s="945"/>
      <c r="C163" s="946"/>
      <c r="D163" s="335" t="s">
        <v>843</v>
      </c>
      <c r="E163" s="332">
        <f>E154+E156+E158+E159+E160+E161+E162+E155+E157</f>
        <v>331561519.94999999</v>
      </c>
      <c r="F163" s="332">
        <f>F154+F156+F158+F159+F160+F161+F162+F155+F157</f>
        <v>337582930.92999995</v>
      </c>
      <c r="G163" s="704">
        <f>G154+G156+G158+G159+G160+G161+G162+G155+G157</f>
        <v>352824979.52999997</v>
      </c>
      <c r="H163" s="580"/>
      <c r="J163" s="334"/>
      <c r="K163" s="334"/>
      <c r="N163" s="334"/>
    </row>
    <row r="164" spans="1:14" ht="84" customHeight="1" x14ac:dyDescent="0.25">
      <c r="A164" s="311" t="s">
        <v>16</v>
      </c>
      <c r="B164" s="937" t="s">
        <v>1401</v>
      </c>
      <c r="C164" s="938"/>
      <c r="D164" s="335" t="s">
        <v>714</v>
      </c>
      <c r="E164" s="313">
        <f>624996+2580000+100000+73304+100000+40000+40000+1000</f>
        <v>3559300</v>
      </c>
      <c r="F164" s="321">
        <v>576000</v>
      </c>
      <c r="G164" s="321">
        <v>576000</v>
      </c>
      <c r="H164" s="580"/>
    </row>
    <row r="165" spans="1:14" ht="21.75" customHeight="1" x14ac:dyDescent="0.25">
      <c r="A165" s="311"/>
      <c r="B165" s="937"/>
      <c r="C165" s="938"/>
      <c r="D165" s="335" t="s">
        <v>842</v>
      </c>
      <c r="E165" s="332">
        <f>E164</f>
        <v>3559300</v>
      </c>
      <c r="F165" s="341">
        <f>F164</f>
        <v>576000</v>
      </c>
      <c r="G165" s="341">
        <f>G164</f>
        <v>576000</v>
      </c>
      <c r="H165" s="580"/>
    </row>
    <row r="166" spans="1:14" ht="34.5" hidden="1" customHeight="1" x14ac:dyDescent="0.25">
      <c r="A166" s="311" t="s">
        <v>15</v>
      </c>
      <c r="B166" s="937" t="s">
        <v>875</v>
      </c>
      <c r="C166" s="938"/>
      <c r="D166" s="335" t="s">
        <v>876</v>
      </c>
      <c r="E166" s="313">
        <v>0</v>
      </c>
      <c r="F166" s="321">
        <v>0</v>
      </c>
      <c r="G166" s="321">
        <v>0</v>
      </c>
      <c r="H166" s="580"/>
    </row>
    <row r="167" spans="1:14" ht="23.25" hidden="1" customHeight="1" x14ac:dyDescent="0.25">
      <c r="A167" s="311"/>
      <c r="B167" s="937"/>
      <c r="C167" s="938"/>
      <c r="D167" s="335" t="s">
        <v>842</v>
      </c>
      <c r="E167" s="332">
        <f>E166</f>
        <v>0</v>
      </c>
      <c r="F167" s="341">
        <v>0</v>
      </c>
      <c r="G167" s="341">
        <v>0</v>
      </c>
      <c r="H167" s="580"/>
    </row>
    <row r="168" spans="1:14" ht="72.75" customHeight="1" x14ac:dyDescent="0.25">
      <c r="A168" s="333" t="s">
        <v>15</v>
      </c>
      <c r="B168" s="937" t="s">
        <v>1402</v>
      </c>
      <c r="C168" s="938"/>
      <c r="D168" s="314" t="s">
        <v>753</v>
      </c>
      <c r="E168" s="313">
        <v>-26575114.690000001</v>
      </c>
      <c r="F168" s="321">
        <v>0</v>
      </c>
      <c r="G168" s="321">
        <v>0</v>
      </c>
      <c r="H168" s="580"/>
    </row>
    <row r="169" spans="1:14" ht="32.25" customHeight="1" x14ac:dyDescent="0.25">
      <c r="A169" s="333"/>
      <c r="B169" s="937"/>
      <c r="C169" s="938"/>
      <c r="D169" s="324" t="s">
        <v>834</v>
      </c>
      <c r="E169" s="313">
        <f>E140+E153+E163+E165</f>
        <v>589784248.09000003</v>
      </c>
      <c r="F169" s="313">
        <f>F140+F153+F163+F165</f>
        <v>581985882.21999991</v>
      </c>
      <c r="G169" s="702">
        <f>G140+G153+G163+G165</f>
        <v>601081007.33999991</v>
      </c>
      <c r="H169" s="580"/>
    </row>
    <row r="170" spans="1:14" ht="31.5" customHeight="1" x14ac:dyDescent="0.25">
      <c r="A170" s="311"/>
      <c r="B170" s="943"/>
      <c r="C170" s="944"/>
      <c r="D170" s="324" t="s">
        <v>835</v>
      </c>
      <c r="E170" s="323">
        <f>E134+E136</f>
        <v>782475604.05999994</v>
      </c>
      <c r="F170" s="323">
        <f>F13+F169</f>
        <v>756386382.11999989</v>
      </c>
      <c r="G170" s="323">
        <f>G13+G169</f>
        <v>777970362.54999995</v>
      </c>
      <c r="H170" s="580"/>
    </row>
    <row r="171" spans="1:14" ht="14.25" customHeight="1" x14ac:dyDescent="0.25"/>
    <row r="172" spans="1:14" ht="15.75" hidden="1" customHeight="1" x14ac:dyDescent="0.25"/>
    <row r="173" spans="1:14" hidden="1" x14ac:dyDescent="0.25">
      <c r="A173" s="336"/>
      <c r="B173" s="824"/>
      <c r="C173" s="825" t="s">
        <v>15</v>
      </c>
      <c r="D173" s="824"/>
      <c r="E173" s="824">
        <f>E143+E154+E156+E168+E133+E145+E166+E70+E155+E146+E147+E141+E142+E102+E103+E71+E149</f>
        <v>83275994.979999989</v>
      </c>
      <c r="F173" s="824">
        <f>F143+F154+F156+F168</f>
        <v>66599731.049999975</v>
      </c>
      <c r="G173" s="824">
        <f>G143+G154+G156+G168</f>
        <v>66667359.929999977</v>
      </c>
    </row>
    <row r="174" spans="1:14" ht="26.25" hidden="1" customHeight="1" x14ac:dyDescent="0.25">
      <c r="A174" s="336"/>
      <c r="C174" s="825" t="s">
        <v>16</v>
      </c>
      <c r="D174" s="824"/>
      <c r="E174" s="824">
        <f>E138+E139+E52+E164+E157+E150</f>
        <v>224273480.87</v>
      </c>
      <c r="F174" s="824">
        <f>F138+F139+F52+F164</f>
        <v>647200</v>
      </c>
      <c r="G174" s="824">
        <f>G138+G139+G52+G164</f>
        <v>640900</v>
      </c>
    </row>
    <row r="175" spans="1:14" hidden="1" x14ac:dyDescent="0.25">
      <c r="A175" s="336"/>
      <c r="C175" s="825" t="s">
        <v>18</v>
      </c>
      <c r="D175" s="824"/>
      <c r="E175" s="824">
        <f>E158+E159+E160+E161+E162+E81+E148+E152+E151</f>
        <v>258015133.28999999</v>
      </c>
      <c r="F175" s="824">
        <f>F150+F158+F159+F160+F161+F162</f>
        <v>510005228.87999994</v>
      </c>
      <c r="G175" s="824">
        <f>G150+G158+G159+G160+G161+G162</f>
        <v>529708486.60000002</v>
      </c>
    </row>
    <row r="176" spans="1:14" hidden="1" x14ac:dyDescent="0.25">
      <c r="A176" s="336"/>
      <c r="C176" s="825" t="s">
        <v>19</v>
      </c>
      <c r="D176" s="824"/>
      <c r="E176" s="824">
        <f>E54+E59+E64+E72+E85+E88+E92+E106+E62+E98+E66+E68+E108+E49+E100+E55+E104+E82</f>
        <v>23234460.219999999</v>
      </c>
      <c r="F176" s="824">
        <f>F54+F56+F59+F64+F72+F85+F88+F89+F92</f>
        <v>6350000</v>
      </c>
      <c r="G176" s="824">
        <f>G54+G56+G59+G64+G72+G85+G88+G89+G92</f>
        <v>6350000</v>
      </c>
    </row>
    <row r="177" spans="1:7" hidden="1" x14ac:dyDescent="0.25">
      <c r="A177" s="336"/>
      <c r="C177" s="825" t="s">
        <v>715</v>
      </c>
      <c r="D177" s="824"/>
      <c r="E177" s="824">
        <f>E16+E17+E18+E22+E24+E26+E28+E35+E36+E39+E44+E48+E75+E76+E77+E78+E109+E111+E114+E115+E118+E123+E124+E125+E127+E37+E57+E60+E61+E63+E94+E95+E96+E107+E112+E113+E117+E120+E121+E129+E130+E131+E116+E46+E56+E58+E79+E89+E90+E91+E110+E119+E105+E32+E25+E23+E19+E27+E29+E33+E42+E122+E45+E126</f>
        <v>193676534.69999999</v>
      </c>
      <c r="F177" s="824">
        <f>F16+F17+F18+F22+F24+F26+F28+F35+F36+F39+F44+F48+F75+F76+F77+F78+F109+F111+F114+F115+F118+F123+F124+F125+F127</f>
        <v>134148054.69000001</v>
      </c>
      <c r="G177" s="824">
        <f>G16+G17+G18+G22+G24+G26+G28+G35+G36+G39+G44+G48+G75+G76+G77+G78+G109+G111+G114+G115+G118+G123+G124+G125+G127</f>
        <v>136475508</v>
      </c>
    </row>
    <row r="178" spans="1:7" hidden="1" x14ac:dyDescent="0.25">
      <c r="A178" s="336"/>
      <c r="D178" s="824"/>
      <c r="E178" s="824">
        <f>E173+E174+E175+E176+E177</f>
        <v>782475604.05999994</v>
      </c>
      <c r="F178" s="824">
        <f>F173+F174+F175+F176+F177</f>
        <v>717750214.62</v>
      </c>
      <c r="G178" s="824">
        <f>G173+G174+G175+G176+G177</f>
        <v>739842254.52999997</v>
      </c>
    </row>
    <row r="179" spans="1:7" hidden="1" x14ac:dyDescent="0.25">
      <c r="C179" s="825" t="s">
        <v>717</v>
      </c>
      <c r="D179" s="824"/>
      <c r="E179" s="824">
        <f>E138+E139+E143+E150+E154+E156+E158+E159+E160+E161+E162+E164+E166+E145+E155+E146+E148+E147+E144</f>
        <v>553497271.07999992</v>
      </c>
      <c r="F179" s="824">
        <f>F138+F139+F143+F150+F154+F156+F158+F159+F160+F161+F162+F164</f>
        <v>577252159.92999995</v>
      </c>
      <c r="G179" s="824">
        <f>G138+G139+G143+G150+G154+G156+G158+G159+G160+G161+G162+G164</f>
        <v>597016746.52999997</v>
      </c>
    </row>
    <row r="180" spans="1:7" hidden="1" x14ac:dyDescent="0.25">
      <c r="C180" s="825" t="s">
        <v>844</v>
      </c>
      <c r="D180" s="824"/>
      <c r="E180" s="824">
        <f>E13</f>
        <v>219266470.66000003</v>
      </c>
      <c r="F180" s="824">
        <f>F13</f>
        <v>174400499.90000001</v>
      </c>
      <c r="G180" s="824">
        <f>G13</f>
        <v>176889355.21000001</v>
      </c>
    </row>
    <row r="181" spans="1:7" hidden="1" x14ac:dyDescent="0.25">
      <c r="C181" s="825" t="s">
        <v>754</v>
      </c>
      <c r="E181" s="824">
        <f>E179+E168</f>
        <v>526922156.38999993</v>
      </c>
      <c r="F181" s="824">
        <f>F179+F168</f>
        <v>577252159.92999995</v>
      </c>
      <c r="G181" s="824">
        <f>G179+G168</f>
        <v>597016746.52999997</v>
      </c>
    </row>
    <row r="182" spans="1:7" hidden="1" x14ac:dyDescent="0.25">
      <c r="D182" s="824"/>
    </row>
    <row r="183" spans="1:7" hidden="1" x14ac:dyDescent="0.25">
      <c r="E183" s="824"/>
    </row>
    <row r="184" spans="1:7" hidden="1" x14ac:dyDescent="0.25">
      <c r="E184" s="824"/>
    </row>
    <row r="185" spans="1:7" hidden="1" x14ac:dyDescent="0.25">
      <c r="E185" s="824">
        <f>E174+E177</f>
        <v>417950015.56999999</v>
      </c>
    </row>
    <row r="186" spans="1:7" hidden="1" x14ac:dyDescent="0.25">
      <c r="E186" s="823" t="s">
        <v>905</v>
      </c>
    </row>
    <row r="187" spans="1:7" hidden="1" x14ac:dyDescent="0.25">
      <c r="D187" s="823">
        <v>1</v>
      </c>
      <c r="E187" s="824">
        <f>E133</f>
        <v>0</v>
      </c>
    </row>
    <row r="188" spans="1:7" hidden="1" x14ac:dyDescent="0.25">
      <c r="D188" s="823">
        <v>3</v>
      </c>
      <c r="E188" s="824">
        <f>E81</f>
        <v>20000</v>
      </c>
    </row>
    <row r="189" spans="1:7" hidden="1" x14ac:dyDescent="0.25">
      <c r="D189" s="823">
        <v>14</v>
      </c>
      <c r="E189" s="824">
        <f>E54+E56+E62+E72+E85+E88+E89+E92+E98+E106+E59+E64</f>
        <v>12650000</v>
      </c>
    </row>
    <row r="190" spans="1:7" hidden="1" x14ac:dyDescent="0.25">
      <c r="D190" s="823">
        <v>2</v>
      </c>
      <c r="E190" s="824">
        <f>E13-E187-E188-E189</f>
        <v>206596470.66000003</v>
      </c>
    </row>
    <row r="191" spans="1:7" hidden="1" x14ac:dyDescent="0.25"/>
    <row r="192" spans="1:7" hidden="1" x14ac:dyDescent="0.25"/>
    <row r="193" spans="5:7" hidden="1" x14ac:dyDescent="0.25">
      <c r="E193" s="824">
        <f>E13+E140</f>
        <v>219329896.66000003</v>
      </c>
      <c r="F193" s="824">
        <f>F13+F140</f>
        <v>174471699.90000001</v>
      </c>
      <c r="G193" s="824">
        <f>G13+G140</f>
        <v>176954255.21000001</v>
      </c>
    </row>
    <row r="194" spans="5:7" hidden="1" x14ac:dyDescent="0.25"/>
    <row r="195" spans="5:7" hidden="1" x14ac:dyDescent="0.25">
      <c r="E195" s="823">
        <f>(П1ИВФ!C18/П2ДОХОДЫ!E13)*100</f>
        <v>1.0763159514978804</v>
      </c>
    </row>
    <row r="196" spans="5:7" ht="14.25" hidden="1" customHeight="1" x14ac:dyDescent="0.25"/>
    <row r="197" spans="5:7" hidden="1" x14ac:dyDescent="0.25">
      <c r="E197" s="824">
        <f>E134+E140</f>
        <v>219329896.66000003</v>
      </c>
      <c r="F197" s="824">
        <f>F134+F140</f>
        <v>174471699.90000001</v>
      </c>
      <c r="G197" s="824">
        <f>G134+G140</f>
        <v>176954255.21000001</v>
      </c>
    </row>
    <row r="198" spans="5:7" hidden="1" x14ac:dyDescent="0.25"/>
    <row r="199" spans="5:7" hidden="1" x14ac:dyDescent="0.25"/>
    <row r="200" spans="5:7" hidden="1" x14ac:dyDescent="0.25"/>
    <row r="201" spans="5:7" hidden="1" x14ac:dyDescent="0.25"/>
    <row r="202" spans="5:7" hidden="1" x14ac:dyDescent="0.25"/>
    <row r="203" spans="5:7" hidden="1" x14ac:dyDescent="0.25">
      <c r="E203" s="823">
        <f>П1ИВФ!C21/П2ДОХОДЫ!E13*100</f>
        <v>58.991556962929948</v>
      </c>
    </row>
    <row r="204" spans="5:7" hidden="1" x14ac:dyDescent="0.25"/>
    <row r="205" spans="5:7" hidden="1" x14ac:dyDescent="0.25">
      <c r="E205" s="824">
        <f>E140+E13</f>
        <v>219329896.66000003</v>
      </c>
      <c r="F205" s="824">
        <f>F140+F13</f>
        <v>174471699.90000001</v>
      </c>
      <c r="G205" s="824">
        <f>G140+G13</f>
        <v>176954255.21000001</v>
      </c>
    </row>
  </sheetData>
  <mergeCells count="160">
    <mergeCell ref="B151:C151"/>
    <mergeCell ref="B149:C149"/>
    <mergeCell ref="B45:C45"/>
    <mergeCell ref="B33:C33"/>
    <mergeCell ref="B41:C41"/>
    <mergeCell ref="B42:C42"/>
    <mergeCell ref="B122:C122"/>
    <mergeCell ref="B128:C128"/>
    <mergeCell ref="B102:C102"/>
    <mergeCell ref="B103:C103"/>
    <mergeCell ref="B141:C141"/>
    <mergeCell ref="B76:C76"/>
    <mergeCell ref="B77:C77"/>
    <mergeCell ref="B88:C88"/>
    <mergeCell ref="B89:C89"/>
    <mergeCell ref="B92:C92"/>
    <mergeCell ref="B75:C75"/>
    <mergeCell ref="B86:C86"/>
    <mergeCell ref="B87:C87"/>
    <mergeCell ref="B90:C90"/>
    <mergeCell ref="B91:C91"/>
    <mergeCell ref="B111:C111"/>
    <mergeCell ref="B114:C114"/>
    <mergeCell ref="B115:C115"/>
    <mergeCell ref="B62:C62"/>
    <mergeCell ref="B63:C63"/>
    <mergeCell ref="B71:C71"/>
    <mergeCell ref="B131:C131"/>
    <mergeCell ref="B83:C83"/>
    <mergeCell ref="B85:C85"/>
    <mergeCell ref="B69:C69"/>
    <mergeCell ref="B74:C74"/>
    <mergeCell ref="B84:C84"/>
    <mergeCell ref="B80:C80"/>
    <mergeCell ref="B81:C81"/>
    <mergeCell ref="B95:C95"/>
    <mergeCell ref="B96:C96"/>
    <mergeCell ref="B93:C93"/>
    <mergeCell ref="B82:C82"/>
    <mergeCell ref="B126:C126"/>
    <mergeCell ref="B19:C19"/>
    <mergeCell ref="B157:C157"/>
    <mergeCell ref="B59:C59"/>
    <mergeCell ref="B64:C64"/>
    <mergeCell ref="B58:C58"/>
    <mergeCell ref="B65:C65"/>
    <mergeCell ref="B61:C61"/>
    <mergeCell ref="B52:C52"/>
    <mergeCell ref="B49:C49"/>
    <mergeCell ref="B51:C51"/>
    <mergeCell ref="B53:C53"/>
    <mergeCell ref="B43:C43"/>
    <mergeCell ref="B44:C44"/>
    <mergeCell ref="B47:C47"/>
    <mergeCell ref="B48:C48"/>
    <mergeCell ref="B50:C50"/>
    <mergeCell ref="B54:C54"/>
    <mergeCell ref="B46:C46"/>
    <mergeCell ref="B94:C94"/>
    <mergeCell ref="B55:C55"/>
    <mergeCell ref="B119:C119"/>
    <mergeCell ref="B98:C98"/>
    <mergeCell ref="B142:C142"/>
    <mergeCell ref="B79:C79"/>
    <mergeCell ref="A7:E7"/>
    <mergeCell ref="B12:C12"/>
    <mergeCell ref="B30:C30"/>
    <mergeCell ref="B35:C35"/>
    <mergeCell ref="B13:C13"/>
    <mergeCell ref="B36:C36"/>
    <mergeCell ref="B40:C40"/>
    <mergeCell ref="B26:C26"/>
    <mergeCell ref="B14:C14"/>
    <mergeCell ref="B15:C15"/>
    <mergeCell ref="B18:C18"/>
    <mergeCell ref="B16:C16"/>
    <mergeCell ref="B17:C17"/>
    <mergeCell ref="B34:C34"/>
    <mergeCell ref="B37:C37"/>
    <mergeCell ref="B20:C20"/>
    <mergeCell ref="B21:C21"/>
    <mergeCell ref="B22:C22"/>
    <mergeCell ref="B24:C24"/>
    <mergeCell ref="B28:C28"/>
    <mergeCell ref="B31:C31"/>
    <mergeCell ref="B32:C32"/>
    <mergeCell ref="B27:C27"/>
    <mergeCell ref="B29:C29"/>
    <mergeCell ref="B38:C38"/>
    <mergeCell ref="B39:C39"/>
    <mergeCell ref="B97:C97"/>
    <mergeCell ref="B106:C106"/>
    <mergeCell ref="B107:C107"/>
    <mergeCell ref="B112:C112"/>
    <mergeCell ref="B104:C104"/>
    <mergeCell ref="B105:C105"/>
    <mergeCell ref="B101:C101"/>
    <mergeCell ref="B110:C110"/>
    <mergeCell ref="B109:C109"/>
    <mergeCell ref="B108:C108"/>
    <mergeCell ref="B99:C99"/>
    <mergeCell ref="B100:C100"/>
    <mergeCell ref="B67:C67"/>
    <mergeCell ref="B68:C68"/>
    <mergeCell ref="B72:C72"/>
    <mergeCell ref="B78:C78"/>
    <mergeCell ref="B73:C73"/>
    <mergeCell ref="B57:C57"/>
    <mergeCell ref="B70:C70"/>
    <mergeCell ref="B60:C60"/>
    <mergeCell ref="B56:C56"/>
    <mergeCell ref="B66:C66"/>
    <mergeCell ref="B170:C170"/>
    <mergeCell ref="B161:C161"/>
    <mergeCell ref="B162:C162"/>
    <mergeCell ref="B164:C164"/>
    <mergeCell ref="B168:C168"/>
    <mergeCell ref="B169:C169"/>
    <mergeCell ref="B166:C166"/>
    <mergeCell ref="B167:C167"/>
    <mergeCell ref="B137:C137"/>
    <mergeCell ref="B145:C145"/>
    <mergeCell ref="B153:C153"/>
    <mergeCell ref="B163:C163"/>
    <mergeCell ref="B165:C165"/>
    <mergeCell ref="B138:C138"/>
    <mergeCell ref="B139:C139"/>
    <mergeCell ref="B155:C155"/>
    <mergeCell ref="B143:C143"/>
    <mergeCell ref="B158:C158"/>
    <mergeCell ref="B159:C159"/>
    <mergeCell ref="B148:C148"/>
    <mergeCell ref="B146:C146"/>
    <mergeCell ref="B160:C160"/>
    <mergeCell ref="B154:C154"/>
    <mergeCell ref="B156:C156"/>
    <mergeCell ref="B23:C23"/>
    <mergeCell ref="B25:C25"/>
    <mergeCell ref="B152:C152"/>
    <mergeCell ref="B150:C150"/>
    <mergeCell ref="B133:C133"/>
    <mergeCell ref="B134:C134"/>
    <mergeCell ref="B140:C140"/>
    <mergeCell ref="B113:C113"/>
    <mergeCell ref="B117:C117"/>
    <mergeCell ref="B136:C136"/>
    <mergeCell ref="B135:C135"/>
    <mergeCell ref="B127:C127"/>
    <mergeCell ref="B116:C116"/>
    <mergeCell ref="B132:C132"/>
    <mergeCell ref="B125:C125"/>
    <mergeCell ref="B124:C124"/>
    <mergeCell ref="B147:C147"/>
    <mergeCell ref="B144:C144"/>
    <mergeCell ref="B118:C118"/>
    <mergeCell ref="B123:C123"/>
    <mergeCell ref="B120:C120"/>
    <mergeCell ref="B121:C121"/>
    <mergeCell ref="B129:C129"/>
    <mergeCell ref="B130:C130"/>
  </mergeCell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5"/>
  <sheetViews>
    <sheetView topLeftCell="B1" zoomScale="80" zoomScaleNormal="80" workbookViewId="0">
      <selection activeCell="B5" sqref="B5:X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7" max="27" width="17.140625"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7" x14ac:dyDescent="0.25">
      <c r="W1" s="236" t="s">
        <v>1432</v>
      </c>
    </row>
    <row r="2" spans="1:27" x14ac:dyDescent="0.25">
      <c r="W2" s="236" t="s">
        <v>30</v>
      </c>
    </row>
    <row r="3" spans="1:27" x14ac:dyDescent="0.25">
      <c r="W3" s="236" t="s">
        <v>256</v>
      </c>
    </row>
    <row r="4" spans="1:27" ht="15.75" x14ac:dyDescent="0.25">
      <c r="W4" s="2" t="s">
        <v>1541</v>
      </c>
    </row>
    <row r="5" spans="1:27" ht="54" customHeight="1" x14ac:dyDescent="0.25">
      <c r="A5" s="125"/>
      <c r="B5" s="960" t="s">
        <v>1127</v>
      </c>
      <c r="C5" s="960"/>
      <c r="D5" s="960"/>
      <c r="E5" s="960"/>
      <c r="F5" s="960"/>
      <c r="G5" s="960"/>
      <c r="H5" s="960"/>
      <c r="I5" s="960"/>
      <c r="J5" s="960"/>
      <c r="K5" s="960"/>
      <c r="L5" s="960"/>
      <c r="M5" s="960"/>
      <c r="N5" s="960"/>
      <c r="O5" s="960"/>
      <c r="P5" s="960"/>
      <c r="Q5" s="960"/>
      <c r="R5" s="960"/>
      <c r="S5" s="960"/>
      <c r="T5" s="960"/>
      <c r="U5" s="960"/>
      <c r="V5" s="960"/>
      <c r="W5" s="960"/>
      <c r="X5" s="960"/>
    </row>
    <row r="7" spans="1:27"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1"/>
      <c r="W7" s="111" t="s">
        <v>262</v>
      </c>
      <c r="X7" s="111"/>
    </row>
    <row r="8" spans="1:27" x14ac:dyDescent="0.25">
      <c r="A8" s="961" t="s">
        <v>1</v>
      </c>
      <c r="B8" s="961" t="s">
        <v>263</v>
      </c>
      <c r="C8" s="961" t="s">
        <v>264</v>
      </c>
      <c r="D8" s="961" t="s">
        <v>197</v>
      </c>
      <c r="E8" s="961" t="s">
        <v>197</v>
      </c>
      <c r="F8" s="961" t="s">
        <v>197</v>
      </c>
      <c r="G8" s="961" t="s">
        <v>197</v>
      </c>
      <c r="H8" s="961" t="s">
        <v>197</v>
      </c>
      <c r="I8" s="961" t="s">
        <v>197</v>
      </c>
      <c r="J8" s="961" t="s">
        <v>197</v>
      </c>
      <c r="K8" s="961" t="s">
        <v>197</v>
      </c>
      <c r="L8" s="961" t="s">
        <v>197</v>
      </c>
      <c r="M8" s="961" t="s">
        <v>197</v>
      </c>
      <c r="N8" s="961" t="s">
        <v>197</v>
      </c>
      <c r="O8" s="961" t="s">
        <v>197</v>
      </c>
      <c r="P8" s="961" t="s">
        <v>197</v>
      </c>
      <c r="Q8" s="961" t="s">
        <v>197</v>
      </c>
      <c r="R8" s="961" t="s">
        <v>197</v>
      </c>
      <c r="S8" s="961" t="s">
        <v>225</v>
      </c>
      <c r="T8" s="961" t="s">
        <v>1</v>
      </c>
      <c r="U8" s="961" t="s">
        <v>523</v>
      </c>
      <c r="V8" s="961" t="s">
        <v>907</v>
      </c>
      <c r="W8" s="961" t="s">
        <v>1091</v>
      </c>
      <c r="X8" s="962" t="s">
        <v>1</v>
      </c>
    </row>
    <row r="9" spans="1:27" x14ac:dyDescent="0.25">
      <c r="A9" s="961"/>
      <c r="B9" s="961" t="s">
        <v>497</v>
      </c>
      <c r="C9" s="961" t="s">
        <v>498</v>
      </c>
      <c r="D9" s="961" t="s">
        <v>499</v>
      </c>
      <c r="E9" s="961" t="s">
        <v>499</v>
      </c>
      <c r="F9" s="961" t="s">
        <v>499</v>
      </c>
      <c r="G9" s="961" t="s">
        <v>499</v>
      </c>
      <c r="H9" s="961" t="s">
        <v>499</v>
      </c>
      <c r="I9" s="961" t="s">
        <v>499</v>
      </c>
      <c r="J9" s="961" t="s">
        <v>499</v>
      </c>
      <c r="K9" s="961" t="s">
        <v>499</v>
      </c>
      <c r="L9" s="961" t="s">
        <v>499</v>
      </c>
      <c r="M9" s="961" t="s">
        <v>499</v>
      </c>
      <c r="N9" s="961" t="s">
        <v>499</v>
      </c>
      <c r="O9" s="961" t="s">
        <v>499</v>
      </c>
      <c r="P9" s="961" t="s">
        <v>499</v>
      </c>
      <c r="Q9" s="961" t="s">
        <v>499</v>
      </c>
      <c r="R9" s="961" t="s">
        <v>499</v>
      </c>
      <c r="S9" s="961" t="s">
        <v>500</v>
      </c>
      <c r="T9" s="961"/>
      <c r="U9" s="961"/>
      <c r="V9" s="961" t="s">
        <v>268</v>
      </c>
      <c r="W9" s="961" t="s">
        <v>268</v>
      </c>
      <c r="X9" s="962"/>
    </row>
    <row r="10" spans="1:27" hidden="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5"/>
    </row>
    <row r="11" spans="1:27" ht="37.15" customHeight="1" x14ac:dyDescent="0.25">
      <c r="A11" s="116" t="s">
        <v>270</v>
      </c>
      <c r="B11" s="126" t="s">
        <v>122</v>
      </c>
      <c r="C11" s="126" t="s">
        <v>133</v>
      </c>
      <c r="D11" s="126"/>
      <c r="E11" s="126"/>
      <c r="F11" s="126"/>
      <c r="G11" s="126"/>
      <c r="H11" s="126"/>
      <c r="I11" s="126"/>
      <c r="J11" s="126"/>
      <c r="K11" s="126"/>
      <c r="L11" s="126"/>
      <c r="M11" s="126"/>
      <c r="N11" s="126"/>
      <c r="O11" s="126"/>
      <c r="P11" s="126"/>
      <c r="Q11" s="126"/>
      <c r="R11" s="126"/>
      <c r="S11" s="126"/>
      <c r="T11" s="116" t="s">
        <v>270</v>
      </c>
      <c r="U11" s="117">
        <f>U12+U15+U22+U35+U38+U53+U56+U51</f>
        <v>134234719.09</v>
      </c>
      <c r="V11" s="117">
        <f>V12+V15+V22+V35+V38+V53+V56+V51</f>
        <v>99198129.629999995</v>
      </c>
      <c r="W11" s="117">
        <f>W12+W15+W22+W35+W38+W53+W56+W51</f>
        <v>99113714.700000003</v>
      </c>
      <c r="X11" s="116" t="s">
        <v>270</v>
      </c>
    </row>
    <row r="12" spans="1:27" ht="74.45" customHeight="1" x14ac:dyDescent="0.25">
      <c r="A12" s="118" t="s">
        <v>247</v>
      </c>
      <c r="B12" s="176" t="s">
        <v>122</v>
      </c>
      <c r="C12" s="176" t="s">
        <v>132</v>
      </c>
      <c r="D12" s="176"/>
      <c r="E12" s="176"/>
      <c r="F12" s="176"/>
      <c r="G12" s="176"/>
      <c r="H12" s="176"/>
      <c r="I12" s="176"/>
      <c r="J12" s="176"/>
      <c r="K12" s="176"/>
      <c r="L12" s="176"/>
      <c r="M12" s="176"/>
      <c r="N12" s="176"/>
      <c r="O12" s="176"/>
      <c r="P12" s="176"/>
      <c r="Q12" s="176"/>
      <c r="R12" s="176"/>
      <c r="S12" s="176"/>
      <c r="T12" s="177" t="s">
        <v>247</v>
      </c>
      <c r="U12" s="171">
        <f t="shared" ref="U12:W13" si="0">U13</f>
        <v>2316632.7599999998</v>
      </c>
      <c r="V12" s="171">
        <f t="shared" si="0"/>
        <v>1554484</v>
      </c>
      <c r="W12" s="171">
        <f t="shared" si="0"/>
        <v>1554484</v>
      </c>
      <c r="X12" s="118" t="s">
        <v>247</v>
      </c>
    </row>
    <row r="13" spans="1:27" ht="108" customHeight="1" x14ac:dyDescent="0.25">
      <c r="A13" s="118" t="s">
        <v>236</v>
      </c>
      <c r="B13" s="119" t="s">
        <v>122</v>
      </c>
      <c r="C13" s="119" t="s">
        <v>132</v>
      </c>
      <c r="D13" s="134" t="s">
        <v>524</v>
      </c>
      <c r="E13" s="119"/>
      <c r="F13" s="119"/>
      <c r="G13" s="119"/>
      <c r="H13" s="119"/>
      <c r="I13" s="119"/>
      <c r="J13" s="119"/>
      <c r="K13" s="119"/>
      <c r="L13" s="119"/>
      <c r="M13" s="119"/>
      <c r="N13" s="119"/>
      <c r="O13" s="119"/>
      <c r="P13" s="119"/>
      <c r="Q13" s="119"/>
      <c r="R13" s="119"/>
      <c r="S13" s="119"/>
      <c r="T13" s="118" t="s">
        <v>236</v>
      </c>
      <c r="U13" s="120">
        <f t="shared" si="0"/>
        <v>2316632.7599999998</v>
      </c>
      <c r="V13" s="120">
        <f t="shared" si="0"/>
        <v>1554484</v>
      </c>
      <c r="W13" s="120">
        <f t="shared" si="0"/>
        <v>1554484</v>
      </c>
      <c r="X13" s="118" t="s">
        <v>236</v>
      </c>
      <c r="AA13" s="127"/>
    </row>
    <row r="14" spans="1:27" ht="99" customHeight="1" x14ac:dyDescent="0.25">
      <c r="A14" s="124" t="s">
        <v>271</v>
      </c>
      <c r="B14" s="119" t="s">
        <v>122</v>
      </c>
      <c r="C14" s="119" t="s">
        <v>132</v>
      </c>
      <c r="D14" s="134" t="s">
        <v>524</v>
      </c>
      <c r="E14" s="119"/>
      <c r="F14" s="119"/>
      <c r="G14" s="119"/>
      <c r="H14" s="119"/>
      <c r="I14" s="119"/>
      <c r="J14" s="119"/>
      <c r="K14" s="119"/>
      <c r="L14" s="119"/>
      <c r="M14" s="119"/>
      <c r="N14" s="119"/>
      <c r="O14" s="119"/>
      <c r="P14" s="119"/>
      <c r="Q14" s="119"/>
      <c r="R14" s="119"/>
      <c r="S14" s="119" t="s">
        <v>38</v>
      </c>
      <c r="T14" s="124" t="s">
        <v>726</v>
      </c>
      <c r="U14" s="120">
        <f>П4ВСР!Z15</f>
        <v>2316632.7599999998</v>
      </c>
      <c r="V14" s="120">
        <f>П4ВСР!AA15</f>
        <v>1554484</v>
      </c>
      <c r="W14" s="120">
        <f>П4ВСР!AB15</f>
        <v>1554484</v>
      </c>
      <c r="X14" s="124" t="s">
        <v>271</v>
      </c>
      <c r="AA14" s="127"/>
    </row>
    <row r="15" spans="1:27" ht="93" customHeight="1" x14ac:dyDescent="0.25">
      <c r="A15" s="118" t="s">
        <v>248</v>
      </c>
      <c r="B15" s="176" t="s">
        <v>122</v>
      </c>
      <c r="C15" s="176" t="s">
        <v>123</v>
      </c>
      <c r="D15" s="176"/>
      <c r="E15" s="176"/>
      <c r="F15" s="176"/>
      <c r="G15" s="176"/>
      <c r="H15" s="176"/>
      <c r="I15" s="176"/>
      <c r="J15" s="176"/>
      <c r="K15" s="176"/>
      <c r="L15" s="176"/>
      <c r="M15" s="176"/>
      <c r="N15" s="176"/>
      <c r="O15" s="176"/>
      <c r="P15" s="176"/>
      <c r="Q15" s="176"/>
      <c r="R15" s="176"/>
      <c r="S15" s="176"/>
      <c r="T15" s="177" t="s">
        <v>248</v>
      </c>
      <c r="U15" s="171">
        <f>U16+U18</f>
        <v>3605818.53</v>
      </c>
      <c r="V15" s="171">
        <f>V16+V18</f>
        <v>2993545.12</v>
      </c>
      <c r="W15" s="171">
        <f>W16+W18</f>
        <v>2993545.12</v>
      </c>
      <c r="X15" s="118" t="s">
        <v>248</v>
      </c>
      <c r="AA15" s="127"/>
    </row>
    <row r="16" spans="1:27" ht="120" customHeight="1" x14ac:dyDescent="0.25">
      <c r="A16" s="118" t="s">
        <v>237</v>
      </c>
      <c r="B16" s="119" t="s">
        <v>122</v>
      </c>
      <c r="C16" s="119" t="s">
        <v>123</v>
      </c>
      <c r="D16" s="134" t="s">
        <v>525</v>
      </c>
      <c r="E16" s="119"/>
      <c r="F16" s="119"/>
      <c r="G16" s="119"/>
      <c r="H16" s="119"/>
      <c r="I16" s="119"/>
      <c r="J16" s="119"/>
      <c r="K16" s="119"/>
      <c r="L16" s="119"/>
      <c r="M16" s="119"/>
      <c r="N16" s="119"/>
      <c r="O16" s="119"/>
      <c r="P16" s="119"/>
      <c r="Q16" s="119"/>
      <c r="R16" s="119"/>
      <c r="S16" s="119"/>
      <c r="T16" s="118" t="s">
        <v>237</v>
      </c>
      <c r="U16" s="120">
        <f>U17</f>
        <v>1860661.41</v>
      </c>
      <c r="V16" s="120">
        <f>V17</f>
        <v>1398388</v>
      </c>
      <c r="W16" s="120">
        <f>W17</f>
        <v>1398388</v>
      </c>
      <c r="X16" s="118" t="s">
        <v>237</v>
      </c>
    </row>
    <row r="17" spans="1:24" ht="115.5" customHeight="1" x14ac:dyDescent="0.25">
      <c r="A17" s="124" t="s">
        <v>272</v>
      </c>
      <c r="B17" s="122" t="s">
        <v>122</v>
      </c>
      <c r="C17" s="122" t="s">
        <v>123</v>
      </c>
      <c r="D17" s="134" t="s">
        <v>525</v>
      </c>
      <c r="E17" s="122"/>
      <c r="F17" s="122"/>
      <c r="G17" s="122"/>
      <c r="H17" s="122"/>
      <c r="I17" s="122"/>
      <c r="J17" s="122"/>
      <c r="K17" s="122"/>
      <c r="L17" s="122"/>
      <c r="M17" s="122"/>
      <c r="N17" s="122"/>
      <c r="O17" s="122"/>
      <c r="P17" s="122"/>
      <c r="Q17" s="122"/>
      <c r="R17" s="122"/>
      <c r="S17" s="122" t="s">
        <v>38</v>
      </c>
      <c r="T17" s="121" t="s">
        <v>726</v>
      </c>
      <c r="U17" s="120">
        <f>П4ВСР!Z18</f>
        <v>1860661.41</v>
      </c>
      <c r="V17" s="120">
        <f>П4ВСР!AA18</f>
        <v>1398388</v>
      </c>
      <c r="W17" s="120">
        <f>П4ВСР!AB18</f>
        <v>1398388</v>
      </c>
      <c r="X17" s="124" t="s">
        <v>272</v>
      </c>
    </row>
    <row r="18" spans="1:24" ht="93" customHeight="1" x14ac:dyDescent="0.25">
      <c r="A18" s="118" t="s">
        <v>238</v>
      </c>
      <c r="B18" s="119" t="s">
        <v>122</v>
      </c>
      <c r="C18" s="119" t="s">
        <v>123</v>
      </c>
      <c r="D18" s="134" t="s">
        <v>526</v>
      </c>
      <c r="E18" s="119"/>
      <c r="F18" s="119"/>
      <c r="G18" s="119"/>
      <c r="H18" s="119"/>
      <c r="I18" s="119"/>
      <c r="J18" s="119"/>
      <c r="K18" s="119"/>
      <c r="L18" s="119"/>
      <c r="M18" s="119"/>
      <c r="N18" s="119"/>
      <c r="O18" s="119"/>
      <c r="P18" s="119"/>
      <c r="Q18" s="119"/>
      <c r="R18" s="119"/>
      <c r="S18" s="119"/>
      <c r="T18" s="118" t="s">
        <v>238</v>
      </c>
      <c r="U18" s="120">
        <f>U19+U20+U21</f>
        <v>1745157.1199999999</v>
      </c>
      <c r="V18" s="120">
        <f>V19+V20+V21</f>
        <v>1595157.1199999999</v>
      </c>
      <c r="W18" s="120">
        <f>W19+W20+W21</f>
        <v>1595157.1199999999</v>
      </c>
      <c r="X18" s="118" t="s">
        <v>238</v>
      </c>
    </row>
    <row r="19" spans="1:24" ht="111" customHeight="1" x14ac:dyDescent="0.25">
      <c r="A19" s="124" t="s">
        <v>273</v>
      </c>
      <c r="B19" s="122" t="s">
        <v>122</v>
      </c>
      <c r="C19" s="122" t="s">
        <v>123</v>
      </c>
      <c r="D19" s="134" t="s">
        <v>526</v>
      </c>
      <c r="E19" s="122"/>
      <c r="F19" s="122"/>
      <c r="G19" s="122"/>
      <c r="H19" s="122"/>
      <c r="I19" s="122"/>
      <c r="J19" s="122"/>
      <c r="K19" s="122"/>
      <c r="L19" s="122"/>
      <c r="M19" s="122"/>
      <c r="N19" s="122"/>
      <c r="O19" s="122"/>
      <c r="P19" s="122"/>
      <c r="Q19" s="122"/>
      <c r="R19" s="122"/>
      <c r="S19" s="122" t="s">
        <v>38</v>
      </c>
      <c r="T19" s="121" t="s">
        <v>726</v>
      </c>
      <c r="U19" s="120">
        <f>П4ВСР!Z20</f>
        <v>1377587.25</v>
      </c>
      <c r="V19" s="120">
        <f>П4ВСР!AA20</f>
        <v>1377587.25</v>
      </c>
      <c r="W19" s="120">
        <f>П4ВСР!AB20</f>
        <v>1377587.25</v>
      </c>
      <c r="X19" s="124" t="s">
        <v>273</v>
      </c>
    </row>
    <row r="20" spans="1:24" ht="50.25" customHeight="1" x14ac:dyDescent="0.25">
      <c r="A20" s="118" t="s">
        <v>274</v>
      </c>
      <c r="B20" s="136" t="s">
        <v>122</v>
      </c>
      <c r="C20" s="136" t="s">
        <v>123</v>
      </c>
      <c r="D20" s="134" t="s">
        <v>526</v>
      </c>
      <c r="E20" s="136"/>
      <c r="F20" s="136"/>
      <c r="G20" s="136"/>
      <c r="H20" s="136"/>
      <c r="I20" s="136"/>
      <c r="J20" s="136"/>
      <c r="K20" s="136"/>
      <c r="L20" s="136"/>
      <c r="M20" s="136"/>
      <c r="N20" s="136"/>
      <c r="O20" s="136"/>
      <c r="P20" s="136"/>
      <c r="Q20" s="136"/>
      <c r="R20" s="136"/>
      <c r="S20" s="136" t="s">
        <v>275</v>
      </c>
      <c r="T20" s="135" t="s">
        <v>565</v>
      </c>
      <c r="U20" s="120">
        <f>П4ВСР!Z21</f>
        <v>359573.22</v>
      </c>
      <c r="V20" s="120">
        <f>П4ВСР!AA21</f>
        <v>209573.22</v>
      </c>
      <c r="W20" s="120">
        <f>П4ВСР!AB21</f>
        <v>209573.22</v>
      </c>
      <c r="X20" s="118" t="s">
        <v>274</v>
      </c>
    </row>
    <row r="21" spans="1:24" ht="32.25" customHeight="1" x14ac:dyDescent="0.25">
      <c r="A21" s="118" t="s">
        <v>276</v>
      </c>
      <c r="B21" s="136" t="s">
        <v>122</v>
      </c>
      <c r="C21" s="136" t="s">
        <v>123</v>
      </c>
      <c r="D21" s="134" t="s">
        <v>526</v>
      </c>
      <c r="E21" s="136"/>
      <c r="F21" s="136"/>
      <c r="G21" s="136"/>
      <c r="H21" s="136"/>
      <c r="I21" s="136"/>
      <c r="J21" s="136"/>
      <c r="K21" s="136"/>
      <c r="L21" s="136"/>
      <c r="M21" s="136"/>
      <c r="N21" s="136"/>
      <c r="O21" s="136"/>
      <c r="P21" s="136"/>
      <c r="Q21" s="136"/>
      <c r="R21" s="136"/>
      <c r="S21" s="136" t="s">
        <v>243</v>
      </c>
      <c r="T21" s="123" t="s">
        <v>763</v>
      </c>
      <c r="U21" s="120">
        <f>П4ВСР!Z22</f>
        <v>7996.65</v>
      </c>
      <c r="V21" s="120">
        <f>П4ВСР!AA22</f>
        <v>7996.65</v>
      </c>
      <c r="W21" s="120">
        <f>П4ВСР!AB22</f>
        <v>7996.65</v>
      </c>
      <c r="X21" s="118" t="s">
        <v>276</v>
      </c>
    </row>
    <row r="22" spans="1:24" ht="92.25" customHeight="1" x14ac:dyDescent="0.25">
      <c r="A22" s="118" t="s">
        <v>249</v>
      </c>
      <c r="B22" s="176" t="s">
        <v>122</v>
      </c>
      <c r="C22" s="176" t="s">
        <v>136</v>
      </c>
      <c r="D22" s="139"/>
      <c r="E22" s="178"/>
      <c r="F22" s="178"/>
      <c r="G22" s="178"/>
      <c r="H22" s="178"/>
      <c r="I22" s="178"/>
      <c r="J22" s="178"/>
      <c r="K22" s="178"/>
      <c r="L22" s="178"/>
      <c r="M22" s="178"/>
      <c r="N22" s="178"/>
      <c r="O22" s="178"/>
      <c r="P22" s="178"/>
      <c r="Q22" s="178"/>
      <c r="R22" s="178"/>
      <c r="S22" s="178"/>
      <c r="T22" s="177" t="s">
        <v>249</v>
      </c>
      <c r="U22" s="171">
        <f>U23+U25+U32+U30</f>
        <v>29492830.620000005</v>
      </c>
      <c r="V22" s="171">
        <f>V23+V25+V32+V30</f>
        <v>30947252.790000003</v>
      </c>
      <c r="W22" s="171">
        <f>W23+W25+W32+W30</f>
        <v>30947252.790000003</v>
      </c>
      <c r="X22" s="118" t="s">
        <v>249</v>
      </c>
    </row>
    <row r="23" spans="1:24" ht="153.75" hidden="1" customHeight="1" x14ac:dyDescent="0.25">
      <c r="A23" s="118" t="s">
        <v>277</v>
      </c>
      <c r="B23" s="119" t="s">
        <v>122</v>
      </c>
      <c r="C23" s="119" t="s">
        <v>136</v>
      </c>
      <c r="D23" s="234" t="s">
        <v>1000</v>
      </c>
      <c r="E23" s="119"/>
      <c r="F23" s="119"/>
      <c r="G23" s="119"/>
      <c r="H23" s="119"/>
      <c r="I23" s="119"/>
      <c r="J23" s="119"/>
      <c r="K23" s="119"/>
      <c r="L23" s="119"/>
      <c r="M23" s="119"/>
      <c r="N23" s="119"/>
      <c r="O23" s="119"/>
      <c r="P23" s="119"/>
      <c r="Q23" s="119"/>
      <c r="R23" s="119"/>
      <c r="S23" s="119"/>
      <c r="T23" s="474" t="s">
        <v>998</v>
      </c>
      <c r="U23" s="120">
        <f>U24</f>
        <v>0</v>
      </c>
      <c r="V23" s="120">
        <f>V24</f>
        <v>0</v>
      </c>
      <c r="W23" s="120">
        <f>W24</f>
        <v>0</v>
      </c>
      <c r="X23" s="118" t="s">
        <v>277</v>
      </c>
    </row>
    <row r="24" spans="1:24" ht="83.25" hidden="1" customHeight="1" x14ac:dyDescent="0.25">
      <c r="A24" s="118" t="s">
        <v>278</v>
      </c>
      <c r="B24" s="122" t="s">
        <v>122</v>
      </c>
      <c r="C24" s="122" t="s">
        <v>136</v>
      </c>
      <c r="D24" s="234" t="s">
        <v>1000</v>
      </c>
      <c r="E24" s="122"/>
      <c r="F24" s="122"/>
      <c r="G24" s="122"/>
      <c r="H24" s="122"/>
      <c r="I24" s="122"/>
      <c r="J24" s="122"/>
      <c r="K24" s="122"/>
      <c r="L24" s="122"/>
      <c r="M24" s="122"/>
      <c r="N24" s="122"/>
      <c r="O24" s="122"/>
      <c r="P24" s="122"/>
      <c r="Q24" s="122"/>
      <c r="R24" s="122"/>
      <c r="S24" s="122" t="s">
        <v>275</v>
      </c>
      <c r="T24" s="135" t="s">
        <v>999</v>
      </c>
      <c r="U24" s="120">
        <f>П4ВСР!Z25</f>
        <v>0</v>
      </c>
      <c r="V24" s="120">
        <f>П4ВСР!AA25</f>
        <v>0</v>
      </c>
      <c r="W24" s="120">
        <f>П4ВСР!AB25</f>
        <v>0</v>
      </c>
      <c r="X24" s="118" t="s">
        <v>278</v>
      </c>
    </row>
    <row r="25" spans="1:24" ht="156.75" customHeight="1" x14ac:dyDescent="0.25">
      <c r="A25" s="118" t="s">
        <v>279</v>
      </c>
      <c r="B25" s="119" t="s">
        <v>122</v>
      </c>
      <c r="C25" s="119" t="s">
        <v>136</v>
      </c>
      <c r="D25" s="134" t="s">
        <v>527</v>
      </c>
      <c r="E25" s="119"/>
      <c r="F25" s="119"/>
      <c r="G25" s="119"/>
      <c r="H25" s="119"/>
      <c r="I25" s="119"/>
      <c r="J25" s="119"/>
      <c r="K25" s="119"/>
      <c r="L25" s="119"/>
      <c r="M25" s="119"/>
      <c r="N25" s="119"/>
      <c r="O25" s="119"/>
      <c r="P25" s="119"/>
      <c r="Q25" s="119"/>
      <c r="R25" s="119"/>
      <c r="S25" s="119"/>
      <c r="T25" s="153" t="s">
        <v>1237</v>
      </c>
      <c r="U25" s="120">
        <f>U26+U27+U29+U28</f>
        <v>29342830.620000005</v>
      </c>
      <c r="V25" s="120">
        <f>V26+V27+V29+V28</f>
        <v>30797252.790000003</v>
      </c>
      <c r="W25" s="120">
        <f>W26+W27+W29+W28</f>
        <v>30797252.790000003</v>
      </c>
      <c r="X25" s="118" t="s">
        <v>279</v>
      </c>
    </row>
    <row r="26" spans="1:24" ht="105" customHeight="1" x14ac:dyDescent="0.25">
      <c r="A26" s="124" t="s">
        <v>280</v>
      </c>
      <c r="B26" s="122" t="s">
        <v>122</v>
      </c>
      <c r="C26" s="122" t="s">
        <v>136</v>
      </c>
      <c r="D26" s="134" t="s">
        <v>527</v>
      </c>
      <c r="E26" s="122"/>
      <c r="F26" s="122"/>
      <c r="G26" s="122"/>
      <c r="H26" s="122"/>
      <c r="I26" s="122"/>
      <c r="J26" s="122"/>
      <c r="K26" s="122"/>
      <c r="L26" s="122"/>
      <c r="M26" s="122"/>
      <c r="N26" s="122"/>
      <c r="O26" s="122"/>
      <c r="P26" s="122"/>
      <c r="Q26" s="122"/>
      <c r="R26" s="122"/>
      <c r="S26" s="122" t="s">
        <v>38</v>
      </c>
      <c r="T26" s="154" t="s">
        <v>726</v>
      </c>
      <c r="U26" s="120">
        <f>П4ВСР!Z27</f>
        <v>24723512.950000003</v>
      </c>
      <c r="V26" s="120">
        <f>П4ВСР!AA27</f>
        <v>26127935.120000001</v>
      </c>
      <c r="W26" s="120">
        <f>П4ВСР!AB27</f>
        <v>26127935.120000001</v>
      </c>
      <c r="X26" s="124" t="s">
        <v>280</v>
      </c>
    </row>
    <row r="27" spans="1:24" ht="59.25" customHeight="1" x14ac:dyDescent="0.25">
      <c r="A27" s="118" t="s">
        <v>281</v>
      </c>
      <c r="B27" s="122" t="s">
        <v>122</v>
      </c>
      <c r="C27" s="122" t="s">
        <v>136</v>
      </c>
      <c r="D27" s="134" t="s">
        <v>527</v>
      </c>
      <c r="E27" s="122"/>
      <c r="F27" s="122"/>
      <c r="G27" s="122"/>
      <c r="H27" s="122"/>
      <c r="I27" s="122"/>
      <c r="J27" s="122"/>
      <c r="K27" s="122"/>
      <c r="L27" s="122"/>
      <c r="M27" s="122"/>
      <c r="N27" s="122"/>
      <c r="O27" s="122"/>
      <c r="P27" s="122"/>
      <c r="Q27" s="122"/>
      <c r="R27" s="122"/>
      <c r="S27" s="122" t="s">
        <v>275</v>
      </c>
      <c r="T27" s="135" t="s">
        <v>565</v>
      </c>
      <c r="U27" s="120">
        <f>П4ВСР!Z28</f>
        <v>4393266.4800000004</v>
      </c>
      <c r="V27" s="120">
        <f>П4ВСР!AA28</f>
        <v>4393266.4799999995</v>
      </c>
      <c r="W27" s="120">
        <f>П4ВСР!AB28</f>
        <v>4393266.4799999995</v>
      </c>
      <c r="X27" s="118" t="s">
        <v>281</v>
      </c>
    </row>
    <row r="28" spans="1:24" ht="47.25" customHeight="1" x14ac:dyDescent="0.25">
      <c r="A28" s="118"/>
      <c r="B28" s="122" t="s">
        <v>122</v>
      </c>
      <c r="C28" s="122" t="s">
        <v>136</v>
      </c>
      <c r="D28" s="134" t="s">
        <v>527</v>
      </c>
      <c r="E28" s="122"/>
      <c r="F28" s="122"/>
      <c r="G28" s="122"/>
      <c r="H28" s="122"/>
      <c r="I28" s="122"/>
      <c r="J28" s="122"/>
      <c r="K28" s="122"/>
      <c r="L28" s="122"/>
      <c r="M28" s="122"/>
      <c r="N28" s="122"/>
      <c r="O28" s="122"/>
      <c r="P28" s="122"/>
      <c r="Q28" s="122"/>
      <c r="R28" s="122"/>
      <c r="S28" s="122" t="s">
        <v>393</v>
      </c>
      <c r="T28" s="135" t="s">
        <v>730</v>
      </c>
      <c r="U28" s="120">
        <f>П4ВСР!Z29</f>
        <v>10000</v>
      </c>
      <c r="V28" s="120">
        <f>П4ВСР!AA29</f>
        <v>10000</v>
      </c>
      <c r="W28" s="120">
        <f>П4ВСР!AB29</f>
        <v>10000</v>
      </c>
      <c r="X28" s="118"/>
    </row>
    <row r="29" spans="1:24" ht="27.75" customHeight="1" x14ac:dyDescent="0.25">
      <c r="A29" s="118" t="s">
        <v>282</v>
      </c>
      <c r="B29" s="122" t="s">
        <v>122</v>
      </c>
      <c r="C29" s="122" t="s">
        <v>136</v>
      </c>
      <c r="D29" s="134" t="s">
        <v>527</v>
      </c>
      <c r="E29" s="122"/>
      <c r="F29" s="122"/>
      <c r="G29" s="122"/>
      <c r="H29" s="122"/>
      <c r="I29" s="122"/>
      <c r="J29" s="122"/>
      <c r="K29" s="122"/>
      <c r="L29" s="122"/>
      <c r="M29" s="122"/>
      <c r="N29" s="122"/>
      <c r="O29" s="122"/>
      <c r="P29" s="122"/>
      <c r="Q29" s="122"/>
      <c r="R29" s="122"/>
      <c r="S29" s="122" t="s">
        <v>243</v>
      </c>
      <c r="T29" s="123" t="s">
        <v>763</v>
      </c>
      <c r="U29" s="120">
        <f>П4ВСР!Z30</f>
        <v>216051.19</v>
      </c>
      <c r="V29" s="120">
        <f>П4ВСР!AA30</f>
        <v>266051.19</v>
      </c>
      <c r="W29" s="120">
        <f>П4ВСР!AB30</f>
        <v>266051.19</v>
      </c>
      <c r="X29" s="118" t="s">
        <v>282</v>
      </c>
    </row>
    <row r="30" spans="1:24" s="275" customFormat="1" ht="83.25" hidden="1" customHeight="1" x14ac:dyDescent="0.25">
      <c r="A30" s="228"/>
      <c r="B30" s="136" t="s">
        <v>122</v>
      </c>
      <c r="C30" s="136" t="s">
        <v>136</v>
      </c>
      <c r="D30" s="234" t="s">
        <v>870</v>
      </c>
      <c r="E30" s="136"/>
      <c r="F30" s="136"/>
      <c r="G30" s="136"/>
      <c r="H30" s="136"/>
      <c r="I30" s="136"/>
      <c r="J30" s="136"/>
      <c r="K30" s="136"/>
      <c r="L30" s="136"/>
      <c r="M30" s="136"/>
      <c r="N30" s="136"/>
      <c r="O30" s="136"/>
      <c r="P30" s="136"/>
      <c r="Q30" s="136"/>
      <c r="R30" s="136"/>
      <c r="S30" s="136"/>
      <c r="T30" s="153" t="s">
        <v>871</v>
      </c>
      <c r="U30" s="221">
        <f>U31</f>
        <v>0</v>
      </c>
      <c r="V30" s="221">
        <f t="shared" ref="V30:W30" si="1">V31</f>
        <v>0</v>
      </c>
      <c r="W30" s="221">
        <f t="shared" si="1"/>
        <v>0</v>
      </c>
      <c r="X30" s="228"/>
    </row>
    <row r="31" spans="1:24" s="275" customFormat="1" ht="77.25" hidden="1" customHeight="1" x14ac:dyDescent="0.25">
      <c r="A31" s="228"/>
      <c r="B31" s="136" t="s">
        <v>122</v>
      </c>
      <c r="C31" s="136" t="s">
        <v>136</v>
      </c>
      <c r="D31" s="234" t="s">
        <v>870</v>
      </c>
      <c r="E31" s="136"/>
      <c r="F31" s="136"/>
      <c r="G31" s="136"/>
      <c r="H31" s="136"/>
      <c r="I31" s="136"/>
      <c r="J31" s="136"/>
      <c r="K31" s="136"/>
      <c r="L31" s="136"/>
      <c r="M31" s="136"/>
      <c r="N31" s="136"/>
      <c r="O31" s="136"/>
      <c r="P31" s="136"/>
      <c r="Q31" s="136"/>
      <c r="R31" s="136"/>
      <c r="S31" s="136" t="s">
        <v>275</v>
      </c>
      <c r="T31" s="135" t="s">
        <v>281</v>
      </c>
      <c r="U31" s="221">
        <f>П4ВСР!Z32</f>
        <v>0</v>
      </c>
      <c r="V31" s="221">
        <v>0</v>
      </c>
      <c r="W31" s="221">
        <v>0</v>
      </c>
      <c r="X31" s="228"/>
    </row>
    <row r="32" spans="1:24" ht="79.5" customHeight="1" x14ac:dyDescent="0.25">
      <c r="A32" s="118" t="s">
        <v>283</v>
      </c>
      <c r="B32" s="119" t="s">
        <v>122</v>
      </c>
      <c r="C32" s="119" t="s">
        <v>136</v>
      </c>
      <c r="D32" s="134" t="s">
        <v>528</v>
      </c>
      <c r="E32" s="119"/>
      <c r="F32" s="119"/>
      <c r="G32" s="119"/>
      <c r="H32" s="119"/>
      <c r="I32" s="119"/>
      <c r="J32" s="119"/>
      <c r="K32" s="119"/>
      <c r="L32" s="119"/>
      <c r="M32" s="119"/>
      <c r="N32" s="119"/>
      <c r="O32" s="119"/>
      <c r="P32" s="119"/>
      <c r="Q32" s="119"/>
      <c r="R32" s="119"/>
      <c r="S32" s="119"/>
      <c r="T32" s="118" t="s">
        <v>283</v>
      </c>
      <c r="U32" s="120">
        <f>U33+U34</f>
        <v>150000</v>
      </c>
      <c r="V32" s="120">
        <f>V33+V34</f>
        <v>150000</v>
      </c>
      <c r="W32" s="120">
        <f>W33+W34</f>
        <v>150000</v>
      </c>
      <c r="X32" s="118" t="s">
        <v>283</v>
      </c>
    </row>
    <row r="33" spans="1:24" ht="117" customHeight="1" x14ac:dyDescent="0.25">
      <c r="A33" s="124" t="s">
        <v>284</v>
      </c>
      <c r="B33" s="122" t="s">
        <v>122</v>
      </c>
      <c r="C33" s="122" t="s">
        <v>136</v>
      </c>
      <c r="D33" s="134" t="s">
        <v>528</v>
      </c>
      <c r="E33" s="122"/>
      <c r="F33" s="122"/>
      <c r="G33" s="122"/>
      <c r="H33" s="122"/>
      <c r="I33" s="122"/>
      <c r="J33" s="122"/>
      <c r="K33" s="122"/>
      <c r="L33" s="122"/>
      <c r="M33" s="122"/>
      <c r="N33" s="122"/>
      <c r="O33" s="122"/>
      <c r="P33" s="122"/>
      <c r="Q33" s="122"/>
      <c r="R33" s="122"/>
      <c r="S33" s="122" t="s">
        <v>38</v>
      </c>
      <c r="T33" s="154" t="s">
        <v>726</v>
      </c>
      <c r="U33" s="120">
        <f>П4ВСР!Z34</f>
        <v>100000</v>
      </c>
      <c r="V33" s="120">
        <f>П4ВСР!AA34</f>
        <v>100000</v>
      </c>
      <c r="W33" s="120">
        <f>П4ВСР!AB34</f>
        <v>100000</v>
      </c>
      <c r="X33" s="124" t="s">
        <v>284</v>
      </c>
    </row>
    <row r="34" spans="1:24" ht="46.5" customHeight="1" x14ac:dyDescent="0.25">
      <c r="A34" s="118" t="s">
        <v>285</v>
      </c>
      <c r="B34" s="122" t="s">
        <v>122</v>
      </c>
      <c r="C34" s="122" t="s">
        <v>136</v>
      </c>
      <c r="D34" s="134" t="s">
        <v>528</v>
      </c>
      <c r="E34" s="122"/>
      <c r="F34" s="122"/>
      <c r="G34" s="122"/>
      <c r="H34" s="122"/>
      <c r="I34" s="122"/>
      <c r="J34" s="122"/>
      <c r="K34" s="122"/>
      <c r="L34" s="122"/>
      <c r="M34" s="122"/>
      <c r="N34" s="122"/>
      <c r="O34" s="122"/>
      <c r="P34" s="122"/>
      <c r="Q34" s="122"/>
      <c r="R34" s="122"/>
      <c r="S34" s="122" t="s">
        <v>275</v>
      </c>
      <c r="T34" s="135" t="s">
        <v>565</v>
      </c>
      <c r="U34" s="120">
        <f>П4ВСР!Z35</f>
        <v>50000</v>
      </c>
      <c r="V34" s="120">
        <f>П4ВСР!AA35</f>
        <v>50000</v>
      </c>
      <c r="W34" s="120">
        <f>П4ВСР!AB35</f>
        <v>50000</v>
      </c>
      <c r="X34" s="118" t="s">
        <v>285</v>
      </c>
    </row>
    <row r="35" spans="1:24" ht="45.75" hidden="1" customHeight="1" x14ac:dyDescent="0.25">
      <c r="A35" s="118" t="s">
        <v>137</v>
      </c>
      <c r="B35" s="119" t="s">
        <v>122</v>
      </c>
      <c r="C35" s="119" t="s">
        <v>124</v>
      </c>
      <c r="D35" s="119"/>
      <c r="E35" s="119"/>
      <c r="F35" s="119"/>
      <c r="G35" s="119"/>
      <c r="H35" s="119"/>
      <c r="I35" s="119"/>
      <c r="J35" s="119"/>
      <c r="K35" s="119"/>
      <c r="L35" s="119"/>
      <c r="M35" s="119"/>
      <c r="N35" s="119"/>
      <c r="O35" s="119"/>
      <c r="P35" s="119"/>
      <c r="Q35" s="119"/>
      <c r="R35" s="119"/>
      <c r="S35" s="119"/>
      <c r="T35" s="116" t="s">
        <v>137</v>
      </c>
      <c r="U35" s="120">
        <f t="shared" ref="U35:W36" si="2">U36</f>
        <v>27892</v>
      </c>
      <c r="V35" s="120">
        <f t="shared" si="2"/>
        <v>29405</v>
      </c>
      <c r="W35" s="120">
        <f t="shared" si="2"/>
        <v>31153</v>
      </c>
      <c r="X35" s="118" t="s">
        <v>137</v>
      </c>
    </row>
    <row r="36" spans="1:24" ht="79.5" customHeight="1" x14ac:dyDescent="0.25">
      <c r="A36" s="118" t="s">
        <v>230</v>
      </c>
      <c r="B36" s="161" t="s">
        <v>122</v>
      </c>
      <c r="C36" s="161" t="s">
        <v>124</v>
      </c>
      <c r="D36" s="161" t="s">
        <v>647</v>
      </c>
      <c r="E36" s="161"/>
      <c r="F36" s="161"/>
      <c r="G36" s="161"/>
      <c r="H36" s="161"/>
      <c r="I36" s="161"/>
      <c r="J36" s="161"/>
      <c r="K36" s="161"/>
      <c r="L36" s="161"/>
      <c r="M36" s="161"/>
      <c r="N36" s="161"/>
      <c r="O36" s="161"/>
      <c r="P36" s="161"/>
      <c r="Q36" s="161"/>
      <c r="R36" s="161"/>
      <c r="S36" s="161"/>
      <c r="T36" s="295" t="s">
        <v>230</v>
      </c>
      <c r="U36" s="120">
        <f t="shared" si="2"/>
        <v>27892</v>
      </c>
      <c r="V36" s="120">
        <f t="shared" si="2"/>
        <v>29405</v>
      </c>
      <c r="W36" s="120">
        <f t="shared" si="2"/>
        <v>31153</v>
      </c>
      <c r="X36" s="118" t="s">
        <v>230</v>
      </c>
    </row>
    <row r="37" spans="1:24" ht="39" customHeight="1" x14ac:dyDescent="0.25">
      <c r="A37" s="118" t="s">
        <v>286</v>
      </c>
      <c r="B37" s="136" t="s">
        <v>122</v>
      </c>
      <c r="C37" s="136" t="s">
        <v>124</v>
      </c>
      <c r="D37" s="161" t="s">
        <v>647</v>
      </c>
      <c r="E37" s="136"/>
      <c r="F37" s="136"/>
      <c r="G37" s="136"/>
      <c r="H37" s="136"/>
      <c r="I37" s="136"/>
      <c r="J37" s="136"/>
      <c r="K37" s="136"/>
      <c r="L37" s="136"/>
      <c r="M37" s="136"/>
      <c r="N37" s="136"/>
      <c r="O37" s="136"/>
      <c r="P37" s="136"/>
      <c r="Q37" s="136"/>
      <c r="R37" s="136"/>
      <c r="S37" s="136" t="s">
        <v>275</v>
      </c>
      <c r="T37" s="343" t="s">
        <v>565</v>
      </c>
      <c r="U37" s="120">
        <f>П4ВСР!Z38</f>
        <v>27892</v>
      </c>
      <c r="V37" s="120">
        <f>П4ВСР!AA38</f>
        <v>29405</v>
      </c>
      <c r="W37" s="120">
        <f>П4ВСР!AB38</f>
        <v>31153</v>
      </c>
      <c r="X37" s="118" t="s">
        <v>286</v>
      </c>
    </row>
    <row r="38" spans="1:24" ht="77.25" customHeight="1" x14ac:dyDescent="0.25">
      <c r="A38" s="118" t="s">
        <v>250</v>
      </c>
      <c r="B38" s="176" t="s">
        <v>122</v>
      </c>
      <c r="C38" s="176" t="s">
        <v>125</v>
      </c>
      <c r="D38" s="176"/>
      <c r="E38" s="176"/>
      <c r="F38" s="176"/>
      <c r="G38" s="176"/>
      <c r="H38" s="176"/>
      <c r="I38" s="176"/>
      <c r="J38" s="176"/>
      <c r="K38" s="176"/>
      <c r="L38" s="176"/>
      <c r="M38" s="176"/>
      <c r="N38" s="176"/>
      <c r="O38" s="176"/>
      <c r="P38" s="176"/>
      <c r="Q38" s="176"/>
      <c r="R38" s="176"/>
      <c r="S38" s="176"/>
      <c r="T38" s="177" t="s">
        <v>250</v>
      </c>
      <c r="U38" s="171">
        <f>U39+U47+U49+U43</f>
        <v>14313577.32</v>
      </c>
      <c r="V38" s="171">
        <f>V39+V47+V49</f>
        <v>12727969.449999999</v>
      </c>
      <c r="W38" s="171">
        <f>W39+W47+W49</f>
        <v>12728207.449999999</v>
      </c>
      <c r="X38" s="118" t="s">
        <v>250</v>
      </c>
    </row>
    <row r="39" spans="1:24" ht="159.75" customHeight="1" x14ac:dyDescent="0.25">
      <c r="A39" s="118" t="s">
        <v>415</v>
      </c>
      <c r="B39" s="161" t="s">
        <v>122</v>
      </c>
      <c r="C39" s="161" t="s">
        <v>125</v>
      </c>
      <c r="D39" s="161" t="s">
        <v>620</v>
      </c>
      <c r="E39" s="161"/>
      <c r="F39" s="161"/>
      <c r="G39" s="161"/>
      <c r="H39" s="161"/>
      <c r="I39" s="161"/>
      <c r="J39" s="161"/>
      <c r="K39" s="161"/>
      <c r="L39" s="161"/>
      <c r="M39" s="161"/>
      <c r="N39" s="161"/>
      <c r="O39" s="161"/>
      <c r="P39" s="161"/>
      <c r="Q39" s="161"/>
      <c r="R39" s="161"/>
      <c r="S39" s="161"/>
      <c r="T39" s="153" t="s">
        <v>1238</v>
      </c>
      <c r="U39" s="120">
        <f>U40+U41+U42+U46</f>
        <v>13043846.640000001</v>
      </c>
      <c r="V39" s="120">
        <f>V40+V41+V42+V46</f>
        <v>11581538.77</v>
      </c>
      <c r="W39" s="120">
        <f>W40+W41+W42+W46</f>
        <v>11581776.77</v>
      </c>
      <c r="X39" s="118" t="s">
        <v>415</v>
      </c>
    </row>
    <row r="40" spans="1:24" ht="121.5" customHeight="1" x14ac:dyDescent="0.25">
      <c r="A40" s="118" t="s">
        <v>416</v>
      </c>
      <c r="B40" s="136" t="s">
        <v>122</v>
      </c>
      <c r="C40" s="136" t="s">
        <v>125</v>
      </c>
      <c r="D40" s="161" t="s">
        <v>620</v>
      </c>
      <c r="E40" s="136"/>
      <c r="F40" s="136"/>
      <c r="G40" s="136"/>
      <c r="H40" s="136"/>
      <c r="I40" s="136"/>
      <c r="J40" s="136"/>
      <c r="K40" s="136"/>
      <c r="L40" s="136"/>
      <c r="M40" s="136"/>
      <c r="N40" s="136"/>
      <c r="O40" s="136"/>
      <c r="P40" s="136"/>
      <c r="Q40" s="136"/>
      <c r="R40" s="136"/>
      <c r="S40" s="136" t="s">
        <v>38</v>
      </c>
      <c r="T40" s="135" t="s">
        <v>726</v>
      </c>
      <c r="U40" s="120">
        <f>П4ВСР!Z350</f>
        <v>12376548.640000001</v>
      </c>
      <c r="V40" s="120">
        <f>П4ВСР!AA350</f>
        <v>10913959.77</v>
      </c>
      <c r="W40" s="120">
        <f>П4ВСР!AB350</f>
        <v>10913959.77</v>
      </c>
      <c r="X40" s="118" t="s">
        <v>416</v>
      </c>
    </row>
    <row r="41" spans="1:24" ht="50.25" customHeight="1" x14ac:dyDescent="0.25">
      <c r="A41" s="118" t="s">
        <v>417</v>
      </c>
      <c r="B41" s="136" t="s">
        <v>122</v>
      </c>
      <c r="C41" s="136" t="s">
        <v>125</v>
      </c>
      <c r="D41" s="161" t="s">
        <v>620</v>
      </c>
      <c r="E41" s="136"/>
      <c r="F41" s="136"/>
      <c r="G41" s="136"/>
      <c r="H41" s="136"/>
      <c r="I41" s="136"/>
      <c r="J41" s="136"/>
      <c r="K41" s="136"/>
      <c r="L41" s="136"/>
      <c r="M41" s="136"/>
      <c r="N41" s="136"/>
      <c r="O41" s="136"/>
      <c r="P41" s="136"/>
      <c r="Q41" s="136"/>
      <c r="R41" s="136"/>
      <c r="S41" s="136" t="s">
        <v>275</v>
      </c>
      <c r="T41" s="135" t="s">
        <v>565</v>
      </c>
      <c r="U41" s="120">
        <f>П4ВСР!Z351</f>
        <v>641492</v>
      </c>
      <c r="V41" s="120">
        <f>П4ВСР!AA351</f>
        <v>641492</v>
      </c>
      <c r="W41" s="120">
        <f>П4ВСР!AB351</f>
        <v>641492</v>
      </c>
      <c r="X41" s="118" t="s">
        <v>417</v>
      </c>
    </row>
    <row r="42" spans="1:24" ht="24" customHeight="1" x14ac:dyDescent="0.25">
      <c r="A42" s="118" t="s">
        <v>418</v>
      </c>
      <c r="B42" s="136" t="s">
        <v>122</v>
      </c>
      <c r="C42" s="136" t="s">
        <v>125</v>
      </c>
      <c r="D42" s="161" t="s">
        <v>620</v>
      </c>
      <c r="E42" s="136"/>
      <c r="F42" s="136"/>
      <c r="G42" s="136"/>
      <c r="H42" s="136"/>
      <c r="I42" s="136"/>
      <c r="J42" s="136"/>
      <c r="K42" s="136"/>
      <c r="L42" s="136"/>
      <c r="M42" s="136"/>
      <c r="N42" s="136"/>
      <c r="O42" s="136"/>
      <c r="P42" s="136"/>
      <c r="Q42" s="136"/>
      <c r="R42" s="136"/>
      <c r="S42" s="136" t="s">
        <v>243</v>
      </c>
      <c r="T42" s="135" t="s">
        <v>763</v>
      </c>
      <c r="U42" s="120">
        <f>П4ВСР!Z352</f>
        <v>2000</v>
      </c>
      <c r="V42" s="120">
        <f>П4ВСР!AA352</f>
        <v>2000</v>
      </c>
      <c r="W42" s="120">
        <f>П4ВСР!AB352</f>
        <v>2000</v>
      </c>
      <c r="X42" s="118" t="s">
        <v>418</v>
      </c>
    </row>
    <row r="43" spans="1:24" ht="171" customHeight="1" x14ac:dyDescent="0.25">
      <c r="A43" s="118"/>
      <c r="B43" s="136" t="s">
        <v>122</v>
      </c>
      <c r="C43" s="136" t="s">
        <v>125</v>
      </c>
      <c r="D43" s="234" t="s">
        <v>1511</v>
      </c>
      <c r="E43" s="136"/>
      <c r="F43" s="136"/>
      <c r="G43" s="136"/>
      <c r="H43" s="136"/>
      <c r="I43" s="136"/>
      <c r="J43" s="136"/>
      <c r="K43" s="136"/>
      <c r="L43" s="136"/>
      <c r="M43" s="136"/>
      <c r="N43" s="136"/>
      <c r="O43" s="136"/>
      <c r="P43" s="136"/>
      <c r="Q43" s="136"/>
      <c r="R43" s="136"/>
      <c r="S43" s="136"/>
      <c r="T43" s="153" t="s">
        <v>1510</v>
      </c>
      <c r="U43" s="120">
        <f>U44</f>
        <v>1000</v>
      </c>
      <c r="V43" s="120">
        <v>0</v>
      </c>
      <c r="W43" s="120">
        <v>0</v>
      </c>
      <c r="X43" s="118"/>
    </row>
    <row r="44" spans="1:24" ht="102.75" customHeight="1" x14ac:dyDescent="0.25">
      <c r="A44" s="118"/>
      <c r="B44" s="136" t="s">
        <v>122</v>
      </c>
      <c r="C44" s="136" t="s">
        <v>125</v>
      </c>
      <c r="D44" s="234" t="s">
        <v>1511</v>
      </c>
      <c r="E44" s="136"/>
      <c r="F44" s="136"/>
      <c r="G44" s="136"/>
      <c r="H44" s="136"/>
      <c r="I44" s="136"/>
      <c r="J44" s="136"/>
      <c r="K44" s="136"/>
      <c r="L44" s="136"/>
      <c r="M44" s="136"/>
      <c r="N44" s="136"/>
      <c r="O44" s="136"/>
      <c r="P44" s="136"/>
      <c r="Q44" s="136"/>
      <c r="R44" s="136"/>
      <c r="S44" s="136" t="s">
        <v>38</v>
      </c>
      <c r="T44" s="135" t="s">
        <v>1512</v>
      </c>
      <c r="U44" s="120">
        <f>П4ВСР!Z354</f>
        <v>1000</v>
      </c>
      <c r="V44" s="120">
        <v>0</v>
      </c>
      <c r="W44" s="120">
        <v>0</v>
      </c>
      <c r="X44" s="118"/>
    </row>
    <row r="45" spans="1:24" ht="204.75" customHeight="1" x14ac:dyDescent="0.25">
      <c r="A45" s="118"/>
      <c r="B45" s="136" t="s">
        <v>122</v>
      </c>
      <c r="C45" s="136" t="s">
        <v>125</v>
      </c>
      <c r="D45" s="234" t="s">
        <v>1110</v>
      </c>
      <c r="E45" s="136"/>
      <c r="F45" s="136"/>
      <c r="G45" s="136"/>
      <c r="H45" s="136"/>
      <c r="I45" s="136"/>
      <c r="J45" s="136"/>
      <c r="K45" s="136"/>
      <c r="L45" s="136"/>
      <c r="M45" s="136"/>
      <c r="N45" s="136"/>
      <c r="O45" s="136"/>
      <c r="P45" s="136"/>
      <c r="Q45" s="136"/>
      <c r="R45" s="136"/>
      <c r="S45" s="136"/>
      <c r="T45" s="155" t="s">
        <v>1330</v>
      </c>
      <c r="U45" s="120">
        <f>U46</f>
        <v>23806</v>
      </c>
      <c r="V45" s="120">
        <f>V46</f>
        <v>24087</v>
      </c>
      <c r="W45" s="120">
        <f>W46</f>
        <v>24325</v>
      </c>
      <c r="X45" s="118"/>
    </row>
    <row r="46" spans="1:24" ht="114.75" customHeight="1" x14ac:dyDescent="0.25">
      <c r="A46" s="118"/>
      <c r="B46" s="136" t="s">
        <v>122</v>
      </c>
      <c r="C46" s="136" t="s">
        <v>125</v>
      </c>
      <c r="D46" s="234" t="s">
        <v>1110</v>
      </c>
      <c r="E46" s="136"/>
      <c r="F46" s="136"/>
      <c r="G46" s="136"/>
      <c r="H46" s="136"/>
      <c r="I46" s="136"/>
      <c r="J46" s="136"/>
      <c r="K46" s="136"/>
      <c r="L46" s="136"/>
      <c r="M46" s="136"/>
      <c r="N46" s="136"/>
      <c r="O46" s="136"/>
      <c r="P46" s="136"/>
      <c r="Q46" s="136"/>
      <c r="R46" s="136"/>
      <c r="S46" s="136" t="s">
        <v>38</v>
      </c>
      <c r="T46" s="135" t="s">
        <v>726</v>
      </c>
      <c r="U46" s="120">
        <f>П4ВСР!Z356</f>
        <v>23806</v>
      </c>
      <c r="V46" s="120">
        <f>П4ВСР!AA356</f>
        <v>24087</v>
      </c>
      <c r="W46" s="120">
        <f>П4ВСР!AB356</f>
        <v>24325</v>
      </c>
      <c r="X46" s="118"/>
    </row>
    <row r="47" spans="1:24" ht="111.75" customHeight="1" x14ac:dyDescent="0.25">
      <c r="A47" s="118" t="s">
        <v>419</v>
      </c>
      <c r="B47" s="161" t="s">
        <v>122</v>
      </c>
      <c r="C47" s="161" t="s">
        <v>125</v>
      </c>
      <c r="D47" s="161" t="s">
        <v>622</v>
      </c>
      <c r="E47" s="161"/>
      <c r="F47" s="161"/>
      <c r="G47" s="161"/>
      <c r="H47" s="161"/>
      <c r="I47" s="161"/>
      <c r="J47" s="161"/>
      <c r="K47" s="161"/>
      <c r="L47" s="161"/>
      <c r="M47" s="161"/>
      <c r="N47" s="161"/>
      <c r="O47" s="161"/>
      <c r="P47" s="161"/>
      <c r="Q47" s="161"/>
      <c r="R47" s="161"/>
      <c r="S47" s="161"/>
      <c r="T47" s="153" t="s">
        <v>621</v>
      </c>
      <c r="U47" s="120">
        <f>U48</f>
        <v>698300</v>
      </c>
      <c r="V47" s="120">
        <f>V48</f>
        <v>576000</v>
      </c>
      <c r="W47" s="120">
        <f>W48</f>
        <v>576000</v>
      </c>
      <c r="X47" s="118" t="s">
        <v>419</v>
      </c>
    </row>
    <row r="48" spans="1:24" ht="123.75" customHeight="1" x14ac:dyDescent="0.25">
      <c r="A48" s="124" t="s">
        <v>420</v>
      </c>
      <c r="B48" s="136" t="s">
        <v>122</v>
      </c>
      <c r="C48" s="136" t="s">
        <v>125</v>
      </c>
      <c r="D48" s="161" t="s">
        <v>622</v>
      </c>
      <c r="E48" s="136"/>
      <c r="F48" s="136"/>
      <c r="G48" s="136"/>
      <c r="H48" s="136"/>
      <c r="I48" s="136"/>
      <c r="J48" s="136"/>
      <c r="K48" s="136"/>
      <c r="L48" s="136"/>
      <c r="M48" s="136"/>
      <c r="N48" s="136"/>
      <c r="O48" s="136"/>
      <c r="P48" s="136"/>
      <c r="Q48" s="136"/>
      <c r="R48" s="136"/>
      <c r="S48" s="136" t="s">
        <v>38</v>
      </c>
      <c r="T48" s="154" t="s">
        <v>726</v>
      </c>
      <c r="U48" s="120">
        <f>П4ВСР!Z358</f>
        <v>698300</v>
      </c>
      <c r="V48" s="120">
        <f>П4ВСР!AA358</f>
        <v>576000</v>
      </c>
      <c r="W48" s="120">
        <f>П4ВСР!AB358</f>
        <v>576000</v>
      </c>
      <c r="X48" s="124" t="s">
        <v>420</v>
      </c>
    </row>
    <row r="49" spans="1:24" ht="74.45" customHeight="1" x14ac:dyDescent="0.25">
      <c r="A49" s="118" t="s">
        <v>239</v>
      </c>
      <c r="B49" s="119" t="s">
        <v>122</v>
      </c>
      <c r="C49" s="119" t="s">
        <v>125</v>
      </c>
      <c r="D49" s="134" t="s">
        <v>529</v>
      </c>
      <c r="E49" s="119"/>
      <c r="F49" s="119"/>
      <c r="G49" s="119"/>
      <c r="H49" s="119"/>
      <c r="I49" s="119"/>
      <c r="J49" s="119"/>
      <c r="K49" s="119"/>
      <c r="L49" s="119"/>
      <c r="M49" s="119"/>
      <c r="N49" s="119"/>
      <c r="O49" s="119"/>
      <c r="P49" s="119"/>
      <c r="Q49" s="119"/>
      <c r="R49" s="119"/>
      <c r="S49" s="119"/>
      <c r="T49" s="118" t="s">
        <v>239</v>
      </c>
      <c r="U49" s="120">
        <f>U50</f>
        <v>570430.68000000005</v>
      </c>
      <c r="V49" s="120">
        <f>V50</f>
        <v>570430.68000000005</v>
      </c>
      <c r="W49" s="120">
        <f>W50</f>
        <v>570430.68000000005</v>
      </c>
      <c r="X49" s="118" t="s">
        <v>239</v>
      </c>
    </row>
    <row r="50" spans="1:24" ht="111" customHeight="1" x14ac:dyDescent="0.25">
      <c r="A50" s="124" t="s">
        <v>287</v>
      </c>
      <c r="B50" s="122" t="s">
        <v>122</v>
      </c>
      <c r="C50" s="122" t="s">
        <v>125</v>
      </c>
      <c r="D50" s="134" t="s">
        <v>529</v>
      </c>
      <c r="E50" s="122"/>
      <c r="F50" s="122"/>
      <c r="G50" s="122"/>
      <c r="H50" s="122"/>
      <c r="I50" s="122"/>
      <c r="J50" s="122"/>
      <c r="K50" s="122"/>
      <c r="L50" s="122"/>
      <c r="M50" s="122"/>
      <c r="N50" s="122"/>
      <c r="O50" s="122"/>
      <c r="P50" s="122"/>
      <c r="Q50" s="122"/>
      <c r="R50" s="122"/>
      <c r="S50" s="122" t="s">
        <v>38</v>
      </c>
      <c r="T50" s="121" t="s">
        <v>726</v>
      </c>
      <c r="U50" s="120">
        <f>П4ВСР!Z41</f>
        <v>570430.68000000005</v>
      </c>
      <c r="V50" s="120">
        <f>П4ВСР!AA41</f>
        <v>570430.68000000005</v>
      </c>
      <c r="W50" s="120">
        <f>П4ВСР!AB41</f>
        <v>570430.68000000005</v>
      </c>
      <c r="X50" s="124" t="s">
        <v>287</v>
      </c>
    </row>
    <row r="51" spans="1:24" ht="169.5" customHeight="1" x14ac:dyDescent="0.25">
      <c r="A51" s="124"/>
      <c r="B51" s="167" t="s">
        <v>122</v>
      </c>
      <c r="C51" s="167" t="s">
        <v>138</v>
      </c>
      <c r="D51" s="134" t="s">
        <v>713</v>
      </c>
      <c r="E51" s="122"/>
      <c r="F51" s="122"/>
      <c r="G51" s="122"/>
      <c r="H51" s="122"/>
      <c r="I51" s="122"/>
      <c r="J51" s="122"/>
      <c r="K51" s="122"/>
      <c r="L51" s="122"/>
      <c r="M51" s="122"/>
      <c r="N51" s="122"/>
      <c r="O51" s="122"/>
      <c r="P51" s="122"/>
      <c r="Q51" s="122"/>
      <c r="R51" s="122"/>
      <c r="S51" s="122"/>
      <c r="T51" s="284" t="s">
        <v>1239</v>
      </c>
      <c r="U51" s="120">
        <f>U52</f>
        <v>2646000</v>
      </c>
      <c r="V51" s="120">
        <f>V52</f>
        <v>0</v>
      </c>
      <c r="W51" s="120">
        <f>W52</f>
        <v>0</v>
      </c>
      <c r="X51" s="124"/>
    </row>
    <row r="52" spans="1:24" ht="29.25" customHeight="1" x14ac:dyDescent="0.25">
      <c r="A52" s="124"/>
      <c r="B52" s="167" t="s">
        <v>122</v>
      </c>
      <c r="C52" s="167" t="s">
        <v>138</v>
      </c>
      <c r="D52" s="134" t="s">
        <v>713</v>
      </c>
      <c r="E52" s="122"/>
      <c r="F52" s="122"/>
      <c r="G52" s="122"/>
      <c r="H52" s="122"/>
      <c r="I52" s="122"/>
      <c r="J52" s="122"/>
      <c r="K52" s="122"/>
      <c r="L52" s="122"/>
      <c r="M52" s="122"/>
      <c r="N52" s="122"/>
      <c r="O52" s="122"/>
      <c r="P52" s="122"/>
      <c r="Q52" s="122"/>
      <c r="R52" s="122"/>
      <c r="S52" s="168" t="s">
        <v>243</v>
      </c>
      <c r="T52" s="182" t="s">
        <v>650</v>
      </c>
      <c r="U52" s="120">
        <f>П4ВСР!Z44</f>
        <v>2646000</v>
      </c>
      <c r="V52" s="120">
        <f>П4ВСР!AA44</f>
        <v>0</v>
      </c>
      <c r="W52" s="120">
        <f>П4ВСР!AB44</f>
        <v>0</v>
      </c>
      <c r="X52" s="124"/>
    </row>
    <row r="53" spans="1:24" ht="18.600000000000001" customHeight="1" x14ac:dyDescent="0.25">
      <c r="A53" s="118" t="s">
        <v>140</v>
      </c>
      <c r="B53" s="179" t="s">
        <v>122</v>
      </c>
      <c r="C53" s="179" t="s">
        <v>128</v>
      </c>
      <c r="D53" s="179"/>
      <c r="E53" s="179"/>
      <c r="F53" s="179"/>
      <c r="G53" s="179"/>
      <c r="H53" s="179"/>
      <c r="I53" s="179"/>
      <c r="J53" s="179"/>
      <c r="K53" s="179"/>
      <c r="L53" s="179"/>
      <c r="M53" s="179"/>
      <c r="N53" s="179"/>
      <c r="O53" s="179"/>
      <c r="P53" s="179"/>
      <c r="Q53" s="179"/>
      <c r="R53" s="179"/>
      <c r="S53" s="179"/>
      <c r="T53" s="177" t="s">
        <v>140</v>
      </c>
      <c r="U53" s="171">
        <f t="shared" ref="U53:W54" si="3">U54</f>
        <v>351931</v>
      </c>
      <c r="V53" s="171">
        <f t="shared" si="3"/>
        <v>351931</v>
      </c>
      <c r="W53" s="171">
        <f t="shared" si="3"/>
        <v>351931</v>
      </c>
      <c r="X53" s="118" t="s">
        <v>140</v>
      </c>
    </row>
    <row r="54" spans="1:24" ht="156.75" customHeight="1" x14ac:dyDescent="0.25">
      <c r="A54" s="118" t="s">
        <v>288</v>
      </c>
      <c r="B54" s="119" t="s">
        <v>122</v>
      </c>
      <c r="C54" s="119" t="s">
        <v>128</v>
      </c>
      <c r="D54" s="134" t="s">
        <v>530</v>
      </c>
      <c r="E54" s="119"/>
      <c r="F54" s="119"/>
      <c r="G54" s="119"/>
      <c r="H54" s="119"/>
      <c r="I54" s="119"/>
      <c r="J54" s="119"/>
      <c r="K54" s="119"/>
      <c r="L54" s="119"/>
      <c r="M54" s="119"/>
      <c r="N54" s="119"/>
      <c r="O54" s="119"/>
      <c r="P54" s="119"/>
      <c r="Q54" s="119"/>
      <c r="R54" s="119"/>
      <c r="S54" s="119"/>
      <c r="T54" s="153" t="s">
        <v>1345</v>
      </c>
      <c r="U54" s="120">
        <f t="shared" si="3"/>
        <v>351931</v>
      </c>
      <c r="V54" s="120">
        <f t="shared" si="3"/>
        <v>351931</v>
      </c>
      <c r="W54" s="120">
        <f t="shared" si="3"/>
        <v>351931</v>
      </c>
      <c r="X54" s="118" t="s">
        <v>288</v>
      </c>
    </row>
    <row r="55" spans="1:24" ht="30" customHeight="1" x14ac:dyDescent="0.25">
      <c r="A55" s="118" t="s">
        <v>289</v>
      </c>
      <c r="B55" s="122" t="s">
        <v>122</v>
      </c>
      <c r="C55" s="122" t="s">
        <v>128</v>
      </c>
      <c r="D55" s="134" t="s">
        <v>530</v>
      </c>
      <c r="E55" s="122"/>
      <c r="F55" s="122"/>
      <c r="G55" s="122"/>
      <c r="H55" s="122"/>
      <c r="I55" s="122"/>
      <c r="J55" s="122"/>
      <c r="K55" s="122"/>
      <c r="L55" s="122"/>
      <c r="M55" s="122"/>
      <c r="N55" s="122"/>
      <c r="O55" s="122"/>
      <c r="P55" s="122"/>
      <c r="Q55" s="122"/>
      <c r="R55" s="122"/>
      <c r="S55" s="122" t="s">
        <v>243</v>
      </c>
      <c r="T55" s="135" t="s">
        <v>763</v>
      </c>
      <c r="U55" s="120">
        <f>П4ВСР!Z47</f>
        <v>351931</v>
      </c>
      <c r="V55" s="120">
        <f>П4ВСР!AA47</f>
        <v>351931</v>
      </c>
      <c r="W55" s="120">
        <f>П4ВСР!AB47</f>
        <v>351931</v>
      </c>
      <c r="X55" s="118" t="s">
        <v>289</v>
      </c>
    </row>
    <row r="56" spans="1:24" ht="33" customHeight="1" x14ac:dyDescent="0.25">
      <c r="A56" s="118" t="s">
        <v>141</v>
      </c>
      <c r="B56" s="179" t="s">
        <v>122</v>
      </c>
      <c r="C56" s="179" t="s">
        <v>130</v>
      </c>
      <c r="D56" s="179"/>
      <c r="E56" s="179"/>
      <c r="F56" s="179"/>
      <c r="G56" s="179"/>
      <c r="H56" s="179"/>
      <c r="I56" s="179"/>
      <c r="J56" s="179"/>
      <c r="K56" s="179"/>
      <c r="L56" s="179"/>
      <c r="M56" s="179"/>
      <c r="N56" s="179"/>
      <c r="O56" s="179"/>
      <c r="P56" s="179"/>
      <c r="Q56" s="179"/>
      <c r="R56" s="179"/>
      <c r="S56" s="179"/>
      <c r="T56" s="750" t="s">
        <v>141</v>
      </c>
      <c r="U56" s="171">
        <f>U59+U61+U65+U72+U109+U114+U78+U116+U74+U112+U76+U103+U106+U70+U80+U82+U85+U99+U57+U94+U101+U88+U90+U96+U68+U92</f>
        <v>81480036.859999999</v>
      </c>
      <c r="V56" s="171">
        <f t="shared" ref="V56:W56" si="4">V59+V61+V65+V72+V109+V114+V78+V116+V74+V112+V76+V103+V106+V70+V80+V82+V85+V99+V57+V94+V101+V88</f>
        <v>50593542.270000003</v>
      </c>
      <c r="W56" s="171">
        <f t="shared" si="4"/>
        <v>50507141.340000004</v>
      </c>
      <c r="X56" s="118" t="s">
        <v>141</v>
      </c>
    </row>
    <row r="57" spans="1:24" ht="199.5" customHeight="1" x14ac:dyDescent="0.25">
      <c r="A57" s="118"/>
      <c r="B57" s="119" t="s">
        <v>122</v>
      </c>
      <c r="C57" s="119" t="s">
        <v>130</v>
      </c>
      <c r="D57" s="234" t="s">
        <v>642</v>
      </c>
      <c r="E57" s="220"/>
      <c r="F57" s="220"/>
      <c r="G57" s="220"/>
      <c r="H57" s="220"/>
      <c r="I57" s="220"/>
      <c r="J57" s="220"/>
      <c r="K57" s="220"/>
      <c r="L57" s="220"/>
      <c r="M57" s="220"/>
      <c r="N57" s="220"/>
      <c r="O57" s="220"/>
      <c r="P57" s="220"/>
      <c r="Q57" s="220"/>
      <c r="R57" s="220"/>
      <c r="S57" s="749"/>
      <c r="T57" s="748" t="s">
        <v>1241</v>
      </c>
      <c r="U57" s="181">
        <f>U58</f>
        <v>500000</v>
      </c>
      <c r="V57" s="120">
        <v>0</v>
      </c>
      <c r="W57" s="120">
        <v>0</v>
      </c>
      <c r="X57" s="118"/>
    </row>
    <row r="58" spans="1:24" ht="45" customHeight="1" x14ac:dyDescent="0.25">
      <c r="A58" s="118"/>
      <c r="B58" s="119" t="s">
        <v>122</v>
      </c>
      <c r="C58" s="119" t="s">
        <v>130</v>
      </c>
      <c r="D58" s="234" t="s">
        <v>642</v>
      </c>
      <c r="E58" s="220"/>
      <c r="F58" s="220"/>
      <c r="G58" s="220"/>
      <c r="H58" s="220"/>
      <c r="I58" s="220"/>
      <c r="J58" s="220"/>
      <c r="K58" s="220"/>
      <c r="L58" s="220"/>
      <c r="M58" s="220"/>
      <c r="N58" s="220"/>
      <c r="O58" s="220"/>
      <c r="P58" s="220"/>
      <c r="Q58" s="220"/>
      <c r="R58" s="220"/>
      <c r="S58" s="752" t="s">
        <v>427</v>
      </c>
      <c r="T58" s="751" t="s">
        <v>1185</v>
      </c>
      <c r="U58" s="181">
        <f>П4ВСР!Z377</f>
        <v>500000</v>
      </c>
      <c r="V58" s="120">
        <v>0</v>
      </c>
      <c r="W58" s="120">
        <v>0</v>
      </c>
      <c r="X58" s="118"/>
    </row>
    <row r="59" spans="1:24" ht="172.5" customHeight="1" x14ac:dyDescent="0.25">
      <c r="A59" s="118" t="s">
        <v>290</v>
      </c>
      <c r="B59" s="119" t="s">
        <v>122</v>
      </c>
      <c r="C59" s="119" t="s">
        <v>130</v>
      </c>
      <c r="D59" s="234" t="s">
        <v>1000</v>
      </c>
      <c r="E59" s="119"/>
      <c r="F59" s="119"/>
      <c r="G59" s="119"/>
      <c r="H59" s="119"/>
      <c r="I59" s="119"/>
      <c r="J59" s="119"/>
      <c r="K59" s="119"/>
      <c r="L59" s="119"/>
      <c r="M59" s="119"/>
      <c r="N59" s="119"/>
      <c r="O59" s="119"/>
      <c r="P59" s="119"/>
      <c r="Q59" s="119"/>
      <c r="R59" s="119"/>
      <c r="S59" s="119"/>
      <c r="T59" s="746" t="s">
        <v>1437</v>
      </c>
      <c r="U59" s="120">
        <f>U60</f>
        <v>2690451.22</v>
      </c>
      <c r="V59" s="120">
        <f>V60</f>
        <v>0</v>
      </c>
      <c r="W59" s="120">
        <f>W60</f>
        <v>0</v>
      </c>
      <c r="X59" s="118" t="s">
        <v>290</v>
      </c>
    </row>
    <row r="60" spans="1:24" ht="37.5" customHeight="1" x14ac:dyDescent="0.25">
      <c r="A60" s="118" t="s">
        <v>291</v>
      </c>
      <c r="B60" s="119" t="s">
        <v>122</v>
      </c>
      <c r="C60" s="119" t="s">
        <v>130</v>
      </c>
      <c r="D60" s="234" t="s">
        <v>1000</v>
      </c>
      <c r="E60" s="122"/>
      <c r="F60" s="122"/>
      <c r="G60" s="122"/>
      <c r="H60" s="122"/>
      <c r="I60" s="122"/>
      <c r="J60" s="122"/>
      <c r="K60" s="122"/>
      <c r="L60" s="122"/>
      <c r="M60" s="122"/>
      <c r="N60" s="122"/>
      <c r="O60" s="122"/>
      <c r="P60" s="122"/>
      <c r="Q60" s="122"/>
      <c r="R60" s="122"/>
      <c r="S60" s="122" t="s">
        <v>427</v>
      </c>
      <c r="T60" s="747" t="s">
        <v>1185</v>
      </c>
      <c r="U60" s="120">
        <f>П4ВСР!Z372</f>
        <v>2690451.22</v>
      </c>
      <c r="V60" s="120">
        <f>П4ВСР!AA50</f>
        <v>0</v>
      </c>
      <c r="W60" s="120">
        <f>П4ВСР!AB50</f>
        <v>0</v>
      </c>
      <c r="X60" s="118" t="s">
        <v>291</v>
      </c>
    </row>
    <row r="61" spans="1:24" ht="190.5" customHeight="1" x14ac:dyDescent="0.25">
      <c r="A61" s="118" t="s">
        <v>479</v>
      </c>
      <c r="B61" s="161" t="s">
        <v>122</v>
      </c>
      <c r="C61" s="161" t="s">
        <v>130</v>
      </c>
      <c r="D61" s="161" t="s">
        <v>641</v>
      </c>
      <c r="E61" s="161"/>
      <c r="F61" s="161"/>
      <c r="G61" s="161"/>
      <c r="H61" s="161"/>
      <c r="I61" s="161"/>
      <c r="J61" s="161"/>
      <c r="K61" s="161"/>
      <c r="L61" s="161"/>
      <c r="M61" s="161"/>
      <c r="N61" s="161"/>
      <c r="O61" s="161"/>
      <c r="P61" s="161"/>
      <c r="Q61" s="161"/>
      <c r="R61" s="161"/>
      <c r="S61" s="161"/>
      <c r="T61" s="153" t="s">
        <v>1240</v>
      </c>
      <c r="U61" s="120">
        <f>U62+U63+U64</f>
        <v>6827182.79</v>
      </c>
      <c r="V61" s="120">
        <f>V62+V63+V64</f>
        <v>5978822.0899999999</v>
      </c>
      <c r="W61" s="120">
        <f>W62+W63+W64</f>
        <v>5824792.2800000003</v>
      </c>
      <c r="X61" s="118" t="s">
        <v>479</v>
      </c>
    </row>
    <row r="62" spans="1:24" ht="105" customHeight="1" x14ac:dyDescent="0.25">
      <c r="A62" s="124" t="s">
        <v>480</v>
      </c>
      <c r="B62" s="136" t="s">
        <v>122</v>
      </c>
      <c r="C62" s="136" t="s">
        <v>130</v>
      </c>
      <c r="D62" s="161" t="s">
        <v>641</v>
      </c>
      <c r="E62" s="136"/>
      <c r="F62" s="136"/>
      <c r="G62" s="136"/>
      <c r="H62" s="136"/>
      <c r="I62" s="136"/>
      <c r="J62" s="136"/>
      <c r="K62" s="136"/>
      <c r="L62" s="136"/>
      <c r="M62" s="136"/>
      <c r="N62" s="136"/>
      <c r="O62" s="136"/>
      <c r="P62" s="136"/>
      <c r="Q62" s="136"/>
      <c r="R62" s="136"/>
      <c r="S62" s="136" t="s">
        <v>38</v>
      </c>
      <c r="T62" s="154" t="s">
        <v>726</v>
      </c>
      <c r="U62" s="120">
        <f>П4ВСР!Z657</f>
        <v>6510927.79</v>
      </c>
      <c r="V62" s="120">
        <f>П4ВСР!AA657</f>
        <v>5740567.0899999999</v>
      </c>
      <c r="W62" s="120">
        <f>П4ВСР!AB657</f>
        <v>5586537.2800000003</v>
      </c>
      <c r="X62" s="124" t="s">
        <v>480</v>
      </c>
    </row>
    <row r="63" spans="1:24" ht="52.5" customHeight="1" x14ac:dyDescent="0.25">
      <c r="A63" s="118" t="s">
        <v>481</v>
      </c>
      <c r="B63" s="136" t="s">
        <v>122</v>
      </c>
      <c r="C63" s="136" t="s">
        <v>130</v>
      </c>
      <c r="D63" s="161" t="s">
        <v>641</v>
      </c>
      <c r="E63" s="136"/>
      <c r="F63" s="136"/>
      <c r="G63" s="136"/>
      <c r="H63" s="136"/>
      <c r="I63" s="136"/>
      <c r="J63" s="136"/>
      <c r="K63" s="136"/>
      <c r="L63" s="136"/>
      <c r="M63" s="136"/>
      <c r="N63" s="136"/>
      <c r="O63" s="136"/>
      <c r="P63" s="136"/>
      <c r="Q63" s="136"/>
      <c r="R63" s="136"/>
      <c r="S63" s="136" t="s">
        <v>275</v>
      </c>
      <c r="T63" s="135" t="s">
        <v>565</v>
      </c>
      <c r="U63" s="120">
        <f>П4ВСР!Z658</f>
        <v>312874</v>
      </c>
      <c r="V63" s="120">
        <f>П4ВСР!AA658</f>
        <v>234874</v>
      </c>
      <c r="W63" s="120">
        <f>П4ВСР!AB658</f>
        <v>234874</v>
      </c>
      <c r="X63" s="118" t="s">
        <v>481</v>
      </c>
    </row>
    <row r="64" spans="1:24" ht="26.25" customHeight="1" x14ac:dyDescent="0.25">
      <c r="A64" s="118" t="s">
        <v>482</v>
      </c>
      <c r="B64" s="136" t="s">
        <v>122</v>
      </c>
      <c r="C64" s="136" t="s">
        <v>130</v>
      </c>
      <c r="D64" s="161" t="s">
        <v>641</v>
      </c>
      <c r="E64" s="136"/>
      <c r="F64" s="136"/>
      <c r="G64" s="136"/>
      <c r="H64" s="136"/>
      <c r="I64" s="136"/>
      <c r="J64" s="136"/>
      <c r="K64" s="136"/>
      <c r="L64" s="136"/>
      <c r="M64" s="136"/>
      <c r="N64" s="136"/>
      <c r="O64" s="136"/>
      <c r="P64" s="136"/>
      <c r="Q64" s="136"/>
      <c r="R64" s="136"/>
      <c r="S64" s="136" t="s">
        <v>243</v>
      </c>
      <c r="T64" s="135" t="s">
        <v>763</v>
      </c>
      <c r="U64" s="120">
        <f>П4ВСР!Z659</f>
        <v>3381</v>
      </c>
      <c r="V64" s="120">
        <f>П4ВСР!AA659</f>
        <v>3381</v>
      </c>
      <c r="W64" s="120">
        <f>П4ВСР!AB659</f>
        <v>3381</v>
      </c>
      <c r="X64" s="118" t="s">
        <v>482</v>
      </c>
    </row>
    <row r="65" spans="1:24" ht="204.75" customHeight="1" x14ac:dyDescent="0.25">
      <c r="A65" s="118" t="s">
        <v>483</v>
      </c>
      <c r="B65" s="161" t="s">
        <v>122</v>
      </c>
      <c r="C65" s="161" t="s">
        <v>130</v>
      </c>
      <c r="D65" s="161" t="s">
        <v>642</v>
      </c>
      <c r="E65" s="161"/>
      <c r="F65" s="161"/>
      <c r="G65" s="161"/>
      <c r="H65" s="161"/>
      <c r="I65" s="161"/>
      <c r="J65" s="161"/>
      <c r="K65" s="161"/>
      <c r="L65" s="161"/>
      <c r="M65" s="161"/>
      <c r="N65" s="161"/>
      <c r="O65" s="161"/>
      <c r="P65" s="161"/>
      <c r="Q65" s="161"/>
      <c r="R65" s="161"/>
      <c r="S65" s="161"/>
      <c r="T65" s="153" t="s">
        <v>1241</v>
      </c>
      <c r="U65" s="120">
        <f>U66+U67</f>
        <v>4876930.2499999991</v>
      </c>
      <c r="V65" s="120">
        <f>V66+V67</f>
        <v>3541989.53</v>
      </c>
      <c r="W65" s="120">
        <f>W66+W67</f>
        <v>3541989.53</v>
      </c>
      <c r="X65" s="118" t="s">
        <v>483</v>
      </c>
    </row>
    <row r="66" spans="1:24" ht="84" customHeight="1" x14ac:dyDescent="0.25">
      <c r="A66" s="118" t="s">
        <v>484</v>
      </c>
      <c r="B66" s="136" t="s">
        <v>122</v>
      </c>
      <c r="C66" s="136" t="s">
        <v>130</v>
      </c>
      <c r="D66" s="161" t="s">
        <v>642</v>
      </c>
      <c r="E66" s="136"/>
      <c r="F66" s="136"/>
      <c r="G66" s="136"/>
      <c r="H66" s="136"/>
      <c r="I66" s="136"/>
      <c r="J66" s="136"/>
      <c r="K66" s="136"/>
      <c r="L66" s="136"/>
      <c r="M66" s="136"/>
      <c r="N66" s="136"/>
      <c r="O66" s="136"/>
      <c r="P66" s="136"/>
      <c r="Q66" s="136"/>
      <c r="R66" s="136"/>
      <c r="S66" s="136" t="s">
        <v>275</v>
      </c>
      <c r="T66" s="135" t="s">
        <v>565</v>
      </c>
      <c r="U66" s="120">
        <f>П4ВСР!Z661</f>
        <v>4828804.2499999991</v>
      </c>
      <c r="V66" s="120">
        <f>П4ВСР!AA661</f>
        <v>3493863.53</v>
      </c>
      <c r="W66" s="120">
        <f>П4ВСР!AB661</f>
        <v>3493863.53</v>
      </c>
      <c r="X66" s="118" t="s">
        <v>484</v>
      </c>
    </row>
    <row r="67" spans="1:24" ht="28.5" customHeight="1" x14ac:dyDescent="0.25">
      <c r="A67" s="118"/>
      <c r="B67" s="136" t="s">
        <v>122</v>
      </c>
      <c r="C67" s="136" t="s">
        <v>130</v>
      </c>
      <c r="D67" s="161" t="s">
        <v>642</v>
      </c>
      <c r="E67" s="136"/>
      <c r="F67" s="136"/>
      <c r="G67" s="136"/>
      <c r="H67" s="136"/>
      <c r="I67" s="136"/>
      <c r="J67" s="136"/>
      <c r="K67" s="136"/>
      <c r="L67" s="136"/>
      <c r="M67" s="136"/>
      <c r="N67" s="136"/>
      <c r="O67" s="136"/>
      <c r="P67" s="136"/>
      <c r="Q67" s="136"/>
      <c r="R67" s="136"/>
      <c r="S67" s="136" t="s">
        <v>243</v>
      </c>
      <c r="T67" s="135" t="s">
        <v>763</v>
      </c>
      <c r="U67" s="120">
        <f>П4ВСР!Z662</f>
        <v>48126</v>
      </c>
      <c r="V67" s="120">
        <f>П4ВСР!AA662</f>
        <v>48126</v>
      </c>
      <c r="W67" s="120">
        <f>П4ВСР!AB662</f>
        <v>48126</v>
      </c>
      <c r="X67" s="118"/>
    </row>
    <row r="68" spans="1:24" ht="170.25" customHeight="1" x14ac:dyDescent="0.25">
      <c r="A68" s="118"/>
      <c r="B68" s="136" t="s">
        <v>122</v>
      </c>
      <c r="C68" s="136" t="s">
        <v>130</v>
      </c>
      <c r="D68" s="248" t="s">
        <v>1521</v>
      </c>
      <c r="E68" s="136"/>
      <c r="F68" s="136"/>
      <c r="G68" s="136"/>
      <c r="H68" s="136"/>
      <c r="I68" s="136"/>
      <c r="J68" s="136"/>
      <c r="K68" s="136"/>
      <c r="L68" s="136"/>
      <c r="M68" s="136"/>
      <c r="N68" s="136"/>
      <c r="O68" s="136"/>
      <c r="P68" s="136"/>
      <c r="Q68" s="136"/>
      <c r="R68" s="136"/>
      <c r="S68" s="136"/>
      <c r="T68" s="266" t="s">
        <v>1522</v>
      </c>
      <c r="U68" s="120">
        <f>U69</f>
        <v>1300000</v>
      </c>
      <c r="V68" s="120">
        <v>0</v>
      </c>
      <c r="W68" s="120">
        <v>0</v>
      </c>
      <c r="X68" s="118"/>
    </row>
    <row r="69" spans="1:24" ht="36" customHeight="1" x14ac:dyDescent="0.25">
      <c r="A69" s="118"/>
      <c r="B69" s="136" t="s">
        <v>122</v>
      </c>
      <c r="C69" s="136" t="s">
        <v>130</v>
      </c>
      <c r="D69" s="248" t="s">
        <v>1521</v>
      </c>
      <c r="E69" s="136"/>
      <c r="F69" s="136"/>
      <c r="G69" s="136"/>
      <c r="H69" s="136"/>
      <c r="I69" s="136"/>
      <c r="J69" s="136"/>
      <c r="K69" s="136"/>
      <c r="L69" s="136"/>
      <c r="M69" s="136"/>
      <c r="N69" s="136"/>
      <c r="O69" s="136"/>
      <c r="P69" s="136"/>
      <c r="Q69" s="136"/>
      <c r="R69" s="136"/>
      <c r="S69" s="136" t="s">
        <v>427</v>
      </c>
      <c r="T69" s="796" t="s">
        <v>1185</v>
      </c>
      <c r="U69" s="120">
        <f>П4ВСР!Z364</f>
        <v>1300000</v>
      </c>
      <c r="V69" s="120">
        <v>0</v>
      </c>
      <c r="W69" s="120">
        <v>0</v>
      </c>
      <c r="X69" s="118"/>
    </row>
    <row r="70" spans="1:24" ht="177.75" customHeight="1" x14ac:dyDescent="0.25">
      <c r="A70" s="118"/>
      <c r="B70" s="136" t="s">
        <v>122</v>
      </c>
      <c r="C70" s="136" t="s">
        <v>130</v>
      </c>
      <c r="D70" s="234" t="s">
        <v>1112</v>
      </c>
      <c r="E70" s="136"/>
      <c r="F70" s="136"/>
      <c r="G70" s="136"/>
      <c r="H70" s="136"/>
      <c r="I70" s="136"/>
      <c r="J70" s="136"/>
      <c r="K70" s="136"/>
      <c r="L70" s="136"/>
      <c r="M70" s="136"/>
      <c r="N70" s="136"/>
      <c r="O70" s="136"/>
      <c r="P70" s="136"/>
      <c r="Q70" s="136"/>
      <c r="R70" s="136"/>
      <c r="S70" s="136"/>
      <c r="T70" s="155" t="s">
        <v>1331</v>
      </c>
      <c r="U70" s="120">
        <f>U71</f>
        <v>21986350.640000001</v>
      </c>
      <c r="V70" s="120">
        <f>V71</f>
        <v>21986350.640000001</v>
      </c>
      <c r="W70" s="120">
        <f>W71</f>
        <v>21986350.640000001</v>
      </c>
      <c r="X70" s="118"/>
    </row>
    <row r="71" spans="1:24" ht="62.25" customHeight="1" x14ac:dyDescent="0.25">
      <c r="A71" s="118"/>
      <c r="B71" s="136" t="s">
        <v>122</v>
      </c>
      <c r="C71" s="136" t="s">
        <v>130</v>
      </c>
      <c r="D71" s="234" t="s">
        <v>1112</v>
      </c>
      <c r="E71" s="136"/>
      <c r="F71" s="136"/>
      <c r="G71" s="136"/>
      <c r="H71" s="136"/>
      <c r="I71" s="136"/>
      <c r="J71" s="136"/>
      <c r="K71" s="136"/>
      <c r="L71" s="136"/>
      <c r="M71" s="136"/>
      <c r="N71" s="136"/>
      <c r="O71" s="136"/>
      <c r="P71" s="136"/>
      <c r="Q71" s="136"/>
      <c r="R71" s="136"/>
      <c r="S71" s="136" t="s">
        <v>294</v>
      </c>
      <c r="T71" s="135" t="s">
        <v>711</v>
      </c>
      <c r="U71" s="120">
        <f>П4ВСР!Z51</f>
        <v>21986350.640000001</v>
      </c>
      <c r="V71" s="120">
        <f>П4ВСР!AA51</f>
        <v>21986350.640000001</v>
      </c>
      <c r="W71" s="120">
        <f>П4ВСР!AB51</f>
        <v>21986350.640000001</v>
      </c>
      <c r="X71" s="118"/>
    </row>
    <row r="72" spans="1:24" ht="189.75" customHeight="1" x14ac:dyDescent="0.25">
      <c r="A72" s="118" t="s">
        <v>292</v>
      </c>
      <c r="B72" s="119" t="s">
        <v>122</v>
      </c>
      <c r="C72" s="119" t="s">
        <v>130</v>
      </c>
      <c r="D72" s="134" t="s">
        <v>532</v>
      </c>
      <c r="E72" s="119"/>
      <c r="F72" s="119"/>
      <c r="G72" s="119"/>
      <c r="H72" s="119"/>
      <c r="I72" s="119"/>
      <c r="J72" s="119"/>
      <c r="K72" s="119"/>
      <c r="L72" s="119"/>
      <c r="M72" s="119"/>
      <c r="N72" s="119"/>
      <c r="O72" s="119"/>
      <c r="P72" s="119"/>
      <c r="Q72" s="119"/>
      <c r="R72" s="119"/>
      <c r="S72" s="119"/>
      <c r="T72" s="153" t="s">
        <v>1420</v>
      </c>
      <c r="U72" s="120">
        <f>U73</f>
        <v>4750000</v>
      </c>
      <c r="V72" s="120">
        <f>V73</f>
        <v>0</v>
      </c>
      <c r="W72" s="120">
        <f>W73</f>
        <v>0</v>
      </c>
      <c r="X72" s="118" t="s">
        <v>292</v>
      </c>
    </row>
    <row r="73" spans="1:24" ht="66.75" customHeight="1" thickBot="1" x14ac:dyDescent="0.3">
      <c r="A73" s="124" t="s">
        <v>293</v>
      </c>
      <c r="B73" s="122" t="s">
        <v>122</v>
      </c>
      <c r="C73" s="122" t="s">
        <v>130</v>
      </c>
      <c r="D73" s="234" t="s">
        <v>532</v>
      </c>
      <c r="E73" s="122"/>
      <c r="F73" s="122"/>
      <c r="G73" s="122"/>
      <c r="H73" s="122"/>
      <c r="I73" s="122"/>
      <c r="J73" s="122"/>
      <c r="K73" s="122"/>
      <c r="L73" s="122"/>
      <c r="M73" s="122"/>
      <c r="N73" s="122"/>
      <c r="O73" s="122"/>
      <c r="P73" s="122"/>
      <c r="Q73" s="122"/>
      <c r="R73" s="122"/>
      <c r="S73" s="122" t="s">
        <v>294</v>
      </c>
      <c r="T73" s="154" t="s">
        <v>711</v>
      </c>
      <c r="U73" s="120">
        <f>П4ВСР!Z54</f>
        <v>4750000</v>
      </c>
      <c r="V73" s="120">
        <f>П4ВСР!AA54</f>
        <v>0</v>
      </c>
      <c r="W73" s="120">
        <f>П4ВСР!AB54</f>
        <v>0</v>
      </c>
      <c r="X73" s="124" t="s">
        <v>293</v>
      </c>
    </row>
    <row r="74" spans="1:24" ht="0.75" hidden="1" customHeight="1" thickBot="1" x14ac:dyDescent="0.3">
      <c r="A74" s="124"/>
      <c r="B74" s="122" t="s">
        <v>122</v>
      </c>
      <c r="C74" s="122" t="s">
        <v>130</v>
      </c>
      <c r="D74" s="234" t="s">
        <v>771</v>
      </c>
      <c r="E74" s="122"/>
      <c r="F74" s="122"/>
      <c r="G74" s="122"/>
      <c r="H74" s="122"/>
      <c r="I74" s="122"/>
      <c r="J74" s="122"/>
      <c r="K74" s="122"/>
      <c r="L74" s="122"/>
      <c r="M74" s="122"/>
      <c r="N74" s="122"/>
      <c r="O74" s="122"/>
      <c r="P74" s="122"/>
      <c r="Q74" s="122"/>
      <c r="R74" s="122"/>
      <c r="S74" s="122"/>
      <c r="T74" s="289" t="s">
        <v>770</v>
      </c>
      <c r="U74" s="120">
        <f>U75</f>
        <v>0</v>
      </c>
      <c r="V74" s="120">
        <f>V75</f>
        <v>0</v>
      </c>
      <c r="W74" s="120">
        <f>W75</f>
        <v>0</v>
      </c>
      <c r="X74" s="124"/>
    </row>
    <row r="75" spans="1:24" ht="52.5" hidden="1" customHeight="1" thickBot="1" x14ac:dyDescent="0.3">
      <c r="A75" s="124"/>
      <c r="B75" s="122" t="s">
        <v>122</v>
      </c>
      <c r="C75" s="122" t="s">
        <v>130</v>
      </c>
      <c r="D75" s="234" t="s">
        <v>771</v>
      </c>
      <c r="E75" s="122"/>
      <c r="F75" s="122"/>
      <c r="G75" s="122"/>
      <c r="H75" s="122"/>
      <c r="I75" s="122"/>
      <c r="J75" s="122"/>
      <c r="K75" s="122"/>
      <c r="L75" s="122"/>
      <c r="M75" s="122"/>
      <c r="N75" s="122"/>
      <c r="O75" s="122"/>
      <c r="P75" s="122"/>
      <c r="Q75" s="122"/>
      <c r="R75" s="122"/>
      <c r="S75" s="122" t="s">
        <v>243</v>
      </c>
      <c r="T75" s="135" t="s">
        <v>772</v>
      </c>
      <c r="U75" s="120">
        <f>П4ВСР!Z664</f>
        <v>0</v>
      </c>
      <c r="V75" s="120">
        <v>0</v>
      </c>
      <c r="W75" s="120">
        <v>0</v>
      </c>
      <c r="X75" s="124"/>
    </row>
    <row r="76" spans="1:24" ht="41.25" hidden="1" customHeight="1" thickBot="1" x14ac:dyDescent="0.3">
      <c r="A76" s="124"/>
      <c r="B76" s="122" t="s">
        <v>122</v>
      </c>
      <c r="C76" s="122" t="s">
        <v>130</v>
      </c>
      <c r="D76" s="234" t="s">
        <v>805</v>
      </c>
      <c r="E76" s="122"/>
      <c r="F76" s="122"/>
      <c r="G76" s="122"/>
      <c r="H76" s="122"/>
      <c r="I76" s="122"/>
      <c r="J76" s="122"/>
      <c r="K76" s="122"/>
      <c r="L76" s="122"/>
      <c r="M76" s="122"/>
      <c r="N76" s="122"/>
      <c r="O76" s="122"/>
      <c r="P76" s="122"/>
      <c r="Q76" s="122"/>
      <c r="R76" s="122"/>
      <c r="S76" s="122"/>
      <c r="T76" s="258" t="s">
        <v>803</v>
      </c>
      <c r="U76" s="120">
        <f>U77</f>
        <v>0</v>
      </c>
      <c r="V76" s="120">
        <v>0</v>
      </c>
      <c r="W76" s="120">
        <v>0</v>
      </c>
      <c r="X76" s="124"/>
    </row>
    <row r="77" spans="1:24" ht="51" hidden="1" customHeight="1" thickBot="1" x14ac:dyDescent="0.3">
      <c r="A77" s="124"/>
      <c r="B77" s="122" t="s">
        <v>122</v>
      </c>
      <c r="C77" s="122" t="s">
        <v>130</v>
      </c>
      <c r="D77" s="234" t="s">
        <v>805</v>
      </c>
      <c r="E77" s="122"/>
      <c r="F77" s="122"/>
      <c r="G77" s="122"/>
      <c r="H77" s="122"/>
      <c r="I77" s="122"/>
      <c r="J77" s="122"/>
      <c r="K77" s="122"/>
      <c r="L77" s="122"/>
      <c r="M77" s="122"/>
      <c r="N77" s="122"/>
      <c r="O77" s="122"/>
      <c r="P77" s="122"/>
      <c r="Q77" s="122"/>
      <c r="R77" s="122"/>
      <c r="S77" s="122" t="s">
        <v>243</v>
      </c>
      <c r="T77" s="154" t="s">
        <v>804</v>
      </c>
      <c r="U77" s="120">
        <f>П4ВСР!Z56</f>
        <v>0</v>
      </c>
      <c r="V77" s="120">
        <v>0</v>
      </c>
      <c r="W77" s="120">
        <v>0</v>
      </c>
      <c r="X77" s="124"/>
    </row>
    <row r="78" spans="1:24" ht="59.25" hidden="1" customHeight="1" thickBot="1" x14ac:dyDescent="0.3">
      <c r="A78" s="124"/>
      <c r="B78" s="168" t="s">
        <v>122</v>
      </c>
      <c r="C78" s="168" t="s">
        <v>130</v>
      </c>
      <c r="D78" s="234" t="s">
        <v>755</v>
      </c>
      <c r="E78" s="122"/>
      <c r="F78" s="122"/>
      <c r="G78" s="122"/>
      <c r="H78" s="122"/>
      <c r="I78" s="122"/>
      <c r="J78" s="122"/>
      <c r="K78" s="122"/>
      <c r="L78" s="122"/>
      <c r="M78" s="122"/>
      <c r="N78" s="122"/>
      <c r="O78" s="122"/>
      <c r="P78" s="122"/>
      <c r="Q78" s="122"/>
      <c r="R78" s="122"/>
      <c r="S78" s="122"/>
      <c r="T78" s="155" t="s">
        <v>757</v>
      </c>
      <c r="U78" s="120">
        <f>U79</f>
        <v>0</v>
      </c>
      <c r="V78" s="120">
        <f>V79</f>
        <v>0</v>
      </c>
      <c r="W78" s="120">
        <f>W79</f>
        <v>0</v>
      </c>
      <c r="X78" s="124"/>
    </row>
    <row r="79" spans="1:24" ht="63" hidden="1" customHeight="1" thickBot="1" x14ac:dyDescent="0.3">
      <c r="A79" s="124"/>
      <c r="B79" s="168" t="s">
        <v>122</v>
      </c>
      <c r="C79" s="168" t="s">
        <v>130</v>
      </c>
      <c r="D79" s="234" t="s">
        <v>755</v>
      </c>
      <c r="E79" s="122"/>
      <c r="F79" s="122"/>
      <c r="G79" s="122"/>
      <c r="H79" s="122"/>
      <c r="I79" s="122"/>
      <c r="J79" s="122"/>
      <c r="K79" s="122"/>
      <c r="L79" s="122"/>
      <c r="M79" s="122"/>
      <c r="N79" s="122"/>
      <c r="O79" s="122"/>
      <c r="P79" s="122"/>
      <c r="Q79" s="122"/>
      <c r="R79" s="122"/>
      <c r="S79" s="168" t="s">
        <v>294</v>
      </c>
      <c r="T79" s="154" t="s">
        <v>758</v>
      </c>
      <c r="U79" s="120">
        <f>П4ВСР!Z58</f>
        <v>0</v>
      </c>
      <c r="V79" s="120">
        <v>0</v>
      </c>
      <c r="W79" s="120">
        <v>0</v>
      </c>
      <c r="X79" s="124"/>
    </row>
    <row r="80" spans="1:24" ht="150.75" customHeight="1" thickBot="1" x14ac:dyDescent="0.3">
      <c r="A80" s="124"/>
      <c r="B80" s="136" t="s">
        <v>122</v>
      </c>
      <c r="C80" s="136" t="s">
        <v>130</v>
      </c>
      <c r="D80" s="234" t="s">
        <v>1388</v>
      </c>
      <c r="E80" s="122"/>
      <c r="F80" s="122"/>
      <c r="G80" s="122"/>
      <c r="H80" s="122"/>
      <c r="I80" s="122"/>
      <c r="J80" s="122"/>
      <c r="K80" s="122"/>
      <c r="L80" s="122"/>
      <c r="M80" s="122"/>
      <c r="N80" s="122"/>
      <c r="O80" s="122"/>
      <c r="P80" s="122"/>
      <c r="Q80" s="122"/>
      <c r="R80" s="122"/>
      <c r="S80" s="168"/>
      <c r="T80" s="165" t="s">
        <v>1404</v>
      </c>
      <c r="U80" s="120">
        <f>U81</f>
        <v>2427810.9699999997</v>
      </c>
      <c r="V80" s="120">
        <f>V81</f>
        <v>3489834.84</v>
      </c>
      <c r="W80" s="120">
        <f>W81</f>
        <v>3489834.84</v>
      </c>
      <c r="X80" s="124"/>
    </row>
    <row r="81" spans="1:24" ht="57.75" customHeight="1" x14ac:dyDescent="0.25">
      <c r="A81" s="124"/>
      <c r="B81" s="136" t="s">
        <v>122</v>
      </c>
      <c r="C81" s="136" t="s">
        <v>130</v>
      </c>
      <c r="D81" s="234" t="s">
        <v>1388</v>
      </c>
      <c r="E81" s="122"/>
      <c r="F81" s="122"/>
      <c r="G81" s="122"/>
      <c r="H81" s="122"/>
      <c r="I81" s="122"/>
      <c r="J81" s="122"/>
      <c r="K81" s="122"/>
      <c r="L81" s="122"/>
      <c r="M81" s="122"/>
      <c r="N81" s="122"/>
      <c r="O81" s="122"/>
      <c r="P81" s="122"/>
      <c r="Q81" s="122"/>
      <c r="R81" s="122"/>
      <c r="S81" s="122" t="s">
        <v>294</v>
      </c>
      <c r="T81" s="135" t="s">
        <v>711</v>
      </c>
      <c r="U81" s="120">
        <f>П4ВСР!Z60</f>
        <v>2427810.9699999997</v>
      </c>
      <c r="V81" s="120">
        <f>П4ВСР!AA59</f>
        <v>3489834.84</v>
      </c>
      <c r="W81" s="120">
        <f>П4ВСР!AB59</f>
        <v>3489834.84</v>
      </c>
      <c r="X81" s="124"/>
    </row>
    <row r="82" spans="1:24" ht="161.25" customHeight="1" x14ac:dyDescent="0.25">
      <c r="A82" s="124"/>
      <c r="B82" s="136" t="s">
        <v>122</v>
      </c>
      <c r="C82" s="136" t="s">
        <v>130</v>
      </c>
      <c r="D82" s="234" t="s">
        <v>1389</v>
      </c>
      <c r="E82" s="122"/>
      <c r="F82" s="122"/>
      <c r="G82" s="122"/>
      <c r="H82" s="122"/>
      <c r="I82" s="122"/>
      <c r="J82" s="122"/>
      <c r="K82" s="122"/>
      <c r="L82" s="122"/>
      <c r="M82" s="122"/>
      <c r="N82" s="122"/>
      <c r="O82" s="122"/>
      <c r="P82" s="122"/>
      <c r="Q82" s="122"/>
      <c r="R82" s="122"/>
      <c r="S82" s="168"/>
      <c r="T82" s="492" t="s">
        <v>1405</v>
      </c>
      <c r="U82" s="120">
        <f>U83+U84</f>
        <v>8531043.8099999987</v>
      </c>
      <c r="V82" s="120">
        <f>V83+V84</f>
        <v>8281043.8099999996</v>
      </c>
      <c r="W82" s="120">
        <f>W83+W84</f>
        <v>8281043.8099999996</v>
      </c>
      <c r="X82" s="124"/>
    </row>
    <row r="83" spans="1:24" ht="96" customHeight="1" x14ac:dyDescent="0.25">
      <c r="A83" s="124"/>
      <c r="B83" s="136" t="s">
        <v>122</v>
      </c>
      <c r="C83" s="136" t="s">
        <v>130</v>
      </c>
      <c r="D83" s="234" t="s">
        <v>1389</v>
      </c>
      <c r="E83" s="122"/>
      <c r="F83" s="122"/>
      <c r="G83" s="122"/>
      <c r="H83" s="122"/>
      <c r="I83" s="122"/>
      <c r="J83" s="122"/>
      <c r="K83" s="122"/>
      <c r="L83" s="122"/>
      <c r="M83" s="122"/>
      <c r="N83" s="122"/>
      <c r="O83" s="122"/>
      <c r="P83" s="122"/>
      <c r="Q83" s="122"/>
      <c r="R83" s="122"/>
      <c r="S83" s="122" t="s">
        <v>38</v>
      </c>
      <c r="T83" s="154" t="s">
        <v>726</v>
      </c>
      <c r="U83" s="120">
        <f>П4ВСР!Z62</f>
        <v>8281043.8099999996</v>
      </c>
      <c r="V83" s="120">
        <f>П4ВСР!AA62</f>
        <v>8181043.8099999996</v>
      </c>
      <c r="W83" s="120">
        <f>П4ВСР!AB62</f>
        <v>8181043.8099999996</v>
      </c>
      <c r="X83" s="124"/>
    </row>
    <row r="84" spans="1:24" ht="54" customHeight="1" x14ac:dyDescent="0.25">
      <c r="A84" s="124"/>
      <c r="B84" s="136" t="s">
        <v>122</v>
      </c>
      <c r="C84" s="136" t="s">
        <v>130</v>
      </c>
      <c r="D84" s="234" t="s">
        <v>1389</v>
      </c>
      <c r="E84" s="122"/>
      <c r="F84" s="122"/>
      <c r="G84" s="122"/>
      <c r="H84" s="122"/>
      <c r="I84" s="122"/>
      <c r="J84" s="122"/>
      <c r="K84" s="122"/>
      <c r="L84" s="122"/>
      <c r="M84" s="122"/>
      <c r="N84" s="122"/>
      <c r="O84" s="122"/>
      <c r="P84" s="122"/>
      <c r="Q84" s="122"/>
      <c r="R84" s="122"/>
      <c r="S84" s="122" t="s">
        <v>275</v>
      </c>
      <c r="T84" s="154" t="s">
        <v>565</v>
      </c>
      <c r="U84" s="120">
        <f>П4ВСР!Z63</f>
        <v>250000</v>
      </c>
      <c r="V84" s="120">
        <f>П4ВСР!AA63</f>
        <v>100000</v>
      </c>
      <c r="W84" s="120">
        <f>П4ВСР!AB63</f>
        <v>100000</v>
      </c>
      <c r="X84" s="124"/>
    </row>
    <row r="85" spans="1:24" ht="163.5" customHeight="1" x14ac:dyDescent="0.25">
      <c r="A85" s="124"/>
      <c r="B85" s="136" t="s">
        <v>122</v>
      </c>
      <c r="C85" s="136" t="s">
        <v>130</v>
      </c>
      <c r="D85" s="234" t="s">
        <v>1390</v>
      </c>
      <c r="E85" s="122"/>
      <c r="F85" s="122"/>
      <c r="G85" s="122"/>
      <c r="H85" s="122"/>
      <c r="I85" s="122"/>
      <c r="J85" s="122"/>
      <c r="K85" s="122"/>
      <c r="L85" s="122"/>
      <c r="M85" s="122"/>
      <c r="N85" s="122"/>
      <c r="O85" s="122"/>
      <c r="P85" s="122"/>
      <c r="Q85" s="122"/>
      <c r="R85" s="122"/>
      <c r="S85" s="168"/>
      <c r="T85" s="492" t="s">
        <v>1406</v>
      </c>
      <c r="U85" s="120">
        <f>U86+U87</f>
        <v>5531834.3799999999</v>
      </c>
      <c r="V85" s="120">
        <f>V86+V87</f>
        <v>5431834.3799999999</v>
      </c>
      <c r="W85" s="120">
        <f>W86+W87</f>
        <v>5431834.3799999999</v>
      </c>
      <c r="X85" s="124"/>
    </row>
    <row r="86" spans="1:24" ht="103.5" customHeight="1" x14ac:dyDescent="0.25">
      <c r="A86" s="124"/>
      <c r="B86" s="136" t="s">
        <v>122</v>
      </c>
      <c r="C86" s="136" t="s">
        <v>130</v>
      </c>
      <c r="D86" s="234" t="s">
        <v>1390</v>
      </c>
      <c r="E86" s="122"/>
      <c r="F86" s="122"/>
      <c r="G86" s="122"/>
      <c r="H86" s="122"/>
      <c r="I86" s="122"/>
      <c r="J86" s="122"/>
      <c r="K86" s="122"/>
      <c r="L86" s="122"/>
      <c r="M86" s="122"/>
      <c r="N86" s="122"/>
      <c r="O86" s="122"/>
      <c r="P86" s="122"/>
      <c r="Q86" s="122"/>
      <c r="R86" s="122"/>
      <c r="S86" s="122" t="s">
        <v>38</v>
      </c>
      <c r="T86" s="154" t="s">
        <v>726</v>
      </c>
      <c r="U86" s="120">
        <f>П4ВСР!Z65</f>
        <v>5431834.3799999999</v>
      </c>
      <c r="V86" s="120">
        <f>П4ВСР!AA65</f>
        <v>5331834.38</v>
      </c>
      <c r="W86" s="120">
        <f>П4ВСР!AB65</f>
        <v>5331834.38</v>
      </c>
      <c r="X86" s="124"/>
    </row>
    <row r="87" spans="1:24" ht="52.5" customHeight="1" x14ac:dyDescent="0.25">
      <c r="A87" s="124"/>
      <c r="B87" s="163" t="s">
        <v>122</v>
      </c>
      <c r="C87" s="163" t="s">
        <v>130</v>
      </c>
      <c r="D87" s="248" t="s">
        <v>1390</v>
      </c>
      <c r="E87" s="495"/>
      <c r="F87" s="495"/>
      <c r="G87" s="495"/>
      <c r="H87" s="495"/>
      <c r="I87" s="495"/>
      <c r="J87" s="495"/>
      <c r="K87" s="495"/>
      <c r="L87" s="495"/>
      <c r="M87" s="495"/>
      <c r="N87" s="495"/>
      <c r="O87" s="495"/>
      <c r="P87" s="495"/>
      <c r="Q87" s="495"/>
      <c r="R87" s="495"/>
      <c r="S87" s="495" t="s">
        <v>275</v>
      </c>
      <c r="T87" s="793" t="s">
        <v>565</v>
      </c>
      <c r="U87" s="791">
        <f>П4ВСР!Z66</f>
        <v>100000</v>
      </c>
      <c r="V87" s="120">
        <f>П4ВСР!AA66</f>
        <v>100000</v>
      </c>
      <c r="W87" s="120">
        <f>П4ВСР!AB66</f>
        <v>100000</v>
      </c>
      <c r="X87" s="124"/>
    </row>
    <row r="88" spans="1:24" s="18" customFormat="1" ht="155.25" customHeight="1" x14ac:dyDescent="0.25">
      <c r="A88" s="795"/>
      <c r="B88" s="499" t="s">
        <v>122</v>
      </c>
      <c r="C88" s="499" t="s">
        <v>130</v>
      </c>
      <c r="D88" s="237" t="s">
        <v>1492</v>
      </c>
      <c r="E88" s="558"/>
      <c r="F88" s="558"/>
      <c r="G88" s="558"/>
      <c r="H88" s="558"/>
      <c r="I88" s="558"/>
      <c r="J88" s="558"/>
      <c r="K88" s="558"/>
      <c r="L88" s="558"/>
      <c r="M88" s="558"/>
      <c r="N88" s="558"/>
      <c r="O88" s="558"/>
      <c r="P88" s="558"/>
      <c r="Q88" s="558"/>
      <c r="R88" s="558"/>
      <c r="S88" s="558"/>
      <c r="T88" s="834" t="s">
        <v>1493</v>
      </c>
      <c r="U88" s="522">
        <f>U89</f>
        <v>154966</v>
      </c>
      <c r="V88" s="522">
        <f t="shared" ref="V88:W88" si="5">V89</f>
        <v>0</v>
      </c>
      <c r="W88" s="522">
        <f t="shared" si="5"/>
        <v>0</v>
      </c>
      <c r="X88" s="124"/>
    </row>
    <row r="89" spans="1:24" s="837" customFormat="1" ht="48.75" customHeight="1" x14ac:dyDescent="0.25">
      <c r="A89" s="835"/>
      <c r="B89" s="498" t="s">
        <v>122</v>
      </c>
      <c r="C89" s="498" t="s">
        <v>130</v>
      </c>
      <c r="D89" s="237" t="s">
        <v>1492</v>
      </c>
      <c r="E89" s="528"/>
      <c r="F89" s="528"/>
      <c r="G89" s="528"/>
      <c r="H89" s="528"/>
      <c r="I89" s="528"/>
      <c r="J89" s="528"/>
      <c r="K89" s="528"/>
      <c r="L89" s="528"/>
      <c r="M89" s="528"/>
      <c r="N89" s="528"/>
      <c r="O89" s="528"/>
      <c r="P89" s="528"/>
      <c r="Q89" s="528"/>
      <c r="R89" s="528"/>
      <c r="S89" s="528" t="s">
        <v>243</v>
      </c>
      <c r="T89" s="833" t="s">
        <v>763</v>
      </c>
      <c r="U89" s="836">
        <f>П4ВСР!Z73</f>
        <v>154966</v>
      </c>
      <c r="V89" s="836">
        <f>П4ВСР!AA73</f>
        <v>0</v>
      </c>
      <c r="W89" s="836">
        <f>П4ВСР!AB73</f>
        <v>0</v>
      </c>
      <c r="X89" s="121"/>
    </row>
    <row r="90" spans="1:24" s="837" customFormat="1" ht="146.25" hidden="1" customHeight="1" x14ac:dyDescent="0.25">
      <c r="A90" s="835"/>
      <c r="B90" s="498" t="s">
        <v>124</v>
      </c>
      <c r="C90" s="498" t="s">
        <v>123</v>
      </c>
      <c r="D90" s="247" t="s">
        <v>771</v>
      </c>
      <c r="E90" s="528"/>
      <c r="F90" s="528"/>
      <c r="G90" s="528"/>
      <c r="H90" s="528"/>
      <c r="I90" s="528"/>
      <c r="J90" s="528"/>
      <c r="K90" s="528"/>
      <c r="L90" s="528"/>
      <c r="M90" s="528"/>
      <c r="N90" s="528"/>
      <c r="O90" s="528"/>
      <c r="P90" s="528"/>
      <c r="Q90" s="528"/>
      <c r="R90" s="528"/>
      <c r="S90" s="528"/>
      <c r="T90" s="834" t="s">
        <v>1493</v>
      </c>
      <c r="U90" s="836">
        <f>U91</f>
        <v>0</v>
      </c>
      <c r="V90" s="836">
        <v>0</v>
      </c>
      <c r="W90" s="836">
        <v>0</v>
      </c>
      <c r="X90" s="857"/>
    </row>
    <row r="91" spans="1:24" s="837" customFormat="1" ht="50.25" hidden="1" customHeight="1" x14ac:dyDescent="0.25">
      <c r="A91" s="835"/>
      <c r="B91" s="498" t="s">
        <v>124</v>
      </c>
      <c r="C91" s="498" t="s">
        <v>123</v>
      </c>
      <c r="D91" s="247" t="s">
        <v>771</v>
      </c>
      <c r="E91" s="528"/>
      <c r="F91" s="528"/>
      <c r="G91" s="528"/>
      <c r="H91" s="528"/>
      <c r="I91" s="528"/>
      <c r="J91" s="528"/>
      <c r="K91" s="528"/>
      <c r="L91" s="528"/>
      <c r="M91" s="528"/>
      <c r="N91" s="528"/>
      <c r="O91" s="528"/>
      <c r="P91" s="528"/>
      <c r="Q91" s="528"/>
      <c r="R91" s="528"/>
      <c r="S91" s="528" t="s">
        <v>427</v>
      </c>
      <c r="T91" s="855" t="s">
        <v>1185</v>
      </c>
      <c r="U91" s="836">
        <f>П4ВСР!Z384</f>
        <v>0</v>
      </c>
      <c r="V91" s="836">
        <v>0</v>
      </c>
      <c r="W91" s="836">
        <v>0</v>
      </c>
      <c r="X91" s="857"/>
    </row>
    <row r="92" spans="1:24" s="837" customFormat="1" ht="157.5" customHeight="1" x14ac:dyDescent="0.25">
      <c r="A92" s="835"/>
      <c r="B92" s="499" t="s">
        <v>122</v>
      </c>
      <c r="C92" s="499" t="s">
        <v>130</v>
      </c>
      <c r="D92" s="237" t="s">
        <v>1492</v>
      </c>
      <c r="E92" s="558"/>
      <c r="F92" s="558"/>
      <c r="G92" s="558"/>
      <c r="H92" s="558"/>
      <c r="I92" s="558"/>
      <c r="J92" s="558"/>
      <c r="K92" s="558"/>
      <c r="L92" s="558"/>
      <c r="M92" s="558"/>
      <c r="N92" s="558"/>
      <c r="O92" s="558"/>
      <c r="P92" s="558"/>
      <c r="Q92" s="558"/>
      <c r="R92" s="558"/>
      <c r="S92" s="558"/>
      <c r="T92" s="889" t="s">
        <v>1493</v>
      </c>
      <c r="U92" s="891">
        <f>U93</f>
        <v>197532.26</v>
      </c>
      <c r="V92" s="891">
        <v>0</v>
      </c>
      <c r="W92" s="891">
        <v>0</v>
      </c>
      <c r="X92" s="857"/>
    </row>
    <row r="93" spans="1:24" s="837" customFormat="1" ht="50.25" customHeight="1" x14ac:dyDescent="0.25">
      <c r="A93" s="835"/>
      <c r="B93" s="498" t="s">
        <v>122</v>
      </c>
      <c r="C93" s="498" t="s">
        <v>130</v>
      </c>
      <c r="D93" s="237" t="s">
        <v>1492</v>
      </c>
      <c r="E93" s="528"/>
      <c r="F93" s="528"/>
      <c r="G93" s="528"/>
      <c r="H93" s="528"/>
      <c r="I93" s="528"/>
      <c r="J93" s="528"/>
      <c r="K93" s="528"/>
      <c r="L93" s="528"/>
      <c r="M93" s="528"/>
      <c r="N93" s="528"/>
      <c r="O93" s="528"/>
      <c r="P93" s="528"/>
      <c r="Q93" s="528"/>
      <c r="R93" s="528"/>
      <c r="S93" s="528" t="s">
        <v>427</v>
      </c>
      <c r="T93" s="890" t="s">
        <v>1185</v>
      </c>
      <c r="U93" s="891">
        <f>П4ВСР!Z368</f>
        <v>197532.26</v>
      </c>
      <c r="V93" s="891">
        <v>0</v>
      </c>
      <c r="W93" s="891">
        <v>0</v>
      </c>
      <c r="X93" s="857"/>
    </row>
    <row r="94" spans="1:24" ht="129.75" customHeight="1" x14ac:dyDescent="0.25">
      <c r="A94" s="795"/>
      <c r="B94" s="777" t="s">
        <v>122</v>
      </c>
      <c r="C94" s="777" t="s">
        <v>130</v>
      </c>
      <c r="D94" s="288" t="s">
        <v>1457</v>
      </c>
      <c r="E94" s="830"/>
      <c r="F94" s="830"/>
      <c r="G94" s="830"/>
      <c r="H94" s="830"/>
      <c r="I94" s="830"/>
      <c r="J94" s="830"/>
      <c r="K94" s="830"/>
      <c r="L94" s="830"/>
      <c r="M94" s="830"/>
      <c r="N94" s="830"/>
      <c r="O94" s="830"/>
      <c r="P94" s="830"/>
      <c r="Q94" s="830"/>
      <c r="R94" s="830"/>
      <c r="S94" s="830"/>
      <c r="T94" s="831" t="s">
        <v>1458</v>
      </c>
      <c r="U94" s="832">
        <f>U95</f>
        <v>3000000</v>
      </c>
      <c r="V94" s="858">
        <v>0</v>
      </c>
      <c r="W94" s="521">
        <v>0</v>
      </c>
      <c r="X94" s="124"/>
    </row>
    <row r="95" spans="1:24" ht="52.5" customHeight="1" x14ac:dyDescent="0.25">
      <c r="A95" s="795"/>
      <c r="B95" s="516" t="s">
        <v>122</v>
      </c>
      <c r="C95" s="516" t="s">
        <v>130</v>
      </c>
      <c r="D95" s="248" t="s">
        <v>1457</v>
      </c>
      <c r="E95" s="862"/>
      <c r="F95" s="862"/>
      <c r="G95" s="862"/>
      <c r="H95" s="862"/>
      <c r="I95" s="862"/>
      <c r="J95" s="862"/>
      <c r="K95" s="862"/>
      <c r="L95" s="862"/>
      <c r="M95" s="862"/>
      <c r="N95" s="862"/>
      <c r="O95" s="862"/>
      <c r="P95" s="862"/>
      <c r="Q95" s="862"/>
      <c r="R95" s="862"/>
      <c r="S95" s="862" t="s">
        <v>294</v>
      </c>
      <c r="T95" s="863" t="s">
        <v>711</v>
      </c>
      <c r="U95" s="864">
        <f>П4ВСР!Z67</f>
        <v>3000000</v>
      </c>
      <c r="V95" s="181">
        <v>0</v>
      </c>
      <c r="W95" s="120">
        <v>0</v>
      </c>
      <c r="X95" s="124"/>
    </row>
    <row r="96" spans="1:24" ht="163.5" customHeight="1" x14ac:dyDescent="0.25">
      <c r="A96" s="795"/>
      <c r="B96" s="498" t="s">
        <v>122</v>
      </c>
      <c r="C96" s="498" t="s">
        <v>130</v>
      </c>
      <c r="D96" s="234" t="s">
        <v>1514</v>
      </c>
      <c r="E96" s="528"/>
      <c r="F96" s="528"/>
      <c r="G96" s="528"/>
      <c r="H96" s="528"/>
      <c r="I96" s="528"/>
      <c r="J96" s="528"/>
      <c r="K96" s="528"/>
      <c r="L96" s="528"/>
      <c r="M96" s="528"/>
      <c r="N96" s="528"/>
      <c r="O96" s="528"/>
      <c r="P96" s="528"/>
      <c r="Q96" s="528"/>
      <c r="R96" s="528"/>
      <c r="S96" s="866"/>
      <c r="T96" s="19" t="s">
        <v>1513</v>
      </c>
      <c r="U96" s="867">
        <f>П4ВСР!Z69</f>
        <v>1442023.87</v>
      </c>
      <c r="V96" s="181">
        <v>0</v>
      </c>
      <c r="W96" s="120">
        <v>0</v>
      </c>
      <c r="X96" s="124"/>
    </row>
    <row r="97" spans="1:24" ht="111" customHeight="1" x14ac:dyDescent="0.25">
      <c r="A97" s="795"/>
      <c r="B97" s="498" t="s">
        <v>122</v>
      </c>
      <c r="C97" s="498" t="s">
        <v>130</v>
      </c>
      <c r="D97" s="234" t="s">
        <v>1514</v>
      </c>
      <c r="E97" s="528"/>
      <c r="F97" s="528"/>
      <c r="G97" s="528"/>
      <c r="H97" s="528"/>
      <c r="I97" s="528"/>
      <c r="J97" s="528"/>
      <c r="K97" s="528"/>
      <c r="L97" s="528"/>
      <c r="M97" s="528"/>
      <c r="N97" s="528"/>
      <c r="O97" s="528"/>
      <c r="P97" s="528"/>
      <c r="Q97" s="528"/>
      <c r="R97" s="528"/>
      <c r="S97" s="528" t="s">
        <v>38</v>
      </c>
      <c r="T97" s="868" t="s">
        <v>726</v>
      </c>
      <c r="U97" s="522">
        <f>П4ВСР!Z70</f>
        <v>1173001.8700000001</v>
      </c>
      <c r="V97" s="181">
        <v>0</v>
      </c>
      <c r="W97" s="120">
        <v>0</v>
      </c>
      <c r="X97" s="124"/>
    </row>
    <row r="98" spans="1:24" ht="52.5" customHeight="1" x14ac:dyDescent="0.25">
      <c r="A98" s="795"/>
      <c r="B98" s="498" t="s">
        <v>122</v>
      </c>
      <c r="C98" s="498" t="s">
        <v>130</v>
      </c>
      <c r="D98" s="234" t="s">
        <v>1514</v>
      </c>
      <c r="E98" s="528"/>
      <c r="F98" s="528"/>
      <c r="G98" s="528"/>
      <c r="H98" s="528"/>
      <c r="I98" s="528"/>
      <c r="J98" s="528"/>
      <c r="K98" s="528"/>
      <c r="L98" s="528"/>
      <c r="M98" s="528"/>
      <c r="N98" s="528"/>
      <c r="O98" s="528"/>
      <c r="P98" s="528"/>
      <c r="Q98" s="528"/>
      <c r="R98" s="528"/>
      <c r="S98" s="528" t="s">
        <v>275</v>
      </c>
      <c r="T98" s="833" t="s">
        <v>565</v>
      </c>
      <c r="U98" s="522">
        <f>П4ВСР!Z71</f>
        <v>269022</v>
      </c>
      <c r="V98" s="181">
        <v>0</v>
      </c>
      <c r="W98" s="120">
        <v>0</v>
      </c>
      <c r="X98" s="124"/>
    </row>
    <row r="99" spans="1:24" ht="130.5" customHeight="1" x14ac:dyDescent="0.25">
      <c r="A99" s="124"/>
      <c r="B99" s="527" t="s">
        <v>122</v>
      </c>
      <c r="C99" s="527" t="s">
        <v>130</v>
      </c>
      <c r="D99" s="288" t="s">
        <v>1419</v>
      </c>
      <c r="E99" s="526"/>
      <c r="F99" s="526"/>
      <c r="G99" s="526"/>
      <c r="H99" s="526"/>
      <c r="I99" s="526"/>
      <c r="J99" s="526"/>
      <c r="K99" s="526"/>
      <c r="L99" s="526"/>
      <c r="M99" s="526"/>
      <c r="N99" s="526"/>
      <c r="O99" s="526"/>
      <c r="P99" s="526"/>
      <c r="Q99" s="526"/>
      <c r="R99" s="526"/>
      <c r="S99" s="526"/>
      <c r="T99" s="284" t="s">
        <v>1418</v>
      </c>
      <c r="U99" s="521">
        <f>U100</f>
        <v>12625117.310000001</v>
      </c>
      <c r="V99" s="120">
        <v>0</v>
      </c>
      <c r="W99" s="120">
        <v>0</v>
      </c>
      <c r="X99" s="124"/>
    </row>
    <row r="100" spans="1:24" ht="50.25" customHeight="1" x14ac:dyDescent="0.25">
      <c r="A100" s="124"/>
      <c r="B100" s="136" t="s">
        <v>122</v>
      </c>
      <c r="C100" s="136" t="s">
        <v>130</v>
      </c>
      <c r="D100" s="234" t="s">
        <v>1419</v>
      </c>
      <c r="E100" s="122"/>
      <c r="F100" s="122"/>
      <c r="G100" s="122"/>
      <c r="H100" s="122"/>
      <c r="I100" s="122"/>
      <c r="J100" s="122"/>
      <c r="K100" s="122"/>
      <c r="L100" s="122"/>
      <c r="M100" s="122"/>
      <c r="N100" s="122"/>
      <c r="O100" s="122"/>
      <c r="P100" s="122"/>
      <c r="Q100" s="122"/>
      <c r="R100" s="122"/>
      <c r="S100" s="122" t="s">
        <v>275</v>
      </c>
      <c r="T100" s="154" t="s">
        <v>565</v>
      </c>
      <c r="U100" s="120">
        <f>П4ВСР!Z74</f>
        <v>12625117.310000001</v>
      </c>
      <c r="V100" s="120">
        <v>0</v>
      </c>
      <c r="W100" s="120">
        <v>0</v>
      </c>
      <c r="X100" s="124"/>
    </row>
    <row r="101" spans="1:24" ht="136.5" customHeight="1" x14ac:dyDescent="0.25">
      <c r="A101" s="124"/>
      <c r="B101" s="136" t="s">
        <v>122</v>
      </c>
      <c r="C101" s="136" t="s">
        <v>130</v>
      </c>
      <c r="D101" s="234" t="s">
        <v>1419</v>
      </c>
      <c r="E101" s="122"/>
      <c r="F101" s="122"/>
      <c r="G101" s="122"/>
      <c r="H101" s="122"/>
      <c r="I101" s="122"/>
      <c r="J101" s="122"/>
      <c r="K101" s="122"/>
      <c r="L101" s="122"/>
      <c r="M101" s="122"/>
      <c r="N101" s="122"/>
      <c r="O101" s="122"/>
      <c r="P101" s="122"/>
      <c r="Q101" s="122"/>
      <c r="R101" s="122"/>
      <c r="S101" s="122"/>
      <c r="T101" s="284" t="s">
        <v>1418</v>
      </c>
      <c r="U101" s="120">
        <f>U102</f>
        <v>855488.03</v>
      </c>
      <c r="V101" s="120">
        <v>0</v>
      </c>
      <c r="W101" s="120">
        <v>0</v>
      </c>
      <c r="X101" s="124"/>
    </row>
    <row r="102" spans="1:24" ht="50.25" customHeight="1" x14ac:dyDescent="0.25">
      <c r="A102" s="124"/>
      <c r="B102" s="136" t="s">
        <v>122</v>
      </c>
      <c r="C102" s="136" t="s">
        <v>130</v>
      </c>
      <c r="D102" s="234" t="s">
        <v>1419</v>
      </c>
      <c r="E102" s="122"/>
      <c r="F102" s="122"/>
      <c r="G102" s="122"/>
      <c r="H102" s="122"/>
      <c r="I102" s="122"/>
      <c r="J102" s="122"/>
      <c r="K102" s="122"/>
      <c r="L102" s="122"/>
      <c r="M102" s="122"/>
      <c r="N102" s="122"/>
      <c r="O102" s="122"/>
      <c r="P102" s="122"/>
      <c r="Q102" s="122"/>
      <c r="R102" s="122"/>
      <c r="S102" s="122" t="s">
        <v>427</v>
      </c>
      <c r="T102" s="747" t="s">
        <v>1185</v>
      </c>
      <c r="U102" s="120">
        <f>П4ВСР!Z385</f>
        <v>855488.03</v>
      </c>
      <c r="V102" s="120">
        <v>0</v>
      </c>
      <c r="W102" s="120">
        <v>0</v>
      </c>
      <c r="X102" s="124"/>
    </row>
    <row r="103" spans="1:24" ht="183.75" customHeight="1" x14ac:dyDescent="0.25">
      <c r="A103" s="124"/>
      <c r="B103" s="168" t="s">
        <v>122</v>
      </c>
      <c r="C103" s="168" t="s">
        <v>130</v>
      </c>
      <c r="D103" s="234" t="s">
        <v>910</v>
      </c>
      <c r="E103" s="122"/>
      <c r="F103" s="122"/>
      <c r="G103" s="122"/>
      <c r="H103" s="122"/>
      <c r="I103" s="122"/>
      <c r="J103" s="122"/>
      <c r="K103" s="122"/>
      <c r="L103" s="122"/>
      <c r="M103" s="122"/>
      <c r="N103" s="122"/>
      <c r="O103" s="122"/>
      <c r="P103" s="122"/>
      <c r="Q103" s="122"/>
      <c r="R103" s="122"/>
      <c r="S103" s="168"/>
      <c r="T103" s="286" t="s">
        <v>1296</v>
      </c>
      <c r="U103" s="120">
        <f>U104+U105</f>
        <v>600773.47</v>
      </c>
      <c r="V103" s="120">
        <f>V104+V105</f>
        <v>624227.66</v>
      </c>
      <c r="W103" s="120">
        <f>W104+W105</f>
        <v>646770.62</v>
      </c>
      <c r="X103" s="124"/>
    </row>
    <row r="104" spans="1:24" ht="99" customHeight="1" x14ac:dyDescent="0.25">
      <c r="A104" s="124"/>
      <c r="B104" s="168" t="s">
        <v>122</v>
      </c>
      <c r="C104" s="168" t="s">
        <v>130</v>
      </c>
      <c r="D104" s="234" t="s">
        <v>910</v>
      </c>
      <c r="E104" s="122"/>
      <c r="F104" s="122"/>
      <c r="G104" s="122"/>
      <c r="H104" s="122"/>
      <c r="I104" s="122"/>
      <c r="J104" s="122"/>
      <c r="K104" s="122"/>
      <c r="L104" s="122"/>
      <c r="M104" s="122"/>
      <c r="N104" s="122"/>
      <c r="O104" s="122"/>
      <c r="P104" s="122"/>
      <c r="Q104" s="122"/>
      <c r="R104" s="122"/>
      <c r="S104" s="122" t="s">
        <v>38</v>
      </c>
      <c r="T104" s="154" t="s">
        <v>726</v>
      </c>
      <c r="U104" s="120">
        <f>П4ВСР!Z77</f>
        <v>567063.41999999993</v>
      </c>
      <c r="V104" s="120">
        <f>П4ВСР!AA77</f>
        <v>590514.66</v>
      </c>
      <c r="W104" s="120">
        <f>П4ВСР!AB77</f>
        <v>613057.62</v>
      </c>
      <c r="X104" s="124"/>
    </row>
    <row r="105" spans="1:24" ht="47.25" customHeight="1" x14ac:dyDescent="0.25">
      <c r="A105" s="124"/>
      <c r="B105" s="168" t="s">
        <v>122</v>
      </c>
      <c r="C105" s="168" t="s">
        <v>130</v>
      </c>
      <c r="D105" s="234" t="s">
        <v>910</v>
      </c>
      <c r="E105" s="122"/>
      <c r="F105" s="122"/>
      <c r="G105" s="122"/>
      <c r="H105" s="122"/>
      <c r="I105" s="122"/>
      <c r="J105" s="122"/>
      <c r="K105" s="122"/>
      <c r="L105" s="122"/>
      <c r="M105" s="122"/>
      <c r="N105" s="122"/>
      <c r="O105" s="122"/>
      <c r="P105" s="122"/>
      <c r="Q105" s="122"/>
      <c r="R105" s="122"/>
      <c r="S105" s="122" t="s">
        <v>275</v>
      </c>
      <c r="T105" s="154" t="s">
        <v>565</v>
      </c>
      <c r="U105" s="120">
        <f>П4ВСР!Z78</f>
        <v>33710.050000000003</v>
      </c>
      <c r="V105" s="120">
        <f>П4ВСР!AA78</f>
        <v>33713</v>
      </c>
      <c r="W105" s="120">
        <f>П4ВСР!AB78</f>
        <v>33713</v>
      </c>
      <c r="X105" s="124"/>
    </row>
    <row r="106" spans="1:24" ht="270.75" customHeight="1" x14ac:dyDescent="0.25">
      <c r="A106" s="124"/>
      <c r="B106" s="168" t="s">
        <v>122</v>
      </c>
      <c r="C106" s="168" t="s">
        <v>130</v>
      </c>
      <c r="D106" s="234" t="s">
        <v>911</v>
      </c>
      <c r="E106" s="122"/>
      <c r="F106" s="122"/>
      <c r="G106" s="122"/>
      <c r="H106" s="122"/>
      <c r="I106" s="122"/>
      <c r="J106" s="122"/>
      <c r="K106" s="122"/>
      <c r="L106" s="122"/>
      <c r="M106" s="122"/>
      <c r="N106" s="122"/>
      <c r="O106" s="122"/>
      <c r="P106" s="122"/>
      <c r="Q106" s="122"/>
      <c r="R106" s="122"/>
      <c r="S106" s="168"/>
      <c r="T106" s="285" t="s">
        <v>1242</v>
      </c>
      <c r="U106" s="120">
        <f>U107+U108</f>
        <v>600773.46999999986</v>
      </c>
      <c r="V106" s="120">
        <f>V107+V108</f>
        <v>624227.65999999992</v>
      </c>
      <c r="W106" s="120">
        <f>W107+W108</f>
        <v>646770.61999999988</v>
      </c>
      <c r="X106" s="124"/>
    </row>
    <row r="107" spans="1:24" ht="102.75" customHeight="1" x14ac:dyDescent="0.25">
      <c r="A107" s="124"/>
      <c r="B107" s="168" t="s">
        <v>122</v>
      </c>
      <c r="C107" s="168" t="s">
        <v>130</v>
      </c>
      <c r="D107" s="234" t="s">
        <v>911</v>
      </c>
      <c r="E107" s="122"/>
      <c r="F107" s="122"/>
      <c r="G107" s="122"/>
      <c r="H107" s="122"/>
      <c r="I107" s="122"/>
      <c r="J107" s="122"/>
      <c r="K107" s="122"/>
      <c r="L107" s="122"/>
      <c r="M107" s="122"/>
      <c r="N107" s="122"/>
      <c r="O107" s="122"/>
      <c r="P107" s="122"/>
      <c r="Q107" s="122"/>
      <c r="R107" s="122"/>
      <c r="S107" s="122" t="s">
        <v>38</v>
      </c>
      <c r="T107" s="154" t="s">
        <v>727</v>
      </c>
      <c r="U107" s="120">
        <f>П4ВСР!Z80</f>
        <v>567895.99999999988</v>
      </c>
      <c r="V107" s="120">
        <f>П4ВСР!AA80</f>
        <v>591350.18999999994</v>
      </c>
      <c r="W107" s="120">
        <f>П4ВСР!AB80</f>
        <v>613893.14999999991</v>
      </c>
      <c r="X107" s="124"/>
    </row>
    <row r="108" spans="1:24" ht="53.25" customHeight="1" x14ac:dyDescent="0.25">
      <c r="A108" s="124"/>
      <c r="B108" s="168" t="s">
        <v>122</v>
      </c>
      <c r="C108" s="168" t="s">
        <v>130</v>
      </c>
      <c r="D108" s="234" t="s">
        <v>911</v>
      </c>
      <c r="E108" s="122"/>
      <c r="F108" s="122"/>
      <c r="G108" s="122"/>
      <c r="H108" s="122"/>
      <c r="I108" s="122"/>
      <c r="J108" s="122"/>
      <c r="K108" s="122"/>
      <c r="L108" s="122"/>
      <c r="M108" s="122"/>
      <c r="N108" s="122"/>
      <c r="O108" s="122"/>
      <c r="P108" s="122"/>
      <c r="Q108" s="122"/>
      <c r="R108" s="122"/>
      <c r="S108" s="122" t="s">
        <v>275</v>
      </c>
      <c r="T108" s="154" t="s">
        <v>565</v>
      </c>
      <c r="U108" s="120">
        <f>П4ВСР!Z81</f>
        <v>32877.47</v>
      </c>
      <c r="V108" s="120">
        <f>П4ВСР!AA81</f>
        <v>32877.47</v>
      </c>
      <c r="W108" s="120">
        <f>П4ВСР!AB81</f>
        <v>32877.47</v>
      </c>
      <c r="X108" s="124"/>
    </row>
    <row r="109" spans="1:24" ht="170.25" customHeight="1" x14ac:dyDescent="0.25">
      <c r="A109" s="124" t="s">
        <v>231</v>
      </c>
      <c r="B109" s="134" t="s">
        <v>122</v>
      </c>
      <c r="C109" s="134" t="s">
        <v>130</v>
      </c>
      <c r="D109" s="134" t="s">
        <v>591</v>
      </c>
      <c r="E109" s="134"/>
      <c r="F109" s="134"/>
      <c r="G109" s="134"/>
      <c r="H109" s="134"/>
      <c r="I109" s="134"/>
      <c r="J109" s="134"/>
      <c r="K109" s="134"/>
      <c r="L109" s="134"/>
      <c r="M109" s="134"/>
      <c r="N109" s="134"/>
      <c r="O109" s="134"/>
      <c r="P109" s="134"/>
      <c r="Q109" s="134"/>
      <c r="R109" s="134"/>
      <c r="S109" s="134"/>
      <c r="T109" s="285" t="s">
        <v>1298</v>
      </c>
      <c r="U109" s="120">
        <f>U110+U111</f>
        <v>611757.47</v>
      </c>
      <c r="V109" s="120">
        <f>V110+V111</f>
        <v>635211.66</v>
      </c>
      <c r="W109" s="120">
        <f>W110+W111</f>
        <v>657754.62</v>
      </c>
      <c r="X109" s="124" t="s">
        <v>231</v>
      </c>
    </row>
    <row r="110" spans="1:24" ht="103.5" customHeight="1" x14ac:dyDescent="0.25">
      <c r="A110" s="124" t="s">
        <v>295</v>
      </c>
      <c r="B110" s="140" t="s">
        <v>122</v>
      </c>
      <c r="C110" s="140" t="s">
        <v>130</v>
      </c>
      <c r="D110" s="134" t="s">
        <v>591</v>
      </c>
      <c r="E110" s="140"/>
      <c r="F110" s="140"/>
      <c r="G110" s="140"/>
      <c r="H110" s="140"/>
      <c r="I110" s="140"/>
      <c r="J110" s="140"/>
      <c r="K110" s="140"/>
      <c r="L110" s="140"/>
      <c r="M110" s="140"/>
      <c r="N110" s="140"/>
      <c r="O110" s="140"/>
      <c r="P110" s="140"/>
      <c r="Q110" s="140"/>
      <c r="R110" s="140"/>
      <c r="S110" s="140" t="s">
        <v>38</v>
      </c>
      <c r="T110" s="154" t="s">
        <v>726</v>
      </c>
      <c r="U110" s="120">
        <f>П4ВСР!Z83</f>
        <v>565676.41999999993</v>
      </c>
      <c r="V110" s="120">
        <f>П4ВСР!AA83</f>
        <v>589130.61</v>
      </c>
      <c r="W110" s="120">
        <f>П4ВСР!AB83</f>
        <v>611673.56999999995</v>
      </c>
      <c r="X110" s="124" t="s">
        <v>295</v>
      </c>
    </row>
    <row r="111" spans="1:24" ht="60" customHeight="1" x14ac:dyDescent="0.25">
      <c r="A111" s="124" t="s">
        <v>296</v>
      </c>
      <c r="B111" s="140" t="s">
        <v>122</v>
      </c>
      <c r="C111" s="140" t="s">
        <v>130</v>
      </c>
      <c r="D111" s="134" t="s">
        <v>591</v>
      </c>
      <c r="E111" s="140"/>
      <c r="F111" s="140"/>
      <c r="G111" s="140"/>
      <c r="H111" s="140"/>
      <c r="I111" s="140"/>
      <c r="J111" s="140"/>
      <c r="K111" s="140"/>
      <c r="L111" s="140"/>
      <c r="M111" s="140"/>
      <c r="N111" s="140"/>
      <c r="O111" s="140"/>
      <c r="P111" s="140"/>
      <c r="Q111" s="140"/>
      <c r="R111" s="140"/>
      <c r="S111" s="140" t="s">
        <v>275</v>
      </c>
      <c r="T111" s="154" t="s">
        <v>565</v>
      </c>
      <c r="U111" s="120">
        <f>П4ВСР!Z84</f>
        <v>46081.05</v>
      </c>
      <c r="V111" s="120">
        <f>П4ВСР!AA84</f>
        <v>46081.05</v>
      </c>
      <c r="W111" s="120">
        <f>П4ВСР!AB84</f>
        <v>46081.05</v>
      </c>
      <c r="X111" s="124" t="s">
        <v>296</v>
      </c>
    </row>
    <row r="112" spans="1:24" ht="87" hidden="1" customHeight="1" x14ac:dyDescent="0.25">
      <c r="A112" s="124"/>
      <c r="B112" s="140" t="s">
        <v>122</v>
      </c>
      <c r="C112" s="140" t="s">
        <v>130</v>
      </c>
      <c r="D112" s="234" t="s">
        <v>778</v>
      </c>
      <c r="E112" s="140"/>
      <c r="F112" s="140"/>
      <c r="G112" s="140"/>
      <c r="H112" s="140"/>
      <c r="I112" s="140"/>
      <c r="J112" s="140"/>
      <c r="K112" s="140"/>
      <c r="L112" s="140"/>
      <c r="M112" s="140"/>
      <c r="N112" s="140"/>
      <c r="O112" s="140"/>
      <c r="P112" s="140"/>
      <c r="Q112" s="140"/>
      <c r="R112" s="140"/>
      <c r="S112" s="140"/>
      <c r="T112" s="155" t="s">
        <v>776</v>
      </c>
      <c r="U112" s="120">
        <f>U113</f>
        <v>1970000.92</v>
      </c>
      <c r="V112" s="120">
        <v>0</v>
      </c>
      <c r="W112" s="120">
        <v>0</v>
      </c>
      <c r="X112" s="124"/>
    </row>
    <row r="113" spans="1:27" ht="54" hidden="1" customHeight="1" x14ac:dyDescent="0.25">
      <c r="A113" s="124"/>
      <c r="B113" s="140" t="s">
        <v>122</v>
      </c>
      <c r="C113" s="140" t="s">
        <v>130</v>
      </c>
      <c r="D113" s="234" t="s">
        <v>778</v>
      </c>
      <c r="E113" s="140"/>
      <c r="F113" s="140"/>
      <c r="G113" s="140"/>
      <c r="H113" s="140"/>
      <c r="I113" s="140"/>
      <c r="J113" s="140"/>
      <c r="K113" s="140"/>
      <c r="L113" s="140"/>
      <c r="M113" s="140"/>
      <c r="N113" s="140"/>
      <c r="O113" s="140"/>
      <c r="P113" s="140"/>
      <c r="Q113" s="140"/>
      <c r="R113" s="140"/>
      <c r="S113" s="140" t="s">
        <v>275</v>
      </c>
      <c r="T113" s="154" t="s">
        <v>777</v>
      </c>
      <c r="U113" s="120">
        <f>П4ВСР!Z86</f>
        <v>1970000.92</v>
      </c>
      <c r="V113" s="120">
        <v>0</v>
      </c>
      <c r="W113" s="120">
        <v>0</v>
      </c>
      <c r="X113" s="124"/>
    </row>
    <row r="114" spans="1:27" ht="65.25" hidden="1" customHeight="1" x14ac:dyDescent="0.25">
      <c r="A114" s="124"/>
      <c r="B114" s="140" t="s">
        <v>122</v>
      </c>
      <c r="C114" s="140" t="s">
        <v>130</v>
      </c>
      <c r="D114" s="234" t="s">
        <v>1047</v>
      </c>
      <c r="E114" s="140"/>
      <c r="F114" s="140"/>
      <c r="G114" s="140"/>
      <c r="H114" s="140"/>
      <c r="I114" s="140"/>
      <c r="J114" s="140"/>
      <c r="K114" s="140"/>
      <c r="L114" s="140"/>
      <c r="M114" s="140"/>
      <c r="N114" s="140"/>
      <c r="O114" s="140"/>
      <c r="P114" s="140"/>
      <c r="Q114" s="140"/>
      <c r="R114" s="140"/>
      <c r="S114" s="140"/>
      <c r="T114" s="258" t="s">
        <v>1046</v>
      </c>
      <c r="U114" s="120">
        <f>U115</f>
        <v>0</v>
      </c>
      <c r="V114" s="120">
        <f>V115</f>
        <v>0</v>
      </c>
      <c r="W114" s="120">
        <f>W115</f>
        <v>0</v>
      </c>
      <c r="X114" s="124"/>
    </row>
    <row r="115" spans="1:27" ht="54" hidden="1" customHeight="1" x14ac:dyDescent="0.25">
      <c r="A115" s="124"/>
      <c r="B115" s="140" t="s">
        <v>122</v>
      </c>
      <c r="C115" s="140" t="s">
        <v>130</v>
      </c>
      <c r="D115" s="234" t="s">
        <v>1047</v>
      </c>
      <c r="E115" s="140"/>
      <c r="F115" s="140"/>
      <c r="G115" s="140"/>
      <c r="H115" s="140"/>
      <c r="I115" s="140"/>
      <c r="J115" s="140"/>
      <c r="K115" s="140"/>
      <c r="L115" s="140"/>
      <c r="M115" s="140"/>
      <c r="N115" s="140"/>
      <c r="O115" s="140"/>
      <c r="P115" s="140"/>
      <c r="Q115" s="140"/>
      <c r="R115" s="140"/>
      <c r="S115" s="140" t="s">
        <v>275</v>
      </c>
      <c r="T115" s="154" t="s">
        <v>565</v>
      </c>
      <c r="U115" s="120">
        <f>П4ВСР!Z89</f>
        <v>0</v>
      </c>
      <c r="V115" s="120">
        <f>П4ВСР!AA89</f>
        <v>0</v>
      </c>
      <c r="W115" s="120">
        <f>П4ВСР!AB89</f>
        <v>0</v>
      </c>
      <c r="X115" s="124"/>
    </row>
    <row r="116" spans="1:27" ht="72" hidden="1" customHeight="1" x14ac:dyDescent="0.25">
      <c r="A116" s="124"/>
      <c r="B116" s="140" t="s">
        <v>122</v>
      </c>
      <c r="C116" s="140" t="s">
        <v>130</v>
      </c>
      <c r="D116" s="234" t="s">
        <v>762</v>
      </c>
      <c r="E116" s="140"/>
      <c r="F116" s="140"/>
      <c r="G116" s="140"/>
      <c r="H116" s="140"/>
      <c r="I116" s="140"/>
      <c r="J116" s="140"/>
      <c r="K116" s="140"/>
      <c r="L116" s="140"/>
      <c r="M116" s="140"/>
      <c r="N116" s="140"/>
      <c r="O116" s="140"/>
      <c r="P116" s="140"/>
      <c r="Q116" s="140"/>
      <c r="R116" s="140"/>
      <c r="S116" s="140"/>
      <c r="T116" s="154" t="s">
        <v>761</v>
      </c>
      <c r="U116" s="120">
        <f>U117</f>
        <v>0</v>
      </c>
      <c r="V116" s="120">
        <v>0</v>
      </c>
      <c r="W116" s="120">
        <v>0</v>
      </c>
      <c r="X116" s="124"/>
    </row>
    <row r="117" spans="1:27" ht="31.5" hidden="1" customHeight="1" x14ac:dyDescent="0.25">
      <c r="A117" s="124"/>
      <c r="B117" s="140" t="s">
        <v>122</v>
      </c>
      <c r="C117" s="140" t="s">
        <v>130</v>
      </c>
      <c r="D117" s="234" t="s">
        <v>762</v>
      </c>
      <c r="E117" s="140"/>
      <c r="F117" s="140"/>
      <c r="G117" s="140"/>
      <c r="H117" s="140"/>
      <c r="I117" s="140"/>
      <c r="J117" s="140"/>
      <c r="K117" s="140"/>
      <c r="L117" s="140"/>
      <c r="M117" s="140"/>
      <c r="N117" s="140"/>
      <c r="O117" s="140"/>
      <c r="P117" s="140"/>
      <c r="Q117" s="140"/>
      <c r="R117" s="140"/>
      <c r="S117" s="140" t="s">
        <v>243</v>
      </c>
      <c r="T117" s="142" t="s">
        <v>763</v>
      </c>
      <c r="U117" s="120">
        <f>П4ВСР!Z362</f>
        <v>0</v>
      </c>
      <c r="V117" s="120">
        <v>0</v>
      </c>
      <c r="W117" s="120">
        <v>0</v>
      </c>
      <c r="X117" s="124"/>
    </row>
    <row r="118" spans="1:27" ht="55.9" customHeight="1" x14ac:dyDescent="0.25">
      <c r="A118" s="116" t="s">
        <v>297</v>
      </c>
      <c r="B118" s="126" t="s">
        <v>123</v>
      </c>
      <c r="C118" s="126" t="s">
        <v>133</v>
      </c>
      <c r="D118" s="126"/>
      <c r="E118" s="126"/>
      <c r="F118" s="126"/>
      <c r="G118" s="126"/>
      <c r="H118" s="126"/>
      <c r="I118" s="126"/>
      <c r="J118" s="126"/>
      <c r="K118" s="126"/>
      <c r="L118" s="126"/>
      <c r="M118" s="126"/>
      <c r="N118" s="126"/>
      <c r="O118" s="126"/>
      <c r="P118" s="126"/>
      <c r="Q118" s="126"/>
      <c r="R118" s="126"/>
      <c r="S118" s="126"/>
      <c r="T118" s="116" t="s">
        <v>297</v>
      </c>
      <c r="U118" s="117">
        <f>U119+U136</f>
        <v>4746686.13</v>
      </c>
      <c r="V118" s="117">
        <f>V119+V136</f>
        <v>4570036.13</v>
      </c>
      <c r="W118" s="117">
        <f>W119+W136+W124</f>
        <v>3514339.99</v>
      </c>
      <c r="X118" s="116" t="s">
        <v>297</v>
      </c>
    </row>
    <row r="119" spans="1:27" ht="74.45" customHeight="1" x14ac:dyDescent="0.25">
      <c r="A119" s="118" t="s">
        <v>251</v>
      </c>
      <c r="B119" s="119" t="s">
        <v>123</v>
      </c>
      <c r="C119" s="119" t="s">
        <v>127</v>
      </c>
      <c r="D119" s="119"/>
      <c r="E119" s="119"/>
      <c r="F119" s="119"/>
      <c r="G119" s="119"/>
      <c r="H119" s="119"/>
      <c r="I119" s="119"/>
      <c r="J119" s="119"/>
      <c r="K119" s="119"/>
      <c r="L119" s="119"/>
      <c r="M119" s="119"/>
      <c r="N119" s="119"/>
      <c r="O119" s="119"/>
      <c r="P119" s="119"/>
      <c r="Q119" s="119"/>
      <c r="R119" s="119"/>
      <c r="S119" s="119"/>
      <c r="T119" s="118" t="s">
        <v>251</v>
      </c>
      <c r="U119" s="120">
        <f>U126+U128+U132+U134+U130+U120+U122+U124</f>
        <v>4746686.13</v>
      </c>
      <c r="V119" s="120">
        <f>V126+V128+V132+V134+V130+V120+V122+V124</f>
        <v>4570036.13</v>
      </c>
      <c r="W119" s="120">
        <f>W126+W128+W132+W134+W130+W120+W122</f>
        <v>600000</v>
      </c>
      <c r="X119" s="118" t="s">
        <v>251</v>
      </c>
    </row>
    <row r="120" spans="1:27" ht="111.75" customHeight="1" x14ac:dyDescent="0.25">
      <c r="A120" s="118"/>
      <c r="B120" s="119" t="s">
        <v>127</v>
      </c>
      <c r="C120" s="119" t="s">
        <v>127</v>
      </c>
      <c r="D120" s="234" t="s">
        <v>537</v>
      </c>
      <c r="E120" s="119"/>
      <c r="F120" s="119"/>
      <c r="G120" s="119"/>
      <c r="H120" s="119"/>
      <c r="I120" s="119"/>
      <c r="J120" s="119"/>
      <c r="K120" s="119"/>
      <c r="L120" s="119"/>
      <c r="M120" s="119"/>
      <c r="N120" s="119"/>
      <c r="O120" s="119"/>
      <c r="P120" s="119"/>
      <c r="Q120" s="119"/>
      <c r="R120" s="119"/>
      <c r="S120" s="119"/>
      <c r="T120" s="155" t="s">
        <v>1243</v>
      </c>
      <c r="U120" s="120">
        <f>U121</f>
        <v>100000</v>
      </c>
      <c r="V120" s="120">
        <f>V121</f>
        <v>100000</v>
      </c>
      <c r="W120" s="120">
        <f>W121</f>
        <v>100000</v>
      </c>
      <c r="X120" s="118"/>
      <c r="AA120" s="127"/>
    </row>
    <row r="121" spans="1:27" ht="49.5" customHeight="1" x14ac:dyDescent="0.25">
      <c r="A121" s="118"/>
      <c r="B121" s="119" t="s">
        <v>123</v>
      </c>
      <c r="C121" s="119" t="s">
        <v>127</v>
      </c>
      <c r="D121" s="234" t="s">
        <v>537</v>
      </c>
      <c r="E121" s="119"/>
      <c r="F121" s="119"/>
      <c r="G121" s="119"/>
      <c r="H121" s="119"/>
      <c r="I121" s="119"/>
      <c r="J121" s="119"/>
      <c r="K121" s="119"/>
      <c r="L121" s="119"/>
      <c r="M121" s="119"/>
      <c r="N121" s="119"/>
      <c r="O121" s="119"/>
      <c r="P121" s="119"/>
      <c r="Q121" s="119"/>
      <c r="R121" s="119"/>
      <c r="S121" s="119" t="s">
        <v>275</v>
      </c>
      <c r="T121" s="154" t="s">
        <v>565</v>
      </c>
      <c r="U121" s="120">
        <f>П4ВСР!Z92</f>
        <v>100000</v>
      </c>
      <c r="V121" s="120">
        <f>П4ВСР!AA92</f>
        <v>100000</v>
      </c>
      <c r="W121" s="120">
        <f>П4ВСР!AB92</f>
        <v>100000</v>
      </c>
      <c r="X121" s="118"/>
      <c r="AA121" s="127"/>
    </row>
    <row r="122" spans="1:27" ht="103.5" customHeight="1" x14ac:dyDescent="0.25">
      <c r="A122" s="118"/>
      <c r="B122" s="119" t="s">
        <v>123</v>
      </c>
      <c r="C122" s="119" t="s">
        <v>127</v>
      </c>
      <c r="D122" s="234" t="s">
        <v>537</v>
      </c>
      <c r="E122" s="119"/>
      <c r="F122" s="119"/>
      <c r="G122" s="119"/>
      <c r="H122" s="119"/>
      <c r="I122" s="119"/>
      <c r="J122" s="119"/>
      <c r="K122" s="119"/>
      <c r="L122" s="119"/>
      <c r="M122" s="119"/>
      <c r="N122" s="119"/>
      <c r="O122" s="119"/>
      <c r="P122" s="119"/>
      <c r="Q122" s="119"/>
      <c r="R122" s="119"/>
      <c r="S122" s="119"/>
      <c r="T122" s="155" t="s">
        <v>1243</v>
      </c>
      <c r="U122" s="120">
        <f>U123</f>
        <v>130000</v>
      </c>
      <c r="V122" s="120">
        <v>0</v>
      </c>
      <c r="W122" s="120">
        <v>0</v>
      </c>
      <c r="X122" s="118"/>
    </row>
    <row r="123" spans="1:27" ht="24" customHeight="1" x14ac:dyDescent="0.25">
      <c r="A123" s="118"/>
      <c r="B123" s="119" t="s">
        <v>123</v>
      </c>
      <c r="C123" s="119" t="s">
        <v>127</v>
      </c>
      <c r="D123" s="234" t="s">
        <v>537</v>
      </c>
      <c r="E123" s="119"/>
      <c r="F123" s="119"/>
      <c r="G123" s="119"/>
      <c r="H123" s="119"/>
      <c r="I123" s="119"/>
      <c r="J123" s="119"/>
      <c r="K123" s="119"/>
      <c r="L123" s="119"/>
      <c r="M123" s="119"/>
      <c r="N123" s="119"/>
      <c r="O123" s="119"/>
      <c r="P123" s="119"/>
      <c r="Q123" s="119"/>
      <c r="R123" s="119"/>
      <c r="S123" s="119" t="s">
        <v>427</v>
      </c>
      <c r="T123" s="153" t="s">
        <v>773</v>
      </c>
      <c r="U123" s="120">
        <f>П4ВСР!Z394</f>
        <v>130000</v>
      </c>
      <c r="V123" s="120">
        <v>0</v>
      </c>
      <c r="W123" s="120">
        <v>0</v>
      </c>
      <c r="X123" s="118"/>
    </row>
    <row r="124" spans="1:27" ht="204.75" customHeight="1" x14ac:dyDescent="0.25">
      <c r="A124" s="118"/>
      <c r="B124" s="119" t="s">
        <v>123</v>
      </c>
      <c r="C124" s="119" t="s">
        <v>127</v>
      </c>
      <c r="D124" s="161" t="s">
        <v>1112</v>
      </c>
      <c r="E124" s="119"/>
      <c r="F124" s="119"/>
      <c r="G124" s="119"/>
      <c r="H124" s="119"/>
      <c r="I124" s="119"/>
      <c r="J124" s="119"/>
      <c r="K124" s="119"/>
      <c r="L124" s="119"/>
      <c r="M124" s="119"/>
      <c r="N124" s="119"/>
      <c r="O124" s="119"/>
      <c r="P124" s="119"/>
      <c r="Q124" s="119"/>
      <c r="R124" s="119"/>
      <c r="S124" s="119"/>
      <c r="T124" s="155" t="s">
        <v>1332</v>
      </c>
      <c r="U124" s="120">
        <f>U125</f>
        <v>3696686.13</v>
      </c>
      <c r="V124" s="120">
        <f>V125</f>
        <v>3970036.13</v>
      </c>
      <c r="W124" s="120">
        <f>W125</f>
        <v>2914339.99</v>
      </c>
      <c r="X124" s="118"/>
      <c r="AA124" s="127"/>
    </row>
    <row r="125" spans="1:27" ht="63" customHeight="1" x14ac:dyDescent="0.25">
      <c r="A125" s="118"/>
      <c r="B125" s="119" t="s">
        <v>123</v>
      </c>
      <c r="C125" s="119" t="s">
        <v>127</v>
      </c>
      <c r="D125" s="161" t="s">
        <v>1112</v>
      </c>
      <c r="E125" s="119"/>
      <c r="F125" s="119"/>
      <c r="G125" s="119"/>
      <c r="H125" s="119"/>
      <c r="I125" s="119"/>
      <c r="J125" s="119"/>
      <c r="K125" s="119"/>
      <c r="L125" s="119"/>
      <c r="M125" s="119"/>
      <c r="N125" s="119"/>
      <c r="O125" s="119"/>
      <c r="P125" s="119"/>
      <c r="Q125" s="119"/>
      <c r="R125" s="119"/>
      <c r="S125" s="119" t="s">
        <v>294</v>
      </c>
      <c r="T125" s="135" t="s">
        <v>1115</v>
      </c>
      <c r="U125" s="120">
        <f>П4ВСР!Z667</f>
        <v>3696686.13</v>
      </c>
      <c r="V125" s="120">
        <f>П4ВСР!AA667</f>
        <v>3970036.13</v>
      </c>
      <c r="W125" s="120">
        <f>П4ВСР!AB667</f>
        <v>2914339.99</v>
      </c>
      <c r="X125" s="118"/>
    </row>
    <row r="126" spans="1:27" ht="200.25" hidden="1" customHeight="1" x14ac:dyDescent="0.25">
      <c r="A126" s="118" t="s">
        <v>485</v>
      </c>
      <c r="B126" s="161" t="s">
        <v>123</v>
      </c>
      <c r="C126" s="161" t="s">
        <v>127</v>
      </c>
      <c r="D126" s="161" t="s">
        <v>644</v>
      </c>
      <c r="E126" s="161"/>
      <c r="F126" s="161"/>
      <c r="G126" s="161"/>
      <c r="H126" s="161"/>
      <c r="I126" s="161"/>
      <c r="J126" s="161"/>
      <c r="K126" s="161"/>
      <c r="L126" s="161"/>
      <c r="M126" s="161"/>
      <c r="N126" s="161"/>
      <c r="O126" s="161"/>
      <c r="P126" s="161"/>
      <c r="Q126" s="161"/>
      <c r="R126" s="161"/>
      <c r="S126" s="161"/>
      <c r="T126" s="153" t="s">
        <v>643</v>
      </c>
      <c r="U126" s="120">
        <f>U127</f>
        <v>0</v>
      </c>
      <c r="V126" s="120">
        <f>V127</f>
        <v>0</v>
      </c>
      <c r="W126" s="120">
        <f>W127</f>
        <v>0</v>
      </c>
      <c r="X126" s="118" t="s">
        <v>485</v>
      </c>
    </row>
    <row r="127" spans="1:27" ht="129.75" hidden="1" customHeight="1" x14ac:dyDescent="0.25">
      <c r="A127" s="118" t="s">
        <v>486</v>
      </c>
      <c r="B127" s="136" t="s">
        <v>123</v>
      </c>
      <c r="C127" s="136" t="s">
        <v>127</v>
      </c>
      <c r="D127" s="161" t="s">
        <v>644</v>
      </c>
      <c r="E127" s="136"/>
      <c r="F127" s="136"/>
      <c r="G127" s="136"/>
      <c r="H127" s="136"/>
      <c r="I127" s="136"/>
      <c r="J127" s="136"/>
      <c r="K127" s="136"/>
      <c r="L127" s="136"/>
      <c r="M127" s="136"/>
      <c r="N127" s="136"/>
      <c r="O127" s="136"/>
      <c r="P127" s="136"/>
      <c r="Q127" s="136"/>
      <c r="R127" s="136"/>
      <c r="S127" s="136" t="s">
        <v>294</v>
      </c>
      <c r="T127" s="135" t="s">
        <v>486</v>
      </c>
      <c r="U127" s="120">
        <f>П4ВСР!Z670</f>
        <v>0</v>
      </c>
      <c r="V127" s="120">
        <f>П4ВСР!AA670</f>
        <v>0</v>
      </c>
      <c r="W127" s="120">
        <f>П4ВСР!AB670</f>
        <v>0</v>
      </c>
      <c r="X127" s="118" t="s">
        <v>486</v>
      </c>
    </row>
    <row r="128" spans="1:27" ht="216" customHeight="1" x14ac:dyDescent="0.25">
      <c r="A128" s="118" t="s">
        <v>298</v>
      </c>
      <c r="B128" s="119" t="s">
        <v>123</v>
      </c>
      <c r="C128" s="119" t="s">
        <v>127</v>
      </c>
      <c r="D128" s="134" t="s">
        <v>533</v>
      </c>
      <c r="E128" s="119"/>
      <c r="F128" s="119"/>
      <c r="G128" s="119"/>
      <c r="H128" s="119"/>
      <c r="I128" s="119"/>
      <c r="J128" s="119"/>
      <c r="K128" s="119"/>
      <c r="L128" s="119"/>
      <c r="M128" s="119"/>
      <c r="N128" s="119"/>
      <c r="O128" s="119"/>
      <c r="P128" s="119"/>
      <c r="Q128" s="119"/>
      <c r="R128" s="119"/>
      <c r="S128" s="119"/>
      <c r="T128" s="153" t="s">
        <v>1244</v>
      </c>
      <c r="U128" s="120">
        <f>U129</f>
        <v>100000</v>
      </c>
      <c r="V128" s="120">
        <f>V129</f>
        <v>100000</v>
      </c>
      <c r="W128" s="120">
        <f>W129</f>
        <v>100000</v>
      </c>
      <c r="X128" s="118" t="s">
        <v>298</v>
      </c>
    </row>
    <row r="129" spans="1:27" ht="54.75" customHeight="1" x14ac:dyDescent="0.25">
      <c r="A129" s="118" t="s">
        <v>299</v>
      </c>
      <c r="B129" s="122" t="s">
        <v>123</v>
      </c>
      <c r="C129" s="122" t="s">
        <v>127</v>
      </c>
      <c r="D129" s="134" t="s">
        <v>533</v>
      </c>
      <c r="E129" s="122"/>
      <c r="F129" s="122"/>
      <c r="G129" s="122"/>
      <c r="H129" s="122"/>
      <c r="I129" s="122"/>
      <c r="J129" s="122"/>
      <c r="K129" s="122"/>
      <c r="L129" s="122"/>
      <c r="M129" s="122"/>
      <c r="N129" s="122"/>
      <c r="O129" s="122"/>
      <c r="P129" s="122"/>
      <c r="Q129" s="122"/>
      <c r="R129" s="122"/>
      <c r="S129" s="122" t="s">
        <v>275</v>
      </c>
      <c r="T129" s="153" t="s">
        <v>565</v>
      </c>
      <c r="U129" s="120">
        <f>П4ВСР!Z95</f>
        <v>100000</v>
      </c>
      <c r="V129" s="120">
        <f>П4ВСР!AA95</f>
        <v>100000</v>
      </c>
      <c r="W129" s="120">
        <f>П4ВСР!AB95</f>
        <v>100000</v>
      </c>
      <c r="X129" s="118" t="s">
        <v>299</v>
      </c>
    </row>
    <row r="130" spans="1:27" ht="332.25" customHeight="1" x14ac:dyDescent="0.25">
      <c r="A130" s="118"/>
      <c r="B130" s="122" t="s">
        <v>123</v>
      </c>
      <c r="C130" s="122" t="s">
        <v>127</v>
      </c>
      <c r="D130" s="234" t="s">
        <v>786</v>
      </c>
      <c r="E130" s="122"/>
      <c r="F130" s="122"/>
      <c r="G130" s="122"/>
      <c r="H130" s="122"/>
      <c r="I130" s="122"/>
      <c r="J130" s="122"/>
      <c r="K130" s="122"/>
      <c r="L130" s="122"/>
      <c r="M130" s="122"/>
      <c r="N130" s="122"/>
      <c r="O130" s="122"/>
      <c r="P130" s="122"/>
      <c r="Q130" s="122"/>
      <c r="R130" s="122"/>
      <c r="S130" s="122"/>
      <c r="T130" s="153" t="s">
        <v>1245</v>
      </c>
      <c r="U130" s="120">
        <f>U131</f>
        <v>220000</v>
      </c>
      <c r="V130" s="120">
        <f>V131</f>
        <v>350000</v>
      </c>
      <c r="W130" s="120">
        <f>W131</f>
        <v>350000</v>
      </c>
      <c r="X130" s="118"/>
    </row>
    <row r="131" spans="1:27" ht="46.5" customHeight="1" x14ac:dyDescent="0.25">
      <c r="A131" s="118"/>
      <c r="B131" s="122" t="s">
        <v>123</v>
      </c>
      <c r="C131" s="122" t="s">
        <v>127</v>
      </c>
      <c r="D131" s="234" t="s">
        <v>786</v>
      </c>
      <c r="E131" s="122"/>
      <c r="F131" s="122"/>
      <c r="G131" s="122"/>
      <c r="H131" s="122"/>
      <c r="I131" s="122"/>
      <c r="J131" s="122"/>
      <c r="K131" s="122"/>
      <c r="L131" s="122"/>
      <c r="M131" s="122"/>
      <c r="N131" s="122"/>
      <c r="O131" s="122"/>
      <c r="P131" s="122"/>
      <c r="Q131" s="122"/>
      <c r="R131" s="122"/>
      <c r="S131" s="122" t="s">
        <v>275</v>
      </c>
      <c r="T131" s="135" t="s">
        <v>565</v>
      </c>
      <c r="U131" s="120">
        <f>П4ВСР!Z97</f>
        <v>220000</v>
      </c>
      <c r="V131" s="120">
        <f>П4ВСР!AA97</f>
        <v>350000</v>
      </c>
      <c r="W131" s="120">
        <f>П4ВСР!AB97</f>
        <v>350000</v>
      </c>
      <c r="X131" s="118"/>
    </row>
    <row r="132" spans="1:27" ht="186" customHeight="1" x14ac:dyDescent="0.25">
      <c r="A132" s="118" t="s">
        <v>300</v>
      </c>
      <c r="B132" s="119" t="s">
        <v>123</v>
      </c>
      <c r="C132" s="119" t="s">
        <v>127</v>
      </c>
      <c r="D132" s="134" t="s">
        <v>534</v>
      </c>
      <c r="E132" s="119"/>
      <c r="F132" s="119"/>
      <c r="G132" s="119"/>
      <c r="H132" s="119"/>
      <c r="I132" s="119"/>
      <c r="J132" s="119"/>
      <c r="K132" s="119"/>
      <c r="L132" s="119"/>
      <c r="M132" s="119"/>
      <c r="N132" s="119"/>
      <c r="O132" s="119"/>
      <c r="P132" s="119"/>
      <c r="Q132" s="119"/>
      <c r="R132" s="119"/>
      <c r="S132" s="119"/>
      <c r="T132" s="153" t="s">
        <v>1246</v>
      </c>
      <c r="U132" s="120">
        <f>U133</f>
        <v>500000</v>
      </c>
      <c r="V132" s="120">
        <f>V133</f>
        <v>50000</v>
      </c>
      <c r="W132" s="120">
        <f>W133</f>
        <v>50000</v>
      </c>
      <c r="X132" s="118" t="s">
        <v>300</v>
      </c>
    </row>
    <row r="133" spans="1:27" ht="53.25" customHeight="1" x14ac:dyDescent="0.25">
      <c r="A133" s="118" t="s">
        <v>301</v>
      </c>
      <c r="B133" s="122" t="s">
        <v>123</v>
      </c>
      <c r="C133" s="122" t="s">
        <v>127</v>
      </c>
      <c r="D133" s="134" t="s">
        <v>534</v>
      </c>
      <c r="E133" s="122"/>
      <c r="F133" s="122"/>
      <c r="G133" s="122"/>
      <c r="H133" s="122"/>
      <c r="I133" s="122"/>
      <c r="J133" s="122"/>
      <c r="K133" s="122"/>
      <c r="L133" s="122"/>
      <c r="M133" s="122"/>
      <c r="N133" s="122"/>
      <c r="O133" s="122"/>
      <c r="P133" s="122"/>
      <c r="Q133" s="122"/>
      <c r="R133" s="122"/>
      <c r="S133" s="122" t="s">
        <v>275</v>
      </c>
      <c r="T133" s="153" t="s">
        <v>565</v>
      </c>
      <c r="U133" s="120">
        <f>П4ВСР!Z99</f>
        <v>500000</v>
      </c>
      <c r="V133" s="120">
        <f>П4ВСР!AA99</f>
        <v>50000</v>
      </c>
      <c r="W133" s="120">
        <f>П4ВСР!AB99</f>
        <v>50000</v>
      </c>
      <c r="X133" s="118" t="s">
        <v>301</v>
      </c>
    </row>
    <row r="134" spans="1:27" ht="212.25" hidden="1" customHeight="1" x14ac:dyDescent="0.25">
      <c r="A134" s="124" t="s">
        <v>241</v>
      </c>
      <c r="B134" s="119" t="s">
        <v>123</v>
      </c>
      <c r="C134" s="119" t="s">
        <v>127</v>
      </c>
      <c r="D134" s="134" t="s">
        <v>535</v>
      </c>
      <c r="E134" s="119"/>
      <c r="F134" s="119"/>
      <c r="G134" s="119"/>
      <c r="H134" s="119"/>
      <c r="I134" s="119"/>
      <c r="J134" s="119"/>
      <c r="K134" s="119"/>
      <c r="L134" s="119"/>
      <c r="M134" s="119"/>
      <c r="N134" s="119"/>
      <c r="O134" s="119"/>
      <c r="P134" s="119"/>
      <c r="Q134" s="119"/>
      <c r="R134" s="119"/>
      <c r="S134" s="119"/>
      <c r="T134" s="124" t="s">
        <v>241</v>
      </c>
      <c r="U134" s="120">
        <f>U135</f>
        <v>0</v>
      </c>
      <c r="V134" s="120">
        <f>V135</f>
        <v>0</v>
      </c>
      <c r="W134" s="120">
        <f>W135</f>
        <v>0</v>
      </c>
      <c r="X134" s="124" t="s">
        <v>241</v>
      </c>
    </row>
    <row r="135" spans="1:27" ht="247.5" hidden="1" customHeight="1" x14ac:dyDescent="0.25">
      <c r="A135" s="124" t="s">
        <v>302</v>
      </c>
      <c r="B135" s="122" t="s">
        <v>123</v>
      </c>
      <c r="C135" s="122" t="s">
        <v>127</v>
      </c>
      <c r="D135" s="134" t="s">
        <v>535</v>
      </c>
      <c r="E135" s="122"/>
      <c r="F135" s="122"/>
      <c r="G135" s="122"/>
      <c r="H135" s="122"/>
      <c r="I135" s="122"/>
      <c r="J135" s="122"/>
      <c r="K135" s="122"/>
      <c r="L135" s="122"/>
      <c r="M135" s="122"/>
      <c r="N135" s="122"/>
      <c r="O135" s="122"/>
      <c r="P135" s="122"/>
      <c r="Q135" s="122"/>
      <c r="R135" s="122"/>
      <c r="S135" s="122" t="s">
        <v>275</v>
      </c>
      <c r="T135" s="121" t="s">
        <v>302</v>
      </c>
      <c r="U135" s="120">
        <f>П4ВСР!Z101</f>
        <v>0</v>
      </c>
      <c r="V135" s="120">
        <f>П4ВСР!AA101</f>
        <v>0</v>
      </c>
      <c r="W135" s="120">
        <f>П4ВСР!AB101</f>
        <v>0</v>
      </c>
      <c r="X135" s="124" t="s">
        <v>302</v>
      </c>
    </row>
    <row r="136" spans="1:27" ht="39" hidden="1" customHeight="1" x14ac:dyDescent="0.25">
      <c r="A136" s="124"/>
      <c r="B136" s="139" t="s">
        <v>123</v>
      </c>
      <c r="C136" s="139" t="s">
        <v>143</v>
      </c>
      <c r="D136" s="134"/>
      <c r="E136" s="122"/>
      <c r="F136" s="122"/>
      <c r="G136" s="122"/>
      <c r="H136" s="122"/>
      <c r="I136" s="122"/>
      <c r="J136" s="122"/>
      <c r="K136" s="122"/>
      <c r="L136" s="122"/>
      <c r="M136" s="122"/>
      <c r="N136" s="122"/>
      <c r="O136" s="122"/>
      <c r="P136" s="122"/>
      <c r="Q136" s="122"/>
      <c r="R136" s="122"/>
      <c r="S136" s="122"/>
      <c r="T136" s="138" t="s">
        <v>144</v>
      </c>
      <c r="U136" s="120">
        <f t="shared" ref="U136:W137" si="6">U137</f>
        <v>0</v>
      </c>
      <c r="V136" s="120">
        <f t="shared" si="6"/>
        <v>0</v>
      </c>
      <c r="W136" s="120">
        <f t="shared" si="6"/>
        <v>0</v>
      </c>
      <c r="X136" s="124"/>
    </row>
    <row r="137" spans="1:27" ht="106.5" hidden="1" customHeight="1" x14ac:dyDescent="0.25">
      <c r="A137" s="124"/>
      <c r="B137" s="140" t="s">
        <v>123</v>
      </c>
      <c r="C137" s="140" t="s">
        <v>143</v>
      </c>
      <c r="D137" s="134" t="s">
        <v>537</v>
      </c>
      <c r="E137" s="140"/>
      <c r="F137" s="140"/>
      <c r="G137" s="140"/>
      <c r="H137" s="140"/>
      <c r="I137" s="140"/>
      <c r="J137" s="140"/>
      <c r="K137" s="140"/>
      <c r="L137" s="140"/>
      <c r="M137" s="140"/>
      <c r="N137" s="140"/>
      <c r="O137" s="140"/>
      <c r="P137" s="140"/>
      <c r="Q137" s="140"/>
      <c r="R137" s="140"/>
      <c r="S137" s="140"/>
      <c r="T137" s="155" t="s">
        <v>536</v>
      </c>
      <c r="U137" s="120">
        <f t="shared" si="6"/>
        <v>0</v>
      </c>
      <c r="V137" s="120">
        <f t="shared" si="6"/>
        <v>0</v>
      </c>
      <c r="W137" s="120">
        <f t="shared" si="6"/>
        <v>0</v>
      </c>
      <c r="X137" s="124"/>
    </row>
    <row r="138" spans="1:27" ht="90" hidden="1" customHeight="1" x14ac:dyDescent="0.25">
      <c r="A138" s="124"/>
      <c r="B138" s="140" t="s">
        <v>123</v>
      </c>
      <c r="C138" s="140" t="s">
        <v>143</v>
      </c>
      <c r="D138" s="134" t="s">
        <v>537</v>
      </c>
      <c r="E138" s="140"/>
      <c r="F138" s="140"/>
      <c r="G138" s="140"/>
      <c r="H138" s="140"/>
      <c r="I138" s="140"/>
      <c r="J138" s="140"/>
      <c r="K138" s="140"/>
      <c r="L138" s="140"/>
      <c r="M138" s="140"/>
      <c r="N138" s="140"/>
      <c r="O138" s="140"/>
      <c r="P138" s="140"/>
      <c r="Q138" s="140"/>
      <c r="R138" s="140"/>
      <c r="S138" s="140" t="s">
        <v>275</v>
      </c>
      <c r="T138" s="154" t="s">
        <v>735</v>
      </c>
      <c r="U138" s="120">
        <f>П4ВСР!Z104</f>
        <v>0</v>
      </c>
      <c r="V138" s="120">
        <f>П4ВСР!AA104</f>
        <v>0</v>
      </c>
      <c r="W138" s="120">
        <f>П4ВСР!AB104</f>
        <v>0</v>
      </c>
      <c r="X138" s="124"/>
    </row>
    <row r="139" spans="1:27" ht="18.600000000000001" customHeight="1" x14ac:dyDescent="0.25">
      <c r="A139" s="116" t="s">
        <v>303</v>
      </c>
      <c r="B139" s="126" t="s">
        <v>136</v>
      </c>
      <c r="C139" s="126" t="s">
        <v>133</v>
      </c>
      <c r="D139" s="126"/>
      <c r="E139" s="126"/>
      <c r="F139" s="126"/>
      <c r="G139" s="126"/>
      <c r="H139" s="126"/>
      <c r="I139" s="126"/>
      <c r="J139" s="126"/>
      <c r="K139" s="126"/>
      <c r="L139" s="126"/>
      <c r="M139" s="126"/>
      <c r="N139" s="126"/>
      <c r="O139" s="126"/>
      <c r="P139" s="126"/>
      <c r="Q139" s="126"/>
      <c r="R139" s="126"/>
      <c r="S139" s="126"/>
      <c r="T139" s="116" t="s">
        <v>303</v>
      </c>
      <c r="U139" s="117">
        <f>U140+U171+U180+U205+U220</f>
        <v>53861175.660000004</v>
      </c>
      <c r="V139" s="117">
        <f>V140+V171+V180+V205+V220</f>
        <v>26209102.100000001</v>
      </c>
      <c r="W139" s="117">
        <f>W140+W171+W180+W205+W220</f>
        <v>22391365.640000001</v>
      </c>
      <c r="X139" s="116" t="s">
        <v>303</v>
      </c>
    </row>
    <row r="140" spans="1:27" ht="18.600000000000001" customHeight="1" x14ac:dyDescent="0.25">
      <c r="A140" s="118" t="s">
        <v>147</v>
      </c>
      <c r="B140" s="119" t="s">
        <v>136</v>
      </c>
      <c r="C140" s="119" t="s">
        <v>124</v>
      </c>
      <c r="D140" s="119"/>
      <c r="E140" s="119"/>
      <c r="F140" s="119"/>
      <c r="G140" s="119"/>
      <c r="H140" s="119"/>
      <c r="I140" s="119"/>
      <c r="J140" s="119"/>
      <c r="K140" s="119"/>
      <c r="L140" s="119"/>
      <c r="M140" s="119"/>
      <c r="N140" s="119"/>
      <c r="O140" s="119"/>
      <c r="P140" s="119"/>
      <c r="Q140" s="119"/>
      <c r="R140" s="119"/>
      <c r="S140" s="119"/>
      <c r="T140" s="118" t="s">
        <v>147</v>
      </c>
      <c r="U140" s="120">
        <f>U141+U143+U145+U147+U153+U155+U163+U167+U169+U149+U151+U161+U157+U165+U159</f>
        <v>465321.43</v>
      </c>
      <c r="V140" s="120">
        <f>V141+V143+V145+V147+V153+V155+V163+V167+V169+V149+V151</f>
        <v>247321.43</v>
      </c>
      <c r="W140" s="120">
        <f>W141+W143+W145+W147+W153+W155+W163+W167+W169+W149+W151</f>
        <v>247321.43</v>
      </c>
      <c r="X140" s="118" t="s">
        <v>147</v>
      </c>
    </row>
    <row r="141" spans="1:27" ht="147" hidden="1" customHeight="1" x14ac:dyDescent="0.25">
      <c r="A141" s="118" t="s">
        <v>304</v>
      </c>
      <c r="B141" s="119" t="s">
        <v>136</v>
      </c>
      <c r="C141" s="119" t="s">
        <v>124</v>
      </c>
      <c r="D141" s="134" t="s">
        <v>538</v>
      </c>
      <c r="E141" s="119"/>
      <c r="F141" s="119"/>
      <c r="G141" s="119"/>
      <c r="H141" s="119"/>
      <c r="I141" s="119"/>
      <c r="J141" s="119"/>
      <c r="K141" s="119"/>
      <c r="L141" s="119"/>
      <c r="M141" s="119"/>
      <c r="N141" s="119"/>
      <c r="O141" s="119"/>
      <c r="P141" s="119"/>
      <c r="Q141" s="119"/>
      <c r="R141" s="119"/>
      <c r="S141" s="119"/>
      <c r="T141" s="153" t="s">
        <v>595</v>
      </c>
      <c r="U141" s="120">
        <f>U142</f>
        <v>0</v>
      </c>
      <c r="V141" s="120">
        <f>V142</f>
        <v>0</v>
      </c>
      <c r="W141" s="120">
        <f>W142</f>
        <v>0</v>
      </c>
      <c r="X141" s="118" t="s">
        <v>304</v>
      </c>
    </row>
    <row r="142" spans="1:27" ht="108.75" hidden="1" customHeight="1" x14ac:dyDescent="0.25">
      <c r="A142" s="118" t="s">
        <v>305</v>
      </c>
      <c r="B142" s="122" t="s">
        <v>136</v>
      </c>
      <c r="C142" s="122" t="s">
        <v>124</v>
      </c>
      <c r="D142" s="134" t="s">
        <v>538</v>
      </c>
      <c r="E142" s="122"/>
      <c r="F142" s="122"/>
      <c r="G142" s="122"/>
      <c r="H142" s="122"/>
      <c r="I142" s="122"/>
      <c r="J142" s="122"/>
      <c r="K142" s="122"/>
      <c r="L142" s="122"/>
      <c r="M142" s="122"/>
      <c r="N142" s="122"/>
      <c r="O142" s="122"/>
      <c r="P142" s="122"/>
      <c r="Q142" s="122"/>
      <c r="R142" s="122"/>
      <c r="S142" s="122" t="s">
        <v>275</v>
      </c>
      <c r="T142" s="135" t="s">
        <v>305</v>
      </c>
      <c r="U142" s="120">
        <f>П4ВСР!Z108</f>
        <v>0</v>
      </c>
      <c r="V142" s="120">
        <f>П4ВСР!AA108</f>
        <v>0</v>
      </c>
      <c r="W142" s="120">
        <f>П4ВСР!AB108</f>
        <v>0</v>
      </c>
      <c r="X142" s="118" t="s">
        <v>305</v>
      </c>
    </row>
    <row r="143" spans="1:27" ht="130.5" customHeight="1" x14ac:dyDescent="0.25">
      <c r="A143" s="118" t="s">
        <v>306</v>
      </c>
      <c r="B143" s="119" t="s">
        <v>136</v>
      </c>
      <c r="C143" s="119" t="s">
        <v>124</v>
      </c>
      <c r="D143" s="134" t="s">
        <v>539</v>
      </c>
      <c r="E143" s="119"/>
      <c r="F143" s="119"/>
      <c r="G143" s="119"/>
      <c r="H143" s="119"/>
      <c r="I143" s="119"/>
      <c r="J143" s="119"/>
      <c r="K143" s="119"/>
      <c r="L143" s="119"/>
      <c r="M143" s="119"/>
      <c r="N143" s="119"/>
      <c r="O143" s="119"/>
      <c r="P143" s="119"/>
      <c r="Q143" s="119"/>
      <c r="R143" s="119"/>
      <c r="S143" s="119"/>
      <c r="T143" s="153" t="s">
        <v>1247</v>
      </c>
      <c r="U143" s="120">
        <f>U144</f>
        <v>0</v>
      </c>
      <c r="V143" s="120">
        <f>V144</f>
        <v>100000</v>
      </c>
      <c r="W143" s="120">
        <f>W144</f>
        <v>100000</v>
      </c>
      <c r="X143" s="118" t="s">
        <v>306</v>
      </c>
      <c r="AA143" s="127"/>
    </row>
    <row r="144" spans="1:27" ht="36.75" customHeight="1" x14ac:dyDescent="0.25">
      <c r="A144" s="118" t="s">
        <v>307</v>
      </c>
      <c r="B144" s="122" t="s">
        <v>136</v>
      </c>
      <c r="C144" s="122" t="s">
        <v>124</v>
      </c>
      <c r="D144" s="134" t="s">
        <v>539</v>
      </c>
      <c r="E144" s="122"/>
      <c r="F144" s="122"/>
      <c r="G144" s="122"/>
      <c r="H144" s="122"/>
      <c r="I144" s="122"/>
      <c r="J144" s="122"/>
      <c r="K144" s="122"/>
      <c r="L144" s="122"/>
      <c r="M144" s="122"/>
      <c r="N144" s="122"/>
      <c r="O144" s="122"/>
      <c r="P144" s="122"/>
      <c r="Q144" s="122"/>
      <c r="R144" s="122"/>
      <c r="S144" s="168" t="s">
        <v>243</v>
      </c>
      <c r="T144" s="135" t="s">
        <v>763</v>
      </c>
      <c r="U144" s="120">
        <f>П4ВСР!Z110</f>
        <v>0</v>
      </c>
      <c r="V144" s="120">
        <f>П4ВСР!AA110</f>
        <v>100000</v>
      </c>
      <c r="W144" s="120">
        <f>П4ВСР!AB110</f>
        <v>100000</v>
      </c>
      <c r="X144" s="118" t="s">
        <v>307</v>
      </c>
      <c r="AA144" s="127"/>
    </row>
    <row r="145" spans="1:24" ht="148.5" hidden="1" customHeight="1" x14ac:dyDescent="0.25">
      <c r="A145" s="118" t="s">
        <v>308</v>
      </c>
      <c r="B145" s="119" t="s">
        <v>136</v>
      </c>
      <c r="C145" s="119" t="s">
        <v>124</v>
      </c>
      <c r="D145" s="134" t="s">
        <v>540</v>
      </c>
      <c r="E145" s="119"/>
      <c r="F145" s="119"/>
      <c r="G145" s="119"/>
      <c r="H145" s="119"/>
      <c r="I145" s="119"/>
      <c r="J145" s="119"/>
      <c r="K145" s="119"/>
      <c r="L145" s="119"/>
      <c r="M145" s="119"/>
      <c r="N145" s="119"/>
      <c r="O145" s="119"/>
      <c r="P145" s="119"/>
      <c r="Q145" s="119"/>
      <c r="R145" s="119"/>
      <c r="S145" s="119"/>
      <c r="T145" s="153" t="s">
        <v>596</v>
      </c>
      <c r="U145" s="120">
        <f>U146</f>
        <v>0</v>
      </c>
      <c r="V145" s="120">
        <f>V146</f>
        <v>0</v>
      </c>
      <c r="W145" s="120">
        <f>W146</f>
        <v>0</v>
      </c>
      <c r="X145" s="118" t="s">
        <v>308</v>
      </c>
    </row>
    <row r="146" spans="1:24" ht="129.75" hidden="1" customHeight="1" x14ac:dyDescent="0.25">
      <c r="A146" s="118" t="s">
        <v>309</v>
      </c>
      <c r="B146" s="122" t="s">
        <v>136</v>
      </c>
      <c r="C146" s="122" t="s">
        <v>124</v>
      </c>
      <c r="D146" s="134" t="s">
        <v>540</v>
      </c>
      <c r="E146" s="122"/>
      <c r="F146" s="122"/>
      <c r="G146" s="122"/>
      <c r="H146" s="122"/>
      <c r="I146" s="122"/>
      <c r="J146" s="122"/>
      <c r="K146" s="122"/>
      <c r="L146" s="122"/>
      <c r="M146" s="122"/>
      <c r="N146" s="122"/>
      <c r="O146" s="122"/>
      <c r="P146" s="122"/>
      <c r="Q146" s="122"/>
      <c r="R146" s="122"/>
      <c r="S146" s="122" t="s">
        <v>275</v>
      </c>
      <c r="T146" s="135" t="s">
        <v>309</v>
      </c>
      <c r="U146" s="120">
        <f>П4ВСР!Z112</f>
        <v>0</v>
      </c>
      <c r="V146" s="120">
        <f>П4ВСР!AA112</f>
        <v>0</v>
      </c>
      <c r="W146" s="120">
        <f>П4ВСР!AB112</f>
        <v>0</v>
      </c>
      <c r="X146" s="118" t="s">
        <v>309</v>
      </c>
    </row>
    <row r="147" spans="1:24" ht="110.25" customHeight="1" x14ac:dyDescent="0.25">
      <c r="A147" s="118" t="s">
        <v>310</v>
      </c>
      <c r="B147" s="119" t="s">
        <v>136</v>
      </c>
      <c r="C147" s="119" t="s">
        <v>124</v>
      </c>
      <c r="D147" s="134" t="s">
        <v>541</v>
      </c>
      <c r="E147" s="119"/>
      <c r="F147" s="119"/>
      <c r="G147" s="119"/>
      <c r="H147" s="119"/>
      <c r="I147" s="119"/>
      <c r="J147" s="119"/>
      <c r="K147" s="119"/>
      <c r="L147" s="119"/>
      <c r="M147" s="119"/>
      <c r="N147" s="119"/>
      <c r="O147" s="119"/>
      <c r="P147" s="119"/>
      <c r="Q147" s="119"/>
      <c r="R147" s="119"/>
      <c r="S147" s="119"/>
      <c r="T147" s="153" t="s">
        <v>1248</v>
      </c>
      <c r="U147" s="120">
        <f>U148</f>
        <v>10000</v>
      </c>
      <c r="V147" s="120">
        <f>V148</f>
        <v>25000</v>
      </c>
      <c r="W147" s="120">
        <f>W148</f>
        <v>25000</v>
      </c>
      <c r="X147" s="118" t="s">
        <v>310</v>
      </c>
    </row>
    <row r="148" spans="1:24" ht="46.5" customHeight="1" x14ac:dyDescent="0.25">
      <c r="A148" s="118" t="s">
        <v>311</v>
      </c>
      <c r="B148" s="122" t="s">
        <v>136</v>
      </c>
      <c r="C148" s="122" t="s">
        <v>124</v>
      </c>
      <c r="D148" s="134" t="s">
        <v>541</v>
      </c>
      <c r="E148" s="136"/>
      <c r="F148" s="136"/>
      <c r="G148" s="136"/>
      <c r="H148" s="136"/>
      <c r="I148" s="136"/>
      <c r="J148" s="136"/>
      <c r="K148" s="136"/>
      <c r="L148" s="136"/>
      <c r="M148" s="136"/>
      <c r="N148" s="136"/>
      <c r="O148" s="136"/>
      <c r="P148" s="136"/>
      <c r="Q148" s="136"/>
      <c r="R148" s="136"/>
      <c r="S148" s="136" t="s">
        <v>275</v>
      </c>
      <c r="T148" s="135" t="s">
        <v>565</v>
      </c>
      <c r="U148" s="120">
        <f>П4ВСР!Z114</f>
        <v>10000</v>
      </c>
      <c r="V148" s="120">
        <f>П4ВСР!AA114</f>
        <v>25000</v>
      </c>
      <c r="W148" s="120">
        <f>П4ВСР!AB114</f>
        <v>25000</v>
      </c>
      <c r="X148" s="118" t="s">
        <v>311</v>
      </c>
    </row>
    <row r="149" spans="1:24" s="275" customFormat="1" ht="123.75" customHeight="1" x14ac:dyDescent="0.25">
      <c r="A149" s="228"/>
      <c r="B149" s="136" t="s">
        <v>136</v>
      </c>
      <c r="C149" s="136" t="s">
        <v>124</v>
      </c>
      <c r="D149" s="234" t="s">
        <v>900</v>
      </c>
      <c r="E149" s="136"/>
      <c r="F149" s="136"/>
      <c r="G149" s="136"/>
      <c r="H149" s="136"/>
      <c r="I149" s="136"/>
      <c r="J149" s="136"/>
      <c r="K149" s="136"/>
      <c r="L149" s="136"/>
      <c r="M149" s="136"/>
      <c r="N149" s="136"/>
      <c r="O149" s="136"/>
      <c r="P149" s="136"/>
      <c r="Q149" s="136"/>
      <c r="R149" s="136"/>
      <c r="S149" s="136"/>
      <c r="T149" s="153" t="s">
        <v>1248</v>
      </c>
      <c r="U149" s="221">
        <f>U150</f>
        <v>0</v>
      </c>
      <c r="V149" s="221">
        <f t="shared" ref="V149:X149" si="7">V150</f>
        <v>100000</v>
      </c>
      <c r="W149" s="221">
        <f t="shared" si="7"/>
        <v>100000</v>
      </c>
      <c r="X149" s="233">
        <f t="shared" si="7"/>
        <v>0</v>
      </c>
    </row>
    <row r="150" spans="1:24" s="275" customFormat="1" ht="27.75" customHeight="1" x14ac:dyDescent="0.25">
      <c r="A150" s="228"/>
      <c r="B150" s="136" t="s">
        <v>136</v>
      </c>
      <c r="C150" s="136" t="s">
        <v>124</v>
      </c>
      <c r="D150" s="234" t="s">
        <v>900</v>
      </c>
      <c r="E150" s="136"/>
      <c r="F150" s="136"/>
      <c r="G150" s="136"/>
      <c r="H150" s="136"/>
      <c r="I150" s="136"/>
      <c r="J150" s="136"/>
      <c r="K150" s="136"/>
      <c r="L150" s="136"/>
      <c r="M150" s="136"/>
      <c r="N150" s="136"/>
      <c r="O150" s="136"/>
      <c r="P150" s="136"/>
      <c r="Q150" s="136"/>
      <c r="R150" s="136"/>
      <c r="S150" s="136" t="s">
        <v>243</v>
      </c>
      <c r="T150" s="135" t="s">
        <v>763</v>
      </c>
      <c r="U150" s="221">
        <f>П4ВСР!Z116</f>
        <v>0</v>
      </c>
      <c r="V150" s="221">
        <f>П4ВСР!AA116</f>
        <v>100000</v>
      </c>
      <c r="W150" s="221">
        <f>П4ВСР!AB116</f>
        <v>100000</v>
      </c>
      <c r="X150" s="228"/>
    </row>
    <row r="151" spans="1:24" s="275" customFormat="1" ht="131.25" hidden="1" customHeight="1" x14ac:dyDescent="0.25">
      <c r="A151" s="228"/>
      <c r="B151" s="136" t="s">
        <v>136</v>
      </c>
      <c r="C151" s="136" t="s">
        <v>124</v>
      </c>
      <c r="D151" s="234" t="s">
        <v>899</v>
      </c>
      <c r="E151" s="136"/>
      <c r="F151" s="136"/>
      <c r="G151" s="136"/>
      <c r="H151" s="136"/>
      <c r="I151" s="136"/>
      <c r="J151" s="136"/>
      <c r="K151" s="136"/>
      <c r="L151" s="136"/>
      <c r="M151" s="136"/>
      <c r="N151" s="136"/>
      <c r="O151" s="136"/>
      <c r="P151" s="136"/>
      <c r="Q151" s="136"/>
      <c r="R151" s="136"/>
      <c r="S151" s="136"/>
      <c r="T151" s="135" t="s">
        <v>597</v>
      </c>
      <c r="U151" s="221">
        <f>U152</f>
        <v>0</v>
      </c>
      <c r="V151" s="221">
        <f t="shared" ref="V151:W151" si="8">V152</f>
        <v>0</v>
      </c>
      <c r="W151" s="221">
        <f t="shared" si="8"/>
        <v>0</v>
      </c>
      <c r="X151" s="228"/>
    </row>
    <row r="152" spans="1:24" s="275" customFormat="1" ht="131.25" hidden="1" customHeight="1" x14ac:dyDescent="0.25">
      <c r="A152" s="228"/>
      <c r="B152" s="136" t="s">
        <v>136</v>
      </c>
      <c r="C152" s="136" t="s">
        <v>124</v>
      </c>
      <c r="D152" s="234" t="s">
        <v>899</v>
      </c>
      <c r="E152" s="136"/>
      <c r="F152" s="136"/>
      <c r="G152" s="136"/>
      <c r="H152" s="136"/>
      <c r="I152" s="136"/>
      <c r="J152" s="136"/>
      <c r="K152" s="136"/>
      <c r="L152" s="136"/>
      <c r="M152" s="136"/>
      <c r="N152" s="136"/>
      <c r="O152" s="136"/>
      <c r="P152" s="136"/>
      <c r="Q152" s="136"/>
      <c r="R152" s="136"/>
      <c r="S152" s="136" t="s">
        <v>275</v>
      </c>
      <c r="T152" s="135" t="s">
        <v>872</v>
      </c>
      <c r="U152" s="221">
        <f>П4ВСР!Z118</f>
        <v>0</v>
      </c>
      <c r="V152" s="221">
        <v>0</v>
      </c>
      <c r="W152" s="221">
        <v>0</v>
      </c>
      <c r="X152" s="228"/>
    </row>
    <row r="153" spans="1:24" ht="124.5" hidden="1" customHeight="1" x14ac:dyDescent="0.25">
      <c r="A153" s="118" t="s">
        <v>312</v>
      </c>
      <c r="B153" s="119" t="s">
        <v>136</v>
      </c>
      <c r="C153" s="119" t="s">
        <v>124</v>
      </c>
      <c r="D153" s="134" t="s">
        <v>542</v>
      </c>
      <c r="E153" s="119"/>
      <c r="F153" s="119"/>
      <c r="G153" s="119"/>
      <c r="H153" s="119"/>
      <c r="I153" s="119"/>
      <c r="J153" s="119"/>
      <c r="K153" s="119"/>
      <c r="L153" s="119"/>
      <c r="M153" s="119"/>
      <c r="N153" s="119"/>
      <c r="O153" s="119"/>
      <c r="P153" s="119"/>
      <c r="Q153" s="119"/>
      <c r="R153" s="119"/>
      <c r="S153" s="119"/>
      <c r="T153" s="153" t="s">
        <v>598</v>
      </c>
      <c r="U153" s="120">
        <f>U154</f>
        <v>0</v>
      </c>
      <c r="V153" s="120">
        <f>V154</f>
        <v>0</v>
      </c>
      <c r="W153" s="120">
        <f>W154</f>
        <v>0</v>
      </c>
      <c r="X153" s="118" t="s">
        <v>312</v>
      </c>
    </row>
    <row r="154" spans="1:24" ht="93" hidden="1" customHeight="1" x14ac:dyDescent="0.25">
      <c r="A154" s="118" t="s">
        <v>313</v>
      </c>
      <c r="B154" s="122" t="s">
        <v>136</v>
      </c>
      <c r="C154" s="122" t="s">
        <v>124</v>
      </c>
      <c r="D154" s="134" t="s">
        <v>542</v>
      </c>
      <c r="E154" s="136"/>
      <c r="F154" s="136"/>
      <c r="G154" s="136"/>
      <c r="H154" s="136"/>
      <c r="I154" s="136"/>
      <c r="J154" s="136"/>
      <c r="K154" s="136"/>
      <c r="L154" s="136"/>
      <c r="M154" s="136"/>
      <c r="N154" s="136"/>
      <c r="O154" s="136"/>
      <c r="P154" s="136"/>
      <c r="Q154" s="136"/>
      <c r="R154" s="136"/>
      <c r="S154" s="136" t="s">
        <v>275</v>
      </c>
      <c r="T154" s="135" t="s">
        <v>313</v>
      </c>
      <c r="U154" s="120">
        <f>П4ВСР!Z120</f>
        <v>0</v>
      </c>
      <c r="V154" s="120">
        <f>П4ВСР!AA120</f>
        <v>0</v>
      </c>
      <c r="W154" s="120">
        <f>П4ВСР!AB120</f>
        <v>0</v>
      </c>
      <c r="X154" s="118" t="s">
        <v>313</v>
      </c>
    </row>
    <row r="155" spans="1:24" ht="0.75" hidden="1" customHeight="1" x14ac:dyDescent="0.25">
      <c r="A155" s="118" t="s">
        <v>314</v>
      </c>
      <c r="B155" s="119" t="s">
        <v>136</v>
      </c>
      <c r="C155" s="119" t="s">
        <v>124</v>
      </c>
      <c r="D155" s="134" t="s">
        <v>543</v>
      </c>
      <c r="E155" s="119"/>
      <c r="F155" s="119"/>
      <c r="G155" s="119"/>
      <c r="H155" s="119"/>
      <c r="I155" s="119"/>
      <c r="J155" s="119"/>
      <c r="K155" s="119"/>
      <c r="L155" s="119"/>
      <c r="M155" s="119"/>
      <c r="N155" s="119"/>
      <c r="O155" s="119"/>
      <c r="P155" s="119"/>
      <c r="Q155" s="119"/>
      <c r="R155" s="119"/>
      <c r="S155" s="119"/>
      <c r="T155" s="153" t="s">
        <v>599</v>
      </c>
      <c r="U155" s="120">
        <f>U156</f>
        <v>0</v>
      </c>
      <c r="V155" s="120">
        <f>V156</f>
        <v>0</v>
      </c>
      <c r="W155" s="120">
        <f>W156</f>
        <v>0</v>
      </c>
      <c r="X155" s="118" t="s">
        <v>314</v>
      </c>
    </row>
    <row r="156" spans="1:24" ht="55.5" hidden="1" customHeight="1" x14ac:dyDescent="0.25">
      <c r="A156" s="118" t="s">
        <v>315</v>
      </c>
      <c r="B156" s="122" t="s">
        <v>136</v>
      </c>
      <c r="C156" s="122" t="s">
        <v>124</v>
      </c>
      <c r="D156" s="134" t="s">
        <v>543</v>
      </c>
      <c r="E156" s="136"/>
      <c r="F156" s="136"/>
      <c r="G156" s="136"/>
      <c r="H156" s="136"/>
      <c r="I156" s="136"/>
      <c r="J156" s="136"/>
      <c r="K156" s="136"/>
      <c r="L156" s="136"/>
      <c r="M156" s="136"/>
      <c r="N156" s="136"/>
      <c r="O156" s="136"/>
      <c r="P156" s="136"/>
      <c r="Q156" s="136"/>
      <c r="R156" s="136"/>
      <c r="S156" s="136" t="s">
        <v>275</v>
      </c>
      <c r="T156" s="162" t="s">
        <v>315</v>
      </c>
      <c r="U156" s="120">
        <f>П4ВСР!Z122</f>
        <v>0</v>
      </c>
      <c r="V156" s="120">
        <f>П4ВСР!AA122</f>
        <v>0</v>
      </c>
      <c r="W156" s="120">
        <f>П4ВСР!AB122</f>
        <v>0</v>
      </c>
      <c r="X156" s="118" t="s">
        <v>315</v>
      </c>
    </row>
    <row r="157" spans="1:24" ht="123" hidden="1" customHeight="1" x14ac:dyDescent="0.25">
      <c r="A157" s="118"/>
      <c r="B157" s="122" t="s">
        <v>136</v>
      </c>
      <c r="C157" s="122" t="s">
        <v>124</v>
      </c>
      <c r="D157" s="234" t="s">
        <v>899</v>
      </c>
      <c r="E157" s="136"/>
      <c r="F157" s="136"/>
      <c r="G157" s="136"/>
      <c r="H157" s="136"/>
      <c r="I157" s="136"/>
      <c r="J157" s="136"/>
      <c r="K157" s="136"/>
      <c r="L157" s="136"/>
      <c r="M157" s="136"/>
      <c r="N157" s="136"/>
      <c r="O157" s="136"/>
      <c r="P157" s="136"/>
      <c r="Q157" s="136"/>
      <c r="R157" s="136"/>
      <c r="S157" s="447"/>
      <c r="T157" s="448" t="s">
        <v>597</v>
      </c>
      <c r="U157" s="181">
        <f>U158</f>
        <v>0</v>
      </c>
      <c r="V157" s="120">
        <v>0</v>
      </c>
      <c r="W157" s="120">
        <v>0</v>
      </c>
      <c r="X157" s="118"/>
    </row>
    <row r="158" spans="1:24" ht="102" hidden="1" customHeight="1" x14ac:dyDescent="0.25">
      <c r="A158" s="118"/>
      <c r="B158" s="495" t="s">
        <v>136</v>
      </c>
      <c r="C158" s="495" t="s">
        <v>124</v>
      </c>
      <c r="D158" s="248" t="s">
        <v>899</v>
      </c>
      <c r="E158" s="163"/>
      <c r="F158" s="163"/>
      <c r="G158" s="163"/>
      <c r="H158" s="163"/>
      <c r="I158" s="163"/>
      <c r="J158" s="163"/>
      <c r="K158" s="163"/>
      <c r="L158" s="163"/>
      <c r="M158" s="163"/>
      <c r="N158" s="163"/>
      <c r="O158" s="163"/>
      <c r="P158" s="163"/>
      <c r="Q158" s="163"/>
      <c r="R158" s="163"/>
      <c r="S158" s="518" t="s">
        <v>275</v>
      </c>
      <c r="T158" s="525" t="s">
        <v>872</v>
      </c>
      <c r="U158" s="519">
        <f>П4ВСР!Z124</f>
        <v>0</v>
      </c>
      <c r="V158" s="120">
        <v>0</v>
      </c>
      <c r="W158" s="120">
        <v>0</v>
      </c>
      <c r="X158" s="118"/>
    </row>
    <row r="159" spans="1:24" ht="138" customHeight="1" x14ac:dyDescent="0.25">
      <c r="A159" s="180"/>
      <c r="B159" s="528" t="s">
        <v>136</v>
      </c>
      <c r="C159" s="528" t="s">
        <v>124</v>
      </c>
      <c r="D159" s="237" t="s">
        <v>1044</v>
      </c>
      <c r="E159" s="498"/>
      <c r="F159" s="498"/>
      <c r="G159" s="498"/>
      <c r="H159" s="498"/>
      <c r="I159" s="498"/>
      <c r="J159" s="498"/>
      <c r="K159" s="498"/>
      <c r="L159" s="498"/>
      <c r="M159" s="498"/>
      <c r="N159" s="498"/>
      <c r="O159" s="498"/>
      <c r="P159" s="498"/>
      <c r="Q159" s="498"/>
      <c r="R159" s="498"/>
      <c r="S159" s="498"/>
      <c r="T159" s="266" t="s">
        <v>1249</v>
      </c>
      <c r="U159" s="522">
        <f>U160</f>
        <v>313000</v>
      </c>
      <c r="V159" s="181">
        <v>0</v>
      </c>
      <c r="W159" s="120">
        <v>0</v>
      </c>
      <c r="X159" s="118"/>
    </row>
    <row r="160" spans="1:24" ht="27" customHeight="1" x14ac:dyDescent="0.25">
      <c r="A160" s="180"/>
      <c r="B160" s="528" t="s">
        <v>136</v>
      </c>
      <c r="C160" s="528" t="s">
        <v>124</v>
      </c>
      <c r="D160" s="237" t="s">
        <v>1044</v>
      </c>
      <c r="E160" s="498"/>
      <c r="F160" s="498"/>
      <c r="G160" s="498"/>
      <c r="H160" s="498"/>
      <c r="I160" s="498"/>
      <c r="J160" s="498"/>
      <c r="K160" s="498"/>
      <c r="L160" s="498"/>
      <c r="M160" s="498"/>
      <c r="N160" s="498"/>
      <c r="O160" s="498"/>
      <c r="P160" s="498"/>
      <c r="Q160" s="498"/>
      <c r="R160" s="498"/>
      <c r="S160" s="498" t="s">
        <v>243</v>
      </c>
      <c r="T160" s="449" t="s">
        <v>763</v>
      </c>
      <c r="U160" s="522">
        <f>П4ВСР!Z125</f>
        <v>313000</v>
      </c>
      <c r="V160" s="181">
        <v>0</v>
      </c>
      <c r="W160" s="120">
        <v>0</v>
      </c>
      <c r="X160" s="118"/>
    </row>
    <row r="161" spans="1:24" ht="129.75" hidden="1" customHeight="1" x14ac:dyDescent="0.25">
      <c r="A161" s="118"/>
      <c r="B161" s="526" t="s">
        <v>136</v>
      </c>
      <c r="C161" s="526" t="s">
        <v>124</v>
      </c>
      <c r="D161" s="288" t="s">
        <v>991</v>
      </c>
      <c r="E161" s="527"/>
      <c r="F161" s="527"/>
      <c r="G161" s="527"/>
      <c r="H161" s="527"/>
      <c r="I161" s="527"/>
      <c r="J161" s="527"/>
      <c r="K161" s="527"/>
      <c r="L161" s="527"/>
      <c r="M161" s="527"/>
      <c r="N161" s="527"/>
      <c r="O161" s="527"/>
      <c r="P161" s="527"/>
      <c r="Q161" s="527"/>
      <c r="R161" s="527"/>
      <c r="S161" s="527"/>
      <c r="T161" s="258" t="s">
        <v>989</v>
      </c>
      <c r="U161" s="521">
        <f>U162</f>
        <v>0</v>
      </c>
      <c r="V161" s="120">
        <v>0</v>
      </c>
      <c r="W161" s="120">
        <v>0</v>
      </c>
      <c r="X161" s="118"/>
    </row>
    <row r="162" spans="1:24" ht="96.75" hidden="1" customHeight="1" x14ac:dyDescent="0.25">
      <c r="A162" s="118"/>
      <c r="B162" s="122" t="s">
        <v>136</v>
      </c>
      <c r="C162" s="122" t="s">
        <v>124</v>
      </c>
      <c r="D162" s="234" t="s">
        <v>991</v>
      </c>
      <c r="E162" s="136"/>
      <c r="F162" s="136"/>
      <c r="G162" s="136"/>
      <c r="H162" s="136"/>
      <c r="I162" s="136"/>
      <c r="J162" s="136"/>
      <c r="K162" s="136"/>
      <c r="L162" s="136"/>
      <c r="M162" s="136"/>
      <c r="N162" s="136"/>
      <c r="O162" s="136"/>
      <c r="P162" s="136"/>
      <c r="Q162" s="136"/>
      <c r="R162" s="136"/>
      <c r="S162" s="136" t="s">
        <v>275</v>
      </c>
      <c r="T162" s="343" t="s">
        <v>990</v>
      </c>
      <c r="U162" s="120">
        <f>П4ВСР!Z127</f>
        <v>0</v>
      </c>
      <c r="V162" s="120">
        <v>0</v>
      </c>
      <c r="W162" s="120">
        <v>0</v>
      </c>
      <c r="X162" s="118"/>
    </row>
    <row r="163" spans="1:24" ht="183" customHeight="1" x14ac:dyDescent="0.25">
      <c r="A163" s="118" t="s">
        <v>316</v>
      </c>
      <c r="B163" s="119" t="s">
        <v>136</v>
      </c>
      <c r="C163" s="119" t="s">
        <v>124</v>
      </c>
      <c r="D163" s="122" t="s">
        <v>648</v>
      </c>
      <c r="E163" s="119"/>
      <c r="F163" s="119"/>
      <c r="G163" s="119"/>
      <c r="H163" s="119"/>
      <c r="I163" s="119"/>
      <c r="J163" s="119"/>
      <c r="K163" s="119"/>
      <c r="L163" s="119"/>
      <c r="M163" s="119"/>
      <c r="N163" s="119"/>
      <c r="O163" s="119"/>
      <c r="P163" s="119"/>
      <c r="Q163" s="119"/>
      <c r="R163" s="119"/>
      <c r="S163" s="119"/>
      <c r="T163" s="286" t="s">
        <v>1250</v>
      </c>
      <c r="U163" s="120">
        <f>U164</f>
        <v>22321.43</v>
      </c>
      <c r="V163" s="120">
        <f>V164</f>
        <v>22321.43</v>
      </c>
      <c r="W163" s="120">
        <f>W164</f>
        <v>22321.43</v>
      </c>
      <c r="X163" s="118" t="s">
        <v>316</v>
      </c>
    </row>
    <row r="164" spans="1:24" ht="52.5" customHeight="1" x14ac:dyDescent="0.25">
      <c r="A164" s="118" t="s">
        <v>317</v>
      </c>
      <c r="B164" s="495" t="s">
        <v>136</v>
      </c>
      <c r="C164" s="495" t="s">
        <v>124</v>
      </c>
      <c r="D164" s="495" t="s">
        <v>648</v>
      </c>
      <c r="E164" s="495"/>
      <c r="F164" s="495"/>
      <c r="G164" s="495"/>
      <c r="H164" s="495"/>
      <c r="I164" s="495"/>
      <c r="J164" s="495"/>
      <c r="K164" s="495"/>
      <c r="L164" s="495"/>
      <c r="M164" s="495"/>
      <c r="N164" s="495"/>
      <c r="O164" s="495"/>
      <c r="P164" s="495"/>
      <c r="Q164" s="495"/>
      <c r="R164" s="495"/>
      <c r="S164" s="495" t="s">
        <v>275</v>
      </c>
      <c r="T164" s="162" t="s">
        <v>565</v>
      </c>
      <c r="U164" s="120">
        <f>П4ВСР!Z130</f>
        <v>22321.43</v>
      </c>
      <c r="V164" s="120">
        <f>П4ВСР!AA130</f>
        <v>22321.43</v>
      </c>
      <c r="W164" s="120">
        <f>П4ВСР!AB130</f>
        <v>22321.43</v>
      </c>
      <c r="X164" s="118" t="s">
        <v>317</v>
      </c>
    </row>
    <row r="165" spans="1:24" ht="134.25" customHeight="1" x14ac:dyDescent="0.25">
      <c r="A165" s="180"/>
      <c r="B165" s="496" t="s">
        <v>136</v>
      </c>
      <c r="C165" s="496" t="s">
        <v>124</v>
      </c>
      <c r="D165" s="496" t="s">
        <v>1004</v>
      </c>
      <c r="E165" s="496"/>
      <c r="F165" s="496"/>
      <c r="G165" s="496"/>
      <c r="H165" s="496"/>
      <c r="I165" s="496"/>
      <c r="J165" s="496"/>
      <c r="K165" s="496"/>
      <c r="L165" s="496"/>
      <c r="M165" s="496"/>
      <c r="N165" s="496"/>
      <c r="O165" s="496"/>
      <c r="P165" s="496"/>
      <c r="Q165" s="496"/>
      <c r="R165" s="496"/>
      <c r="S165" s="496"/>
      <c r="T165" s="295" t="s">
        <v>1251</v>
      </c>
      <c r="U165" s="181">
        <f>U166</f>
        <v>120000</v>
      </c>
      <c r="V165" s="120">
        <v>0</v>
      </c>
      <c r="W165" s="120">
        <v>0</v>
      </c>
      <c r="X165" s="118"/>
    </row>
    <row r="166" spans="1:24" ht="39" customHeight="1" x14ac:dyDescent="0.25">
      <c r="A166" s="180"/>
      <c r="B166" s="496" t="s">
        <v>136</v>
      </c>
      <c r="C166" s="496" t="s">
        <v>124</v>
      </c>
      <c r="D166" s="496" t="s">
        <v>1004</v>
      </c>
      <c r="E166" s="496"/>
      <c r="F166" s="496"/>
      <c r="G166" s="496"/>
      <c r="H166" s="496"/>
      <c r="I166" s="496"/>
      <c r="J166" s="496"/>
      <c r="K166" s="496"/>
      <c r="L166" s="496"/>
      <c r="M166" s="496"/>
      <c r="N166" s="496"/>
      <c r="O166" s="496"/>
      <c r="P166" s="496"/>
      <c r="Q166" s="496"/>
      <c r="R166" s="496"/>
      <c r="S166" s="496" t="s">
        <v>275</v>
      </c>
      <c r="T166" s="343" t="s">
        <v>565</v>
      </c>
      <c r="U166" s="181">
        <f>П4ВСР!Z131</f>
        <v>120000</v>
      </c>
      <c r="V166" s="120">
        <v>0</v>
      </c>
      <c r="W166" s="120">
        <v>0</v>
      </c>
      <c r="X166" s="118"/>
    </row>
    <row r="167" spans="1:24" ht="0.75" hidden="1" customHeight="1" x14ac:dyDescent="0.25">
      <c r="A167" s="118"/>
      <c r="B167" s="146" t="s">
        <v>136</v>
      </c>
      <c r="C167" s="146" t="s">
        <v>124</v>
      </c>
      <c r="D167" s="147" t="s">
        <v>545</v>
      </c>
      <c r="E167" s="146"/>
      <c r="F167" s="146"/>
      <c r="G167" s="146"/>
      <c r="H167" s="146"/>
      <c r="I167" s="146"/>
      <c r="J167" s="146"/>
      <c r="K167" s="146"/>
      <c r="L167" s="146"/>
      <c r="M167" s="146"/>
      <c r="N167" s="146"/>
      <c r="O167" s="146"/>
      <c r="P167" s="146"/>
      <c r="Q167" s="146"/>
      <c r="R167" s="146"/>
      <c r="S167" s="146"/>
      <c r="T167" s="19" t="s">
        <v>544</v>
      </c>
      <c r="U167" s="120">
        <f>U168</f>
        <v>0</v>
      </c>
      <c r="V167" s="120">
        <f>V168</f>
        <v>0</v>
      </c>
      <c r="W167" s="120">
        <f>W168</f>
        <v>0</v>
      </c>
      <c r="X167" s="118"/>
    </row>
    <row r="168" spans="1:24" ht="38.25" hidden="1" customHeight="1" x14ac:dyDescent="0.25">
      <c r="A168" s="118"/>
      <c r="B168" s="146" t="s">
        <v>136</v>
      </c>
      <c r="C168" s="146" t="s">
        <v>124</v>
      </c>
      <c r="D168" s="147" t="s">
        <v>545</v>
      </c>
      <c r="E168" s="146"/>
      <c r="F168" s="146"/>
      <c r="G168" s="146"/>
      <c r="H168" s="146"/>
      <c r="I168" s="146"/>
      <c r="J168" s="146"/>
      <c r="K168" s="146"/>
      <c r="L168" s="146"/>
      <c r="M168" s="146"/>
      <c r="N168" s="146"/>
      <c r="O168" s="146"/>
      <c r="P168" s="146"/>
      <c r="Q168" s="146"/>
      <c r="R168" s="146"/>
      <c r="S168" s="146" t="s">
        <v>243</v>
      </c>
      <c r="T168" s="290" t="s">
        <v>731</v>
      </c>
      <c r="U168" s="120">
        <f>П4ВСР!Z134</f>
        <v>0</v>
      </c>
      <c r="V168" s="120">
        <f>П4ВСР!AA134</f>
        <v>0</v>
      </c>
      <c r="W168" s="120">
        <f>П4ВСР!AB134</f>
        <v>0</v>
      </c>
      <c r="X168" s="118"/>
    </row>
    <row r="169" spans="1:24" ht="28.5" hidden="1" customHeight="1" x14ac:dyDescent="0.25">
      <c r="A169" s="180"/>
      <c r="B169" s="146" t="s">
        <v>136</v>
      </c>
      <c r="C169" s="146" t="s">
        <v>124</v>
      </c>
      <c r="D169" s="147" t="s">
        <v>547</v>
      </c>
      <c r="E169" s="146"/>
      <c r="F169" s="146"/>
      <c r="G169" s="146"/>
      <c r="H169" s="146"/>
      <c r="I169" s="146"/>
      <c r="J169" s="146"/>
      <c r="K169" s="146"/>
      <c r="L169" s="146"/>
      <c r="M169" s="146"/>
      <c r="N169" s="146"/>
      <c r="O169" s="146"/>
      <c r="P169" s="146"/>
      <c r="Q169" s="146"/>
      <c r="R169" s="146"/>
      <c r="S169" s="146"/>
      <c r="T169" s="156" t="s">
        <v>546</v>
      </c>
      <c r="U169" s="181">
        <f>U170</f>
        <v>0</v>
      </c>
      <c r="V169" s="120">
        <f>V170</f>
        <v>0</v>
      </c>
      <c r="W169" s="120">
        <f>W170</f>
        <v>0</v>
      </c>
      <c r="X169" s="118"/>
    </row>
    <row r="170" spans="1:24" ht="0.75" hidden="1" customHeight="1" x14ac:dyDescent="0.25">
      <c r="A170" s="180"/>
      <c r="B170" s="146" t="s">
        <v>136</v>
      </c>
      <c r="C170" s="146" t="s">
        <v>124</v>
      </c>
      <c r="D170" s="147" t="s">
        <v>547</v>
      </c>
      <c r="E170" s="146"/>
      <c r="F170" s="146"/>
      <c r="G170" s="146"/>
      <c r="H170" s="146"/>
      <c r="I170" s="146"/>
      <c r="J170" s="146"/>
      <c r="K170" s="146"/>
      <c r="L170" s="146"/>
      <c r="M170" s="146"/>
      <c r="N170" s="146"/>
      <c r="O170" s="146"/>
      <c r="P170" s="146"/>
      <c r="Q170" s="146"/>
      <c r="R170" s="146"/>
      <c r="S170" s="146" t="s">
        <v>243</v>
      </c>
      <c r="T170" s="157" t="s">
        <v>600</v>
      </c>
      <c r="U170" s="181">
        <f>П4ВСР!Z136</f>
        <v>0</v>
      </c>
      <c r="V170" s="120">
        <f>П4ВСР!AA136</f>
        <v>0</v>
      </c>
      <c r="W170" s="120">
        <f>П4ВСР!AB136</f>
        <v>0</v>
      </c>
      <c r="X170" s="118"/>
    </row>
    <row r="171" spans="1:24" ht="24.75" customHeight="1" x14ac:dyDescent="0.25">
      <c r="A171" s="118" t="s">
        <v>252</v>
      </c>
      <c r="B171" s="451" t="s">
        <v>136</v>
      </c>
      <c r="C171" s="451" t="s">
        <v>125</v>
      </c>
      <c r="D171" s="451"/>
      <c r="E171" s="451"/>
      <c r="F171" s="451"/>
      <c r="G171" s="451"/>
      <c r="H171" s="451"/>
      <c r="I171" s="451"/>
      <c r="J171" s="451"/>
      <c r="K171" s="451"/>
      <c r="L171" s="451"/>
      <c r="M171" s="451"/>
      <c r="N171" s="451"/>
      <c r="O171" s="451"/>
      <c r="P171" s="451"/>
      <c r="Q171" s="451"/>
      <c r="R171" s="451"/>
      <c r="S171" s="451"/>
      <c r="T171" s="452" t="s">
        <v>252</v>
      </c>
      <c r="U171" s="120">
        <f>U174+U176</f>
        <v>72000</v>
      </c>
      <c r="V171" s="120">
        <f>V172+V178</f>
        <v>0</v>
      </c>
      <c r="W171" s="120">
        <f>W172+W178</f>
        <v>0</v>
      </c>
      <c r="X171" s="118" t="s">
        <v>252</v>
      </c>
    </row>
    <row r="172" spans="1:24" s="275" customFormat="1" ht="0.75" hidden="1" customHeight="1" x14ac:dyDescent="0.25">
      <c r="A172" s="228" t="s">
        <v>318</v>
      </c>
      <c r="B172" s="161" t="s">
        <v>136</v>
      </c>
      <c r="C172" s="161" t="s">
        <v>125</v>
      </c>
      <c r="D172" s="234" t="s">
        <v>873</v>
      </c>
      <c r="E172" s="161"/>
      <c r="F172" s="161"/>
      <c r="G172" s="161"/>
      <c r="H172" s="161"/>
      <c r="I172" s="161"/>
      <c r="J172" s="161"/>
      <c r="K172" s="161"/>
      <c r="L172" s="161"/>
      <c r="M172" s="161"/>
      <c r="N172" s="161"/>
      <c r="O172" s="161"/>
      <c r="P172" s="161"/>
      <c r="Q172" s="161"/>
      <c r="R172" s="161"/>
      <c r="S172" s="161"/>
      <c r="T172" s="153" t="s">
        <v>874</v>
      </c>
      <c r="U172" s="221">
        <f>U173</f>
        <v>0</v>
      </c>
      <c r="V172" s="221">
        <f>V173</f>
        <v>0</v>
      </c>
      <c r="W172" s="221">
        <f>W173</f>
        <v>0</v>
      </c>
      <c r="X172" s="228" t="s">
        <v>318</v>
      </c>
    </row>
    <row r="173" spans="1:24" s="275" customFormat="1" ht="33.75" hidden="1" customHeight="1" x14ac:dyDescent="0.25">
      <c r="A173" s="228" t="s">
        <v>319</v>
      </c>
      <c r="B173" s="136" t="s">
        <v>136</v>
      </c>
      <c r="C173" s="136" t="s">
        <v>125</v>
      </c>
      <c r="D173" s="234" t="s">
        <v>873</v>
      </c>
      <c r="E173" s="136"/>
      <c r="F173" s="136"/>
      <c r="G173" s="136"/>
      <c r="H173" s="136"/>
      <c r="I173" s="136"/>
      <c r="J173" s="136"/>
      <c r="K173" s="136"/>
      <c r="L173" s="136"/>
      <c r="M173" s="136"/>
      <c r="N173" s="136"/>
      <c r="O173" s="136"/>
      <c r="P173" s="136"/>
      <c r="Q173" s="136"/>
      <c r="R173" s="136"/>
      <c r="S173" s="136" t="s">
        <v>275</v>
      </c>
      <c r="T173" s="135" t="s">
        <v>319</v>
      </c>
      <c r="U173" s="221">
        <f>П4ВСР!Z139</f>
        <v>0</v>
      </c>
      <c r="V173" s="221">
        <f>П4ВСР!AA139</f>
        <v>0</v>
      </c>
      <c r="W173" s="221">
        <f>П4ВСР!AB139</f>
        <v>0</v>
      </c>
      <c r="X173" s="228" t="s">
        <v>319</v>
      </c>
    </row>
    <row r="174" spans="1:24" s="275" customFormat="1" ht="34.5" hidden="1" customHeight="1" x14ac:dyDescent="0.25">
      <c r="A174" s="228"/>
      <c r="B174" s="136" t="s">
        <v>136</v>
      </c>
      <c r="C174" s="136" t="s">
        <v>125</v>
      </c>
      <c r="D174" s="234" t="s">
        <v>993</v>
      </c>
      <c r="E174" s="136"/>
      <c r="F174" s="136"/>
      <c r="G174" s="136"/>
      <c r="H174" s="136"/>
      <c r="I174" s="136"/>
      <c r="J174" s="136"/>
      <c r="K174" s="136"/>
      <c r="L174" s="136"/>
      <c r="M174" s="136"/>
      <c r="N174" s="136"/>
      <c r="O174" s="136"/>
      <c r="P174" s="136"/>
      <c r="Q174" s="136"/>
      <c r="R174" s="136"/>
      <c r="S174" s="136"/>
      <c r="T174" s="295" t="s">
        <v>992</v>
      </c>
      <c r="U174" s="221">
        <f>U175</f>
        <v>0</v>
      </c>
      <c r="V174" s="221">
        <v>0</v>
      </c>
      <c r="W174" s="221">
        <v>0</v>
      </c>
      <c r="X174" s="228"/>
    </row>
    <row r="175" spans="1:24" s="275" customFormat="1" ht="45" hidden="1" customHeight="1" x14ac:dyDescent="0.25">
      <c r="A175" s="228"/>
      <c r="B175" s="136" t="s">
        <v>136</v>
      </c>
      <c r="C175" s="136" t="s">
        <v>125</v>
      </c>
      <c r="D175" s="234" t="s">
        <v>993</v>
      </c>
      <c r="E175" s="136"/>
      <c r="F175" s="136"/>
      <c r="G175" s="136"/>
      <c r="H175" s="136"/>
      <c r="I175" s="136"/>
      <c r="J175" s="136"/>
      <c r="K175" s="136"/>
      <c r="L175" s="136"/>
      <c r="M175" s="136"/>
      <c r="N175" s="136"/>
      <c r="O175" s="136"/>
      <c r="P175" s="136"/>
      <c r="Q175" s="136"/>
      <c r="R175" s="136"/>
      <c r="S175" s="136" t="s">
        <v>275</v>
      </c>
      <c r="T175" s="343" t="s">
        <v>565</v>
      </c>
      <c r="U175" s="221">
        <f>П4ВСР!Z141</f>
        <v>0</v>
      </c>
      <c r="V175" s="221">
        <v>0</v>
      </c>
      <c r="W175" s="221">
        <v>0</v>
      </c>
      <c r="X175" s="228"/>
    </row>
    <row r="176" spans="1:24" s="275" customFormat="1" ht="134.25" customHeight="1" x14ac:dyDescent="0.25">
      <c r="A176" s="228"/>
      <c r="B176" s="136" t="s">
        <v>136</v>
      </c>
      <c r="C176" s="136" t="s">
        <v>125</v>
      </c>
      <c r="D176" s="234" t="s">
        <v>993</v>
      </c>
      <c r="E176" s="136"/>
      <c r="F176" s="136"/>
      <c r="G176" s="136"/>
      <c r="H176" s="136"/>
      <c r="I176" s="136"/>
      <c r="J176" s="136"/>
      <c r="K176" s="136"/>
      <c r="L176" s="136"/>
      <c r="M176" s="136"/>
      <c r="N176" s="136"/>
      <c r="O176" s="136"/>
      <c r="P176" s="136"/>
      <c r="Q176" s="136"/>
      <c r="R176" s="136"/>
      <c r="S176" s="136"/>
      <c r="T176" s="295" t="s">
        <v>1459</v>
      </c>
      <c r="U176" s="221">
        <f>U177</f>
        <v>72000</v>
      </c>
      <c r="V176" s="221">
        <v>0</v>
      </c>
      <c r="W176" s="221">
        <v>0</v>
      </c>
      <c r="X176" s="228"/>
    </row>
    <row r="177" spans="1:27" s="275" customFormat="1" ht="26.25" customHeight="1" x14ac:dyDescent="0.25">
      <c r="A177" s="228"/>
      <c r="B177" s="136" t="s">
        <v>136</v>
      </c>
      <c r="C177" s="136" t="s">
        <v>125</v>
      </c>
      <c r="D177" s="234" t="s">
        <v>993</v>
      </c>
      <c r="E177" s="136"/>
      <c r="F177" s="136"/>
      <c r="G177" s="136"/>
      <c r="H177" s="136"/>
      <c r="I177" s="136"/>
      <c r="J177" s="136"/>
      <c r="K177" s="136"/>
      <c r="L177" s="136"/>
      <c r="M177" s="136"/>
      <c r="N177" s="136"/>
      <c r="O177" s="136"/>
      <c r="P177" s="136"/>
      <c r="Q177" s="136"/>
      <c r="R177" s="136"/>
      <c r="S177" s="136" t="s">
        <v>427</v>
      </c>
      <c r="T177" s="796" t="s">
        <v>1185</v>
      </c>
      <c r="U177" s="221">
        <f>П4ВСР!Z412</f>
        <v>72000</v>
      </c>
      <c r="V177" s="221">
        <v>0</v>
      </c>
      <c r="W177" s="221">
        <v>0</v>
      </c>
      <c r="X177" s="228"/>
    </row>
    <row r="178" spans="1:27" ht="0.75" customHeight="1" x14ac:dyDescent="0.25">
      <c r="A178" s="118" t="s">
        <v>320</v>
      </c>
      <c r="B178" s="119" t="s">
        <v>136</v>
      </c>
      <c r="C178" s="119" t="s">
        <v>125</v>
      </c>
      <c r="D178" s="134" t="s">
        <v>548</v>
      </c>
      <c r="E178" s="161"/>
      <c r="F178" s="161"/>
      <c r="G178" s="161"/>
      <c r="H178" s="161"/>
      <c r="I178" s="161"/>
      <c r="J178" s="161"/>
      <c r="K178" s="161"/>
      <c r="L178" s="161"/>
      <c r="M178" s="161"/>
      <c r="N178" s="161"/>
      <c r="O178" s="161"/>
      <c r="P178" s="161"/>
      <c r="Q178" s="161"/>
      <c r="R178" s="161"/>
      <c r="S178" s="161"/>
      <c r="T178" s="153" t="s">
        <v>601</v>
      </c>
      <c r="U178" s="120">
        <f>U179</f>
        <v>0</v>
      </c>
      <c r="V178" s="120">
        <f>V179</f>
        <v>0</v>
      </c>
      <c r="W178" s="120">
        <f>W179</f>
        <v>0</v>
      </c>
      <c r="X178" s="118" t="s">
        <v>320</v>
      </c>
    </row>
    <row r="179" spans="1:27" ht="51" hidden="1" customHeight="1" x14ac:dyDescent="0.25">
      <c r="A179" s="118" t="s">
        <v>321</v>
      </c>
      <c r="B179" s="122" t="s">
        <v>136</v>
      </c>
      <c r="C179" s="122" t="s">
        <v>125</v>
      </c>
      <c r="D179" s="134" t="s">
        <v>548</v>
      </c>
      <c r="E179" s="136"/>
      <c r="F179" s="136"/>
      <c r="G179" s="136"/>
      <c r="H179" s="136"/>
      <c r="I179" s="136"/>
      <c r="J179" s="136"/>
      <c r="K179" s="136"/>
      <c r="L179" s="136"/>
      <c r="M179" s="136"/>
      <c r="N179" s="136"/>
      <c r="O179" s="136"/>
      <c r="P179" s="136"/>
      <c r="Q179" s="136"/>
      <c r="R179" s="136"/>
      <c r="S179" s="136" t="s">
        <v>275</v>
      </c>
      <c r="T179" s="135" t="s">
        <v>321</v>
      </c>
      <c r="U179" s="120">
        <f>П4ВСР!Z143</f>
        <v>0</v>
      </c>
      <c r="V179" s="120">
        <f>П4ВСР!AA143</f>
        <v>0</v>
      </c>
      <c r="W179" s="120">
        <f>П4ВСР!AB143</f>
        <v>0</v>
      </c>
      <c r="X179" s="118" t="s">
        <v>321</v>
      </c>
    </row>
    <row r="180" spans="1:27" ht="26.25" customHeight="1" x14ac:dyDescent="0.25">
      <c r="A180" s="118" t="s">
        <v>148</v>
      </c>
      <c r="B180" s="446" t="s">
        <v>136</v>
      </c>
      <c r="C180" s="446" t="s">
        <v>126</v>
      </c>
      <c r="D180" s="446"/>
      <c r="E180" s="446"/>
      <c r="F180" s="446"/>
      <c r="G180" s="446"/>
      <c r="H180" s="446"/>
      <c r="I180" s="446"/>
      <c r="J180" s="446"/>
      <c r="K180" s="446"/>
      <c r="L180" s="446"/>
      <c r="M180" s="446"/>
      <c r="N180" s="446"/>
      <c r="O180" s="446"/>
      <c r="P180" s="446"/>
      <c r="Q180" s="446"/>
      <c r="R180" s="446"/>
      <c r="S180" s="446"/>
      <c r="T180" s="116" t="s">
        <v>148</v>
      </c>
      <c r="U180" s="120">
        <f>U181+U183+U187+U189+U191+U193+U197+U201+U203+U185+U195+U199</f>
        <v>664000</v>
      </c>
      <c r="V180" s="120">
        <f>V181+V183+V187+V189+V191+V193+V197+V201</f>
        <v>0</v>
      </c>
      <c r="W180" s="120">
        <f>W181+W183+W187+W189+W191+W193+W197+W201</f>
        <v>0</v>
      </c>
      <c r="X180" s="118" t="s">
        <v>148</v>
      </c>
    </row>
    <row r="181" spans="1:27" ht="106.5" hidden="1" customHeight="1" x14ac:dyDescent="0.25">
      <c r="A181" s="118" t="s">
        <v>322</v>
      </c>
      <c r="B181" s="134" t="s">
        <v>136</v>
      </c>
      <c r="C181" s="134" t="s">
        <v>126</v>
      </c>
      <c r="D181" s="134" t="s">
        <v>550</v>
      </c>
      <c r="E181" s="139"/>
      <c r="F181" s="139"/>
      <c r="G181" s="139"/>
      <c r="H181" s="139"/>
      <c r="I181" s="139"/>
      <c r="J181" s="139"/>
      <c r="K181" s="139"/>
      <c r="L181" s="139"/>
      <c r="M181" s="139"/>
      <c r="N181" s="139"/>
      <c r="O181" s="139"/>
      <c r="P181" s="139"/>
      <c r="Q181" s="139"/>
      <c r="R181" s="139"/>
      <c r="S181" s="139"/>
      <c r="T181" s="19" t="s">
        <v>549</v>
      </c>
      <c r="U181" s="120">
        <f>U182</f>
        <v>0</v>
      </c>
      <c r="V181" s="120">
        <f>V182</f>
        <v>0</v>
      </c>
      <c r="W181" s="120">
        <f>W182</f>
        <v>0</v>
      </c>
      <c r="X181" s="118" t="s">
        <v>322</v>
      </c>
    </row>
    <row r="182" spans="1:27" ht="80.25" hidden="1" customHeight="1" x14ac:dyDescent="0.25">
      <c r="A182" s="118" t="s">
        <v>323</v>
      </c>
      <c r="B182" s="134" t="s">
        <v>136</v>
      </c>
      <c r="C182" s="134" t="s">
        <v>126</v>
      </c>
      <c r="D182" s="134" t="s">
        <v>550</v>
      </c>
      <c r="E182" s="139"/>
      <c r="F182" s="139"/>
      <c r="G182" s="139"/>
      <c r="H182" s="139"/>
      <c r="I182" s="139"/>
      <c r="J182" s="139"/>
      <c r="K182" s="139"/>
      <c r="L182" s="139"/>
      <c r="M182" s="139"/>
      <c r="N182" s="139"/>
      <c r="O182" s="139"/>
      <c r="P182" s="139"/>
      <c r="Q182" s="139"/>
      <c r="R182" s="139"/>
      <c r="S182" s="134" t="s">
        <v>275</v>
      </c>
      <c r="T182" s="225" t="s">
        <v>602</v>
      </c>
      <c r="U182" s="120">
        <f>П4ВСР!Z146</f>
        <v>0</v>
      </c>
      <c r="V182" s="120">
        <f>П4ВСР!AA146</f>
        <v>0</v>
      </c>
      <c r="W182" s="120">
        <f>П4ВСР!AB146</f>
        <v>0</v>
      </c>
      <c r="X182" s="118" t="s">
        <v>323</v>
      </c>
    </row>
    <row r="183" spans="1:27" ht="124.5" hidden="1" customHeight="1" x14ac:dyDescent="0.25">
      <c r="A183" s="118" t="s">
        <v>324</v>
      </c>
      <c r="B183" s="119" t="s">
        <v>136</v>
      </c>
      <c r="C183" s="119" t="s">
        <v>126</v>
      </c>
      <c r="D183" s="134" t="s">
        <v>551</v>
      </c>
      <c r="E183" s="119"/>
      <c r="F183" s="119"/>
      <c r="G183" s="119"/>
      <c r="H183" s="119"/>
      <c r="I183" s="119"/>
      <c r="J183" s="119"/>
      <c r="K183" s="119"/>
      <c r="L183" s="119"/>
      <c r="M183" s="119"/>
      <c r="N183" s="119"/>
      <c r="O183" s="119"/>
      <c r="P183" s="119"/>
      <c r="Q183" s="119"/>
      <c r="R183" s="119"/>
      <c r="S183" s="119"/>
      <c r="T183" s="158" t="s">
        <v>603</v>
      </c>
      <c r="U183" s="120">
        <f>U184</f>
        <v>0</v>
      </c>
      <c r="V183" s="120">
        <f>V184</f>
        <v>0</v>
      </c>
      <c r="W183" s="120">
        <f>W184</f>
        <v>0</v>
      </c>
      <c r="X183" s="118" t="s">
        <v>324</v>
      </c>
    </row>
    <row r="184" spans="1:27" ht="83.25" hidden="1" customHeight="1" x14ac:dyDescent="0.25">
      <c r="A184" s="118" t="s">
        <v>325</v>
      </c>
      <c r="B184" s="122" t="s">
        <v>136</v>
      </c>
      <c r="C184" s="122" t="s">
        <v>126</v>
      </c>
      <c r="D184" s="134" t="s">
        <v>551</v>
      </c>
      <c r="E184" s="122"/>
      <c r="F184" s="122"/>
      <c r="G184" s="122"/>
      <c r="H184" s="122"/>
      <c r="I184" s="122"/>
      <c r="J184" s="122"/>
      <c r="K184" s="122"/>
      <c r="L184" s="122"/>
      <c r="M184" s="122"/>
      <c r="N184" s="122"/>
      <c r="O184" s="122"/>
      <c r="P184" s="122"/>
      <c r="Q184" s="122"/>
      <c r="R184" s="122"/>
      <c r="S184" s="122" t="s">
        <v>275</v>
      </c>
      <c r="T184" s="135" t="s">
        <v>323</v>
      </c>
      <c r="U184" s="120">
        <f>П4ВСР!Z148</f>
        <v>0</v>
      </c>
      <c r="V184" s="120">
        <f>П4ВСР!AA148</f>
        <v>0</v>
      </c>
      <c r="W184" s="120">
        <f>П4ВСР!AB148</f>
        <v>0</v>
      </c>
      <c r="X184" s="118" t="s">
        <v>325</v>
      </c>
    </row>
    <row r="185" spans="1:27" ht="147.75" hidden="1" customHeight="1" x14ac:dyDescent="0.25">
      <c r="A185" s="118"/>
      <c r="B185" s="122" t="s">
        <v>136</v>
      </c>
      <c r="C185" s="122" t="s">
        <v>126</v>
      </c>
      <c r="D185" s="234" t="s">
        <v>877</v>
      </c>
      <c r="E185" s="122"/>
      <c r="F185" s="122"/>
      <c r="G185" s="122"/>
      <c r="H185" s="122"/>
      <c r="I185" s="122"/>
      <c r="J185" s="122"/>
      <c r="K185" s="122"/>
      <c r="L185" s="122"/>
      <c r="M185" s="122"/>
      <c r="N185" s="122"/>
      <c r="O185" s="122"/>
      <c r="P185" s="122"/>
      <c r="Q185" s="122"/>
      <c r="R185" s="122"/>
      <c r="S185" s="122"/>
      <c r="T185" s="153" t="s">
        <v>878</v>
      </c>
      <c r="U185" s="120">
        <f>U186</f>
        <v>0</v>
      </c>
      <c r="V185" s="120">
        <v>0</v>
      </c>
      <c r="W185" s="120">
        <v>0</v>
      </c>
      <c r="X185" s="118"/>
    </row>
    <row r="186" spans="1:27" ht="0.75" customHeight="1" x14ac:dyDescent="0.25">
      <c r="A186" s="118"/>
      <c r="B186" s="122" t="s">
        <v>136</v>
      </c>
      <c r="C186" s="122" t="s">
        <v>126</v>
      </c>
      <c r="D186" s="234" t="s">
        <v>877</v>
      </c>
      <c r="E186" s="122"/>
      <c r="F186" s="122"/>
      <c r="G186" s="122"/>
      <c r="H186" s="122"/>
      <c r="I186" s="122"/>
      <c r="J186" s="122"/>
      <c r="K186" s="122"/>
      <c r="L186" s="122"/>
      <c r="M186" s="122"/>
      <c r="N186" s="122"/>
      <c r="O186" s="122"/>
      <c r="P186" s="122"/>
      <c r="Q186" s="122"/>
      <c r="R186" s="122"/>
      <c r="S186" s="122" t="s">
        <v>275</v>
      </c>
      <c r="T186" s="135" t="s">
        <v>879</v>
      </c>
      <c r="U186" s="120">
        <f>П4ВСР!Z150</f>
        <v>0</v>
      </c>
      <c r="V186" s="120">
        <v>0</v>
      </c>
      <c r="W186" s="120">
        <v>0</v>
      </c>
      <c r="X186" s="118"/>
    </row>
    <row r="187" spans="1:27" ht="0.75" hidden="1" customHeight="1" x14ac:dyDescent="0.25">
      <c r="A187" s="118" t="s">
        <v>326</v>
      </c>
      <c r="B187" s="119" t="s">
        <v>136</v>
      </c>
      <c r="C187" s="119" t="s">
        <v>126</v>
      </c>
      <c r="D187" s="134" t="s">
        <v>552</v>
      </c>
      <c r="E187" s="119"/>
      <c r="F187" s="119"/>
      <c r="G187" s="119"/>
      <c r="H187" s="119"/>
      <c r="I187" s="119"/>
      <c r="J187" s="119"/>
      <c r="K187" s="119"/>
      <c r="L187" s="119"/>
      <c r="M187" s="119"/>
      <c r="N187" s="119"/>
      <c r="O187" s="119"/>
      <c r="P187" s="119"/>
      <c r="Q187" s="119"/>
      <c r="R187" s="119"/>
      <c r="S187" s="119"/>
      <c r="T187" s="153" t="s">
        <v>604</v>
      </c>
      <c r="U187" s="120">
        <f>U188</f>
        <v>0</v>
      </c>
      <c r="V187" s="120">
        <f>V188</f>
        <v>0</v>
      </c>
      <c r="W187" s="120">
        <f>W188</f>
        <v>0</v>
      </c>
      <c r="X187" s="118" t="s">
        <v>326</v>
      </c>
    </row>
    <row r="188" spans="1:27" ht="111.75" hidden="1" customHeight="1" x14ac:dyDescent="0.25">
      <c r="A188" s="118" t="s">
        <v>327</v>
      </c>
      <c r="B188" s="122" t="s">
        <v>136</v>
      </c>
      <c r="C188" s="122" t="s">
        <v>126</v>
      </c>
      <c r="D188" s="134" t="s">
        <v>552</v>
      </c>
      <c r="E188" s="122"/>
      <c r="F188" s="122"/>
      <c r="G188" s="122"/>
      <c r="H188" s="122"/>
      <c r="I188" s="122"/>
      <c r="J188" s="122"/>
      <c r="K188" s="122"/>
      <c r="L188" s="122"/>
      <c r="M188" s="122"/>
      <c r="N188" s="122"/>
      <c r="O188" s="122"/>
      <c r="P188" s="122"/>
      <c r="Q188" s="122"/>
      <c r="R188" s="122"/>
      <c r="S188" s="122" t="s">
        <v>275</v>
      </c>
      <c r="T188" s="135" t="s">
        <v>325</v>
      </c>
      <c r="U188" s="120">
        <f>П4ВСР!Z152</f>
        <v>0</v>
      </c>
      <c r="V188" s="120">
        <f>П4ВСР!AA152</f>
        <v>0</v>
      </c>
      <c r="W188" s="120">
        <f>П4ВСР!AB152</f>
        <v>0</v>
      </c>
      <c r="X188" s="118" t="s">
        <v>327</v>
      </c>
    </row>
    <row r="189" spans="1:27" ht="121.5" hidden="1" customHeight="1" x14ac:dyDescent="0.25">
      <c r="A189" s="118" t="s">
        <v>328</v>
      </c>
      <c r="B189" s="119" t="s">
        <v>136</v>
      </c>
      <c r="C189" s="119" t="s">
        <v>126</v>
      </c>
      <c r="D189" s="134" t="s">
        <v>553</v>
      </c>
      <c r="E189" s="119"/>
      <c r="F189" s="119"/>
      <c r="G189" s="119"/>
      <c r="H189" s="119"/>
      <c r="I189" s="119"/>
      <c r="J189" s="119"/>
      <c r="K189" s="119"/>
      <c r="L189" s="119"/>
      <c r="M189" s="119"/>
      <c r="N189" s="119"/>
      <c r="O189" s="119"/>
      <c r="P189" s="119"/>
      <c r="Q189" s="119"/>
      <c r="R189" s="119"/>
      <c r="S189" s="119"/>
      <c r="T189" s="153" t="s">
        <v>605</v>
      </c>
      <c r="U189" s="120">
        <f>U190</f>
        <v>0</v>
      </c>
      <c r="V189" s="120">
        <f>V190</f>
        <v>0</v>
      </c>
      <c r="W189" s="120">
        <f>W190</f>
        <v>0</v>
      </c>
      <c r="X189" s="118" t="s">
        <v>328</v>
      </c>
    </row>
    <row r="190" spans="1:27" ht="104.25" hidden="1" customHeight="1" x14ac:dyDescent="0.25">
      <c r="A190" s="118" t="s">
        <v>329</v>
      </c>
      <c r="B190" s="122" t="s">
        <v>136</v>
      </c>
      <c r="C190" s="122" t="s">
        <v>126</v>
      </c>
      <c r="D190" s="134" t="s">
        <v>553</v>
      </c>
      <c r="E190" s="122"/>
      <c r="F190" s="122"/>
      <c r="G190" s="122"/>
      <c r="H190" s="122"/>
      <c r="I190" s="122"/>
      <c r="J190" s="122"/>
      <c r="K190" s="122"/>
      <c r="L190" s="122"/>
      <c r="M190" s="122"/>
      <c r="N190" s="122"/>
      <c r="O190" s="122"/>
      <c r="P190" s="122"/>
      <c r="Q190" s="122"/>
      <c r="R190" s="122"/>
      <c r="S190" s="122" t="s">
        <v>275</v>
      </c>
      <c r="T190" s="135" t="s">
        <v>327</v>
      </c>
      <c r="U190" s="120">
        <f>П4ВСР!Z154</f>
        <v>0</v>
      </c>
      <c r="V190" s="120">
        <f>П4ВСР!AA154</f>
        <v>0</v>
      </c>
      <c r="W190" s="120">
        <f>П4ВСР!AB154</f>
        <v>0</v>
      </c>
      <c r="X190" s="118" t="s">
        <v>329</v>
      </c>
    </row>
    <row r="191" spans="1:27" ht="102" customHeight="1" x14ac:dyDescent="0.25">
      <c r="A191" s="118" t="s">
        <v>330</v>
      </c>
      <c r="B191" s="119" t="s">
        <v>136</v>
      </c>
      <c r="C191" s="119" t="s">
        <v>126</v>
      </c>
      <c r="D191" s="134" t="s">
        <v>554</v>
      </c>
      <c r="E191" s="119"/>
      <c r="F191" s="119"/>
      <c r="G191" s="119"/>
      <c r="H191" s="119"/>
      <c r="I191" s="119"/>
      <c r="J191" s="119"/>
      <c r="K191" s="119"/>
      <c r="L191" s="119"/>
      <c r="M191" s="119"/>
      <c r="N191" s="119"/>
      <c r="O191" s="119"/>
      <c r="P191" s="119"/>
      <c r="Q191" s="119"/>
      <c r="R191" s="119"/>
      <c r="S191" s="119"/>
      <c r="T191" s="153" t="s">
        <v>1252</v>
      </c>
      <c r="U191" s="120">
        <f>U192</f>
        <v>250000</v>
      </c>
      <c r="V191" s="120">
        <f>V192</f>
        <v>0</v>
      </c>
      <c r="W191" s="120">
        <f>W192</f>
        <v>0</v>
      </c>
      <c r="X191" s="118" t="s">
        <v>330</v>
      </c>
      <c r="AA191" s="127"/>
    </row>
    <row r="192" spans="1:27" ht="45" customHeight="1" x14ac:dyDescent="0.25">
      <c r="A192" s="118" t="s">
        <v>331</v>
      </c>
      <c r="B192" s="136" t="s">
        <v>136</v>
      </c>
      <c r="C192" s="136" t="s">
        <v>126</v>
      </c>
      <c r="D192" s="134" t="s">
        <v>554</v>
      </c>
      <c r="E192" s="136"/>
      <c r="F192" s="136"/>
      <c r="G192" s="136"/>
      <c r="H192" s="136"/>
      <c r="I192" s="136"/>
      <c r="J192" s="136"/>
      <c r="K192" s="136"/>
      <c r="L192" s="136"/>
      <c r="M192" s="136"/>
      <c r="N192" s="136"/>
      <c r="O192" s="136"/>
      <c r="P192" s="136"/>
      <c r="Q192" s="136"/>
      <c r="R192" s="136"/>
      <c r="S192" s="136" t="s">
        <v>275</v>
      </c>
      <c r="T192" s="135" t="s">
        <v>565</v>
      </c>
      <c r="U192" s="120">
        <f>П4ВСР!Z156</f>
        <v>250000</v>
      </c>
      <c r="V192" s="120">
        <f>П4ВСР!AA156</f>
        <v>0</v>
      </c>
      <c r="W192" s="120">
        <f>П4ВСР!AB156</f>
        <v>0</v>
      </c>
      <c r="X192" s="118" t="s">
        <v>331</v>
      </c>
      <c r="AA192" s="127"/>
    </row>
    <row r="193" spans="1:27" ht="0.75" hidden="1" customHeight="1" x14ac:dyDescent="0.25">
      <c r="A193" s="118" t="s">
        <v>332</v>
      </c>
      <c r="B193" s="161" t="s">
        <v>136</v>
      </c>
      <c r="C193" s="161" t="s">
        <v>126</v>
      </c>
      <c r="D193" s="134" t="s">
        <v>743</v>
      </c>
      <c r="E193" s="161"/>
      <c r="F193" s="161"/>
      <c r="G193" s="161"/>
      <c r="H193" s="161"/>
      <c r="I193" s="161"/>
      <c r="J193" s="161"/>
      <c r="K193" s="161"/>
      <c r="L193" s="161"/>
      <c r="M193" s="161"/>
      <c r="N193" s="161"/>
      <c r="O193" s="161"/>
      <c r="P193" s="161"/>
      <c r="Q193" s="161"/>
      <c r="R193" s="161"/>
      <c r="S193" s="161"/>
      <c r="T193" s="153" t="s">
        <v>741</v>
      </c>
      <c r="U193" s="120">
        <f>U194</f>
        <v>0</v>
      </c>
      <c r="V193" s="120">
        <f>V194</f>
        <v>0</v>
      </c>
      <c r="W193" s="120">
        <f>W194</f>
        <v>0</v>
      </c>
      <c r="X193" s="118" t="s">
        <v>332</v>
      </c>
    </row>
    <row r="194" spans="1:27" ht="85.5" hidden="1" customHeight="1" x14ac:dyDescent="0.25">
      <c r="A194" s="118" t="s">
        <v>333</v>
      </c>
      <c r="B194" s="136" t="s">
        <v>136</v>
      </c>
      <c r="C194" s="136" t="s">
        <v>126</v>
      </c>
      <c r="D194" s="134" t="s">
        <v>743</v>
      </c>
      <c r="E194" s="136"/>
      <c r="F194" s="136"/>
      <c r="G194" s="136"/>
      <c r="H194" s="136"/>
      <c r="I194" s="136"/>
      <c r="J194" s="136"/>
      <c r="K194" s="136"/>
      <c r="L194" s="136"/>
      <c r="M194" s="136"/>
      <c r="N194" s="136"/>
      <c r="O194" s="136"/>
      <c r="P194" s="136"/>
      <c r="Q194" s="136"/>
      <c r="R194" s="136"/>
      <c r="S194" s="136" t="s">
        <v>275</v>
      </c>
      <c r="T194" s="135" t="s">
        <v>742</v>
      </c>
      <c r="U194" s="120">
        <f>П4ВСР!Z158</f>
        <v>0</v>
      </c>
      <c r="V194" s="120">
        <f>П4ВСР!AA158</f>
        <v>0</v>
      </c>
      <c r="W194" s="120">
        <f>П4ВСР!AB158</f>
        <v>0</v>
      </c>
      <c r="X194" s="118" t="s">
        <v>333</v>
      </c>
    </row>
    <row r="195" spans="1:27" ht="108" hidden="1" customHeight="1" x14ac:dyDescent="0.25">
      <c r="A195" s="118"/>
      <c r="B195" s="136" t="s">
        <v>136</v>
      </c>
      <c r="C195" s="136" t="s">
        <v>126</v>
      </c>
      <c r="D195" s="234" t="s">
        <v>887</v>
      </c>
      <c r="E195" s="136"/>
      <c r="F195" s="136"/>
      <c r="G195" s="136"/>
      <c r="H195" s="136"/>
      <c r="I195" s="136"/>
      <c r="J195" s="136"/>
      <c r="K195" s="136"/>
      <c r="L195" s="136"/>
      <c r="M195" s="136"/>
      <c r="N195" s="136"/>
      <c r="O195" s="136"/>
      <c r="P195" s="136"/>
      <c r="Q195" s="136"/>
      <c r="R195" s="136"/>
      <c r="S195" s="136"/>
      <c r="T195" s="153" t="s">
        <v>885</v>
      </c>
      <c r="U195" s="120">
        <f>U196</f>
        <v>0</v>
      </c>
      <c r="V195" s="120">
        <v>0</v>
      </c>
      <c r="W195" s="120">
        <v>0</v>
      </c>
      <c r="X195" s="118"/>
    </row>
    <row r="196" spans="1:27" ht="85.5" hidden="1" customHeight="1" x14ac:dyDescent="0.25">
      <c r="A196" s="118"/>
      <c r="B196" s="136" t="s">
        <v>136</v>
      </c>
      <c r="C196" s="136" t="s">
        <v>126</v>
      </c>
      <c r="D196" s="234" t="s">
        <v>887</v>
      </c>
      <c r="E196" s="136"/>
      <c r="F196" s="136"/>
      <c r="G196" s="136"/>
      <c r="H196" s="136"/>
      <c r="I196" s="136"/>
      <c r="J196" s="136"/>
      <c r="K196" s="136"/>
      <c r="L196" s="136"/>
      <c r="M196" s="136"/>
      <c r="N196" s="136"/>
      <c r="O196" s="136"/>
      <c r="P196" s="136"/>
      <c r="Q196" s="136"/>
      <c r="R196" s="136"/>
      <c r="S196" s="136" t="s">
        <v>275</v>
      </c>
      <c r="T196" s="153" t="s">
        <v>886</v>
      </c>
      <c r="U196" s="120">
        <f>П4ВСР!Z160</f>
        <v>0</v>
      </c>
      <c r="V196" s="120">
        <v>0</v>
      </c>
      <c r="W196" s="120">
        <v>0</v>
      </c>
      <c r="X196" s="118"/>
    </row>
    <row r="197" spans="1:27" ht="117" customHeight="1" x14ac:dyDescent="0.25">
      <c r="A197" s="118" t="s">
        <v>334</v>
      </c>
      <c r="B197" s="119" t="s">
        <v>136</v>
      </c>
      <c r="C197" s="119" t="s">
        <v>126</v>
      </c>
      <c r="D197" s="134" t="s">
        <v>555</v>
      </c>
      <c r="E197" s="119"/>
      <c r="F197" s="119"/>
      <c r="G197" s="119"/>
      <c r="H197" s="119"/>
      <c r="I197" s="119"/>
      <c r="J197" s="119"/>
      <c r="K197" s="119"/>
      <c r="L197" s="119"/>
      <c r="M197" s="119"/>
      <c r="N197" s="119"/>
      <c r="O197" s="119"/>
      <c r="P197" s="119"/>
      <c r="Q197" s="119"/>
      <c r="R197" s="119"/>
      <c r="S197" s="119"/>
      <c r="T197" s="153" t="s">
        <v>1253</v>
      </c>
      <c r="U197" s="120">
        <f>U198</f>
        <v>250000</v>
      </c>
      <c r="V197" s="120">
        <f>V198</f>
        <v>0</v>
      </c>
      <c r="W197" s="120">
        <f>W198</f>
        <v>0</v>
      </c>
      <c r="X197" s="118" t="s">
        <v>334</v>
      </c>
    </row>
    <row r="198" spans="1:27" ht="54.75" customHeight="1" x14ac:dyDescent="0.25">
      <c r="A198" s="124" t="s">
        <v>335</v>
      </c>
      <c r="B198" s="122" t="s">
        <v>136</v>
      </c>
      <c r="C198" s="122" t="s">
        <v>126</v>
      </c>
      <c r="D198" s="134" t="s">
        <v>555</v>
      </c>
      <c r="E198" s="122"/>
      <c r="F198" s="122"/>
      <c r="G198" s="122"/>
      <c r="H198" s="122"/>
      <c r="I198" s="122"/>
      <c r="J198" s="122"/>
      <c r="K198" s="122"/>
      <c r="L198" s="122"/>
      <c r="M198" s="122"/>
      <c r="N198" s="122"/>
      <c r="O198" s="122"/>
      <c r="P198" s="122"/>
      <c r="Q198" s="122"/>
      <c r="R198" s="122"/>
      <c r="S198" s="122" t="s">
        <v>275</v>
      </c>
      <c r="T198" s="135" t="s">
        <v>565</v>
      </c>
      <c r="U198" s="120">
        <f>П4ВСР!Z162</f>
        <v>250000</v>
      </c>
      <c r="V198" s="120">
        <f>П4ВСР!AA162</f>
        <v>0</v>
      </c>
      <c r="W198" s="120">
        <f>П4ВСР!AB162</f>
        <v>0</v>
      </c>
      <c r="X198" s="124" t="s">
        <v>335</v>
      </c>
    </row>
    <row r="199" spans="1:27" ht="147.75" customHeight="1" x14ac:dyDescent="0.25">
      <c r="A199" s="124"/>
      <c r="B199" s="122" t="s">
        <v>136</v>
      </c>
      <c r="C199" s="122" t="s">
        <v>126</v>
      </c>
      <c r="D199" s="234" t="s">
        <v>1383</v>
      </c>
      <c r="E199" s="122"/>
      <c r="F199" s="122"/>
      <c r="G199" s="122"/>
      <c r="H199" s="122"/>
      <c r="I199" s="122"/>
      <c r="J199" s="122"/>
      <c r="K199" s="122"/>
      <c r="L199" s="122"/>
      <c r="M199" s="122"/>
      <c r="N199" s="122"/>
      <c r="O199" s="122"/>
      <c r="P199" s="122"/>
      <c r="Q199" s="122"/>
      <c r="R199" s="122"/>
      <c r="S199" s="122"/>
      <c r="T199" s="153" t="s">
        <v>1386</v>
      </c>
      <c r="U199" s="120">
        <f>U200</f>
        <v>64000</v>
      </c>
      <c r="V199" s="120">
        <v>0</v>
      </c>
      <c r="W199" s="120">
        <v>0</v>
      </c>
      <c r="X199" s="124"/>
    </row>
    <row r="200" spans="1:27" ht="54.75" customHeight="1" x14ac:dyDescent="0.25">
      <c r="A200" s="124"/>
      <c r="B200" s="122" t="s">
        <v>136</v>
      </c>
      <c r="C200" s="122" t="s">
        <v>126</v>
      </c>
      <c r="D200" s="234" t="s">
        <v>1383</v>
      </c>
      <c r="E200" s="122"/>
      <c r="F200" s="122"/>
      <c r="G200" s="122"/>
      <c r="H200" s="122"/>
      <c r="I200" s="122"/>
      <c r="J200" s="122"/>
      <c r="K200" s="122"/>
      <c r="L200" s="122"/>
      <c r="M200" s="122"/>
      <c r="N200" s="122"/>
      <c r="O200" s="122"/>
      <c r="P200" s="122"/>
      <c r="Q200" s="122"/>
      <c r="R200" s="122"/>
      <c r="S200" s="122" t="s">
        <v>275</v>
      </c>
      <c r="T200" s="135" t="s">
        <v>565</v>
      </c>
      <c r="U200" s="120">
        <f>П4ВСР!Z163</f>
        <v>64000</v>
      </c>
      <c r="V200" s="120">
        <v>0</v>
      </c>
      <c r="W200" s="120">
        <v>0</v>
      </c>
      <c r="X200" s="124"/>
    </row>
    <row r="201" spans="1:27" ht="181.5" customHeight="1" x14ac:dyDescent="0.25">
      <c r="A201" s="118" t="s">
        <v>336</v>
      </c>
      <c r="B201" s="119" t="s">
        <v>136</v>
      </c>
      <c r="C201" s="119" t="s">
        <v>126</v>
      </c>
      <c r="D201" s="134" t="s">
        <v>556</v>
      </c>
      <c r="E201" s="119"/>
      <c r="F201" s="119"/>
      <c r="G201" s="119"/>
      <c r="H201" s="119"/>
      <c r="I201" s="119"/>
      <c r="J201" s="119"/>
      <c r="K201" s="119"/>
      <c r="L201" s="119"/>
      <c r="M201" s="119"/>
      <c r="N201" s="119"/>
      <c r="O201" s="119"/>
      <c r="P201" s="119"/>
      <c r="Q201" s="119"/>
      <c r="R201" s="119"/>
      <c r="S201" s="119"/>
      <c r="T201" s="153" t="s">
        <v>1254</v>
      </c>
      <c r="U201" s="120">
        <f>U202</f>
        <v>100000</v>
      </c>
      <c r="V201" s="120">
        <f>V202</f>
        <v>0</v>
      </c>
      <c r="W201" s="120">
        <f>W202</f>
        <v>0</v>
      </c>
      <c r="X201" s="118" t="s">
        <v>336</v>
      </c>
    </row>
    <row r="202" spans="1:27" ht="65.25" customHeight="1" x14ac:dyDescent="0.25">
      <c r="A202" s="118" t="s">
        <v>337</v>
      </c>
      <c r="B202" s="122" t="s">
        <v>136</v>
      </c>
      <c r="C202" s="122" t="s">
        <v>126</v>
      </c>
      <c r="D202" s="134" t="s">
        <v>556</v>
      </c>
      <c r="E202" s="122"/>
      <c r="F202" s="122"/>
      <c r="G202" s="122"/>
      <c r="H202" s="122"/>
      <c r="I202" s="122"/>
      <c r="J202" s="122"/>
      <c r="K202" s="122"/>
      <c r="L202" s="122"/>
      <c r="M202" s="122"/>
      <c r="N202" s="122"/>
      <c r="O202" s="122"/>
      <c r="P202" s="122"/>
      <c r="Q202" s="122"/>
      <c r="R202" s="122"/>
      <c r="S202" s="122" t="s">
        <v>275</v>
      </c>
      <c r="T202" s="154" t="s">
        <v>565</v>
      </c>
      <c r="U202" s="120">
        <f>П4ВСР!Z166</f>
        <v>100000</v>
      </c>
      <c r="V202" s="120">
        <f>П4ВСР!AA166</f>
        <v>0</v>
      </c>
      <c r="W202" s="120">
        <f>П4ВСР!AB166</f>
        <v>0</v>
      </c>
      <c r="X202" s="118" t="s">
        <v>337</v>
      </c>
    </row>
    <row r="203" spans="1:27" ht="0.75" customHeight="1" x14ac:dyDescent="0.25">
      <c r="A203" s="118"/>
      <c r="B203" s="122" t="s">
        <v>136</v>
      </c>
      <c r="C203" s="122" t="s">
        <v>126</v>
      </c>
      <c r="D203" s="234" t="s">
        <v>798</v>
      </c>
      <c r="E203" s="122"/>
      <c r="F203" s="122"/>
      <c r="G203" s="122"/>
      <c r="H203" s="122"/>
      <c r="I203" s="122"/>
      <c r="J203" s="122"/>
      <c r="K203" s="122"/>
      <c r="L203" s="122"/>
      <c r="M203" s="122"/>
      <c r="N203" s="122"/>
      <c r="O203" s="122"/>
      <c r="P203" s="122"/>
      <c r="Q203" s="122"/>
      <c r="R203" s="122"/>
      <c r="S203" s="122"/>
      <c r="T203" s="153" t="s">
        <v>796</v>
      </c>
      <c r="U203" s="120">
        <f>U204</f>
        <v>0</v>
      </c>
      <c r="V203" s="120">
        <v>0</v>
      </c>
      <c r="W203" s="120">
        <v>0</v>
      </c>
      <c r="X203" s="118"/>
    </row>
    <row r="204" spans="1:27" ht="36" hidden="1" customHeight="1" x14ac:dyDescent="0.25">
      <c r="A204" s="118"/>
      <c r="B204" s="122" t="s">
        <v>136</v>
      </c>
      <c r="C204" s="122" t="s">
        <v>126</v>
      </c>
      <c r="D204" s="234" t="s">
        <v>798</v>
      </c>
      <c r="E204" s="122"/>
      <c r="F204" s="122"/>
      <c r="G204" s="122"/>
      <c r="H204" s="122"/>
      <c r="I204" s="122"/>
      <c r="J204" s="122"/>
      <c r="K204" s="122"/>
      <c r="L204" s="122"/>
      <c r="M204" s="122"/>
      <c r="N204" s="122"/>
      <c r="O204" s="122"/>
      <c r="P204" s="122"/>
      <c r="Q204" s="122"/>
      <c r="R204" s="122"/>
      <c r="S204" s="122" t="s">
        <v>275</v>
      </c>
      <c r="T204" s="135" t="s">
        <v>797</v>
      </c>
      <c r="U204" s="120">
        <f>П4ВСР!Z168</f>
        <v>0</v>
      </c>
      <c r="V204" s="120">
        <v>0</v>
      </c>
      <c r="W204" s="120">
        <v>0</v>
      </c>
      <c r="X204" s="118"/>
    </row>
    <row r="205" spans="1:27" ht="36.75" customHeight="1" x14ac:dyDescent="0.25">
      <c r="A205" s="118"/>
      <c r="B205" s="160" t="s">
        <v>136</v>
      </c>
      <c r="C205" s="160" t="s">
        <v>127</v>
      </c>
      <c r="D205" s="134"/>
      <c r="E205" s="122"/>
      <c r="F205" s="122"/>
      <c r="G205" s="122"/>
      <c r="H205" s="122"/>
      <c r="I205" s="122"/>
      <c r="J205" s="122"/>
      <c r="K205" s="122"/>
      <c r="L205" s="122"/>
      <c r="M205" s="122"/>
      <c r="N205" s="122"/>
      <c r="O205" s="122"/>
      <c r="P205" s="122"/>
      <c r="Q205" s="122"/>
      <c r="R205" s="122"/>
      <c r="S205" s="122"/>
      <c r="T205" s="159" t="s">
        <v>606</v>
      </c>
      <c r="U205" s="120">
        <f>U206+U208+U212+U210+U214+U216+U218</f>
        <v>51649854.230000004</v>
      </c>
      <c r="V205" s="120">
        <f>V206+V208+V212+V210</f>
        <v>25761780.670000002</v>
      </c>
      <c r="W205" s="120">
        <f>W206+W208+W212+W210</f>
        <v>21944044.210000001</v>
      </c>
      <c r="X205" s="118"/>
    </row>
    <row r="206" spans="1:27" ht="141.75" customHeight="1" x14ac:dyDescent="0.25">
      <c r="A206" s="118"/>
      <c r="B206" s="161" t="s">
        <v>136</v>
      </c>
      <c r="C206" s="161" t="s">
        <v>127</v>
      </c>
      <c r="D206" s="161" t="s">
        <v>557</v>
      </c>
      <c r="E206" s="161"/>
      <c r="F206" s="161"/>
      <c r="G206" s="161"/>
      <c r="H206" s="161"/>
      <c r="I206" s="161"/>
      <c r="J206" s="161"/>
      <c r="K206" s="161"/>
      <c r="L206" s="161"/>
      <c r="M206" s="161"/>
      <c r="N206" s="161"/>
      <c r="O206" s="161"/>
      <c r="P206" s="161"/>
      <c r="Q206" s="161"/>
      <c r="R206" s="161"/>
      <c r="S206" s="161"/>
      <c r="T206" s="153" t="s">
        <v>1255</v>
      </c>
      <c r="U206" s="120">
        <f>U207</f>
        <v>24658140.02</v>
      </c>
      <c r="V206" s="120">
        <f>V207</f>
        <v>20044044.210000001</v>
      </c>
      <c r="W206" s="120">
        <f>W207</f>
        <v>20044044.210000001</v>
      </c>
      <c r="X206" s="118"/>
      <c r="AA206" s="127"/>
    </row>
    <row r="207" spans="1:27" ht="50.25" customHeight="1" x14ac:dyDescent="0.25">
      <c r="A207" s="118"/>
      <c r="B207" s="136" t="s">
        <v>136</v>
      </c>
      <c r="C207" s="136" t="s">
        <v>127</v>
      </c>
      <c r="D207" s="161" t="s">
        <v>557</v>
      </c>
      <c r="E207" s="136"/>
      <c r="F207" s="136"/>
      <c r="G207" s="136"/>
      <c r="H207" s="136"/>
      <c r="I207" s="136"/>
      <c r="J207" s="136"/>
      <c r="K207" s="136"/>
      <c r="L207" s="136"/>
      <c r="M207" s="136"/>
      <c r="N207" s="136"/>
      <c r="O207" s="136"/>
      <c r="P207" s="136"/>
      <c r="Q207" s="136"/>
      <c r="R207" s="136"/>
      <c r="S207" s="136" t="s">
        <v>275</v>
      </c>
      <c r="T207" s="135" t="s">
        <v>565</v>
      </c>
      <c r="U207" s="120">
        <f>П4ВСР!Z171</f>
        <v>24658140.02</v>
      </c>
      <c r="V207" s="120">
        <f>П4ВСР!AA171</f>
        <v>20044044.210000001</v>
      </c>
      <c r="W207" s="120">
        <f>П4ВСР!AB171</f>
        <v>20044044.210000001</v>
      </c>
      <c r="X207" s="118"/>
    </row>
    <row r="208" spans="1:27" ht="151.5" customHeight="1" x14ac:dyDescent="0.25">
      <c r="A208" s="118"/>
      <c r="B208" s="161" t="s">
        <v>136</v>
      </c>
      <c r="C208" s="161" t="s">
        <v>127</v>
      </c>
      <c r="D208" s="161" t="s">
        <v>558</v>
      </c>
      <c r="E208" s="161"/>
      <c r="F208" s="161"/>
      <c r="G208" s="161"/>
      <c r="H208" s="161"/>
      <c r="I208" s="161"/>
      <c r="J208" s="161"/>
      <c r="K208" s="161"/>
      <c r="L208" s="161"/>
      <c r="M208" s="161"/>
      <c r="N208" s="161"/>
      <c r="O208" s="161"/>
      <c r="P208" s="161"/>
      <c r="Q208" s="161"/>
      <c r="R208" s="161"/>
      <c r="S208" s="161"/>
      <c r="T208" s="153" t="s">
        <v>1256</v>
      </c>
      <c r="U208" s="120">
        <f>U209</f>
        <v>3453000</v>
      </c>
      <c r="V208" s="120">
        <f>V209</f>
        <v>5717736.46</v>
      </c>
      <c r="W208" s="120">
        <f>W209</f>
        <v>1900000</v>
      </c>
      <c r="X208" s="118"/>
    </row>
    <row r="209" spans="1:24" ht="45.75" customHeight="1" x14ac:dyDescent="0.25">
      <c r="A209" s="118"/>
      <c r="B209" s="136" t="s">
        <v>136</v>
      </c>
      <c r="C209" s="136" t="s">
        <v>127</v>
      </c>
      <c r="D209" s="161" t="s">
        <v>558</v>
      </c>
      <c r="E209" s="136"/>
      <c r="F209" s="136"/>
      <c r="G209" s="136"/>
      <c r="H209" s="136"/>
      <c r="I209" s="136"/>
      <c r="J209" s="136"/>
      <c r="K209" s="136"/>
      <c r="L209" s="136"/>
      <c r="M209" s="136"/>
      <c r="N209" s="136"/>
      <c r="O209" s="136"/>
      <c r="P209" s="136"/>
      <c r="Q209" s="136"/>
      <c r="R209" s="136"/>
      <c r="S209" s="136" t="s">
        <v>275</v>
      </c>
      <c r="T209" s="135" t="s">
        <v>565</v>
      </c>
      <c r="U209" s="120">
        <f>П4ВСР!Z173</f>
        <v>3453000</v>
      </c>
      <c r="V209" s="120">
        <f>П4ВСР!AA173</f>
        <v>5717736.46</v>
      </c>
      <c r="W209" s="120">
        <f>П4ВСР!AB173</f>
        <v>1900000</v>
      </c>
      <c r="X209" s="118"/>
    </row>
    <row r="210" spans="1:24" ht="147.75" customHeight="1" x14ac:dyDescent="0.25">
      <c r="A210" s="118"/>
      <c r="B210" s="136" t="s">
        <v>136</v>
      </c>
      <c r="C210" s="136" t="s">
        <v>127</v>
      </c>
      <c r="D210" s="161" t="s">
        <v>558</v>
      </c>
      <c r="E210" s="136"/>
      <c r="F210" s="136"/>
      <c r="G210" s="136"/>
      <c r="H210" s="136"/>
      <c r="I210" s="136"/>
      <c r="J210" s="136"/>
      <c r="K210" s="136"/>
      <c r="L210" s="136"/>
      <c r="M210" s="136"/>
      <c r="N210" s="136"/>
      <c r="O210" s="136"/>
      <c r="P210" s="136"/>
      <c r="Q210" s="136"/>
      <c r="R210" s="136"/>
      <c r="S210" s="136"/>
      <c r="T210" s="153" t="s">
        <v>1256</v>
      </c>
      <c r="U210" s="120">
        <f>U211</f>
        <v>14547000</v>
      </c>
      <c r="V210" s="120">
        <v>0</v>
      </c>
      <c r="W210" s="120">
        <v>0</v>
      </c>
      <c r="X210" s="118"/>
    </row>
    <row r="211" spans="1:24" ht="41.25" customHeight="1" x14ac:dyDescent="0.25">
      <c r="A211" s="118"/>
      <c r="B211" s="136" t="s">
        <v>136</v>
      </c>
      <c r="C211" s="136" t="s">
        <v>127</v>
      </c>
      <c r="D211" s="161" t="s">
        <v>558</v>
      </c>
      <c r="E211" s="136"/>
      <c r="F211" s="136"/>
      <c r="G211" s="136"/>
      <c r="H211" s="136"/>
      <c r="I211" s="136"/>
      <c r="J211" s="136"/>
      <c r="K211" s="136"/>
      <c r="L211" s="136"/>
      <c r="M211" s="136"/>
      <c r="N211" s="136"/>
      <c r="O211" s="136"/>
      <c r="P211" s="136"/>
      <c r="Q211" s="136"/>
      <c r="R211" s="136"/>
      <c r="S211" s="136" t="s">
        <v>427</v>
      </c>
      <c r="T211" s="153" t="s">
        <v>773</v>
      </c>
      <c r="U211" s="120">
        <f>П4ВСР!Z416</f>
        <v>14547000</v>
      </c>
      <c r="V211" s="120">
        <v>0</v>
      </c>
      <c r="W211" s="120">
        <v>0</v>
      </c>
      <c r="X211" s="118"/>
    </row>
    <row r="212" spans="1:24" ht="78.75" customHeight="1" x14ac:dyDescent="0.25">
      <c r="A212" s="118"/>
      <c r="B212" s="136" t="s">
        <v>136</v>
      </c>
      <c r="C212" s="136" t="s">
        <v>127</v>
      </c>
      <c r="D212" s="161" t="s">
        <v>780</v>
      </c>
      <c r="E212" s="136"/>
      <c r="F212" s="136"/>
      <c r="G212" s="136"/>
      <c r="H212" s="136"/>
      <c r="I212" s="136"/>
      <c r="J212" s="136"/>
      <c r="K212" s="136"/>
      <c r="L212" s="136"/>
      <c r="M212" s="136"/>
      <c r="N212" s="136"/>
      <c r="O212" s="136"/>
      <c r="P212" s="136"/>
      <c r="Q212" s="136"/>
      <c r="R212" s="136"/>
      <c r="S212" s="136"/>
      <c r="T212" s="251" t="s">
        <v>781</v>
      </c>
      <c r="U212" s="120">
        <f>U213</f>
        <v>5514714.2100000009</v>
      </c>
      <c r="V212" s="120">
        <v>0</v>
      </c>
      <c r="W212" s="120">
        <v>0</v>
      </c>
      <c r="X212" s="118"/>
    </row>
    <row r="213" spans="1:24" ht="67.5" customHeight="1" x14ac:dyDescent="0.25">
      <c r="A213" s="118"/>
      <c r="B213" s="136" t="s">
        <v>136</v>
      </c>
      <c r="C213" s="136" t="s">
        <v>127</v>
      </c>
      <c r="D213" s="161" t="s">
        <v>780</v>
      </c>
      <c r="E213" s="136"/>
      <c r="F213" s="136"/>
      <c r="G213" s="136"/>
      <c r="H213" s="136"/>
      <c r="I213" s="136"/>
      <c r="J213" s="136"/>
      <c r="K213" s="136"/>
      <c r="L213" s="136"/>
      <c r="M213" s="136"/>
      <c r="N213" s="136"/>
      <c r="O213" s="136"/>
      <c r="P213" s="136"/>
      <c r="Q213" s="136"/>
      <c r="R213" s="136"/>
      <c r="S213" s="136" t="s">
        <v>275</v>
      </c>
      <c r="T213" s="252" t="s">
        <v>782</v>
      </c>
      <c r="U213" s="120">
        <f>П4ВСР!Z175</f>
        <v>5514714.2100000009</v>
      </c>
      <c r="V213" s="120">
        <v>0</v>
      </c>
      <c r="W213" s="120">
        <v>0</v>
      </c>
      <c r="X213" s="118"/>
    </row>
    <row r="214" spans="1:24" ht="127.5" customHeight="1" x14ac:dyDescent="0.25">
      <c r="A214" s="118"/>
      <c r="B214" s="136" t="s">
        <v>136</v>
      </c>
      <c r="C214" s="136" t="s">
        <v>127</v>
      </c>
      <c r="D214" s="161" t="s">
        <v>985</v>
      </c>
      <c r="E214" s="136"/>
      <c r="F214" s="136"/>
      <c r="G214" s="136"/>
      <c r="H214" s="136"/>
      <c r="I214" s="136"/>
      <c r="J214" s="136"/>
      <c r="K214" s="136"/>
      <c r="L214" s="136"/>
      <c r="M214" s="136"/>
      <c r="N214" s="136"/>
      <c r="O214" s="136"/>
      <c r="P214" s="136"/>
      <c r="Q214" s="136"/>
      <c r="R214" s="136"/>
      <c r="S214" s="136"/>
      <c r="T214" s="444" t="s">
        <v>1487</v>
      </c>
      <c r="U214" s="120">
        <f>U215</f>
        <v>3477000</v>
      </c>
      <c r="V214" s="120">
        <v>0</v>
      </c>
      <c r="W214" s="120">
        <v>0</v>
      </c>
      <c r="X214" s="118"/>
    </row>
    <row r="215" spans="1:24" ht="79.5" customHeight="1" x14ac:dyDescent="0.25">
      <c r="A215" s="118"/>
      <c r="B215" s="136" t="s">
        <v>136</v>
      </c>
      <c r="C215" s="136" t="s">
        <v>127</v>
      </c>
      <c r="D215" s="161" t="s">
        <v>985</v>
      </c>
      <c r="E215" s="136"/>
      <c r="F215" s="136"/>
      <c r="G215" s="136"/>
      <c r="H215" s="136"/>
      <c r="I215" s="136"/>
      <c r="J215" s="136"/>
      <c r="K215" s="136"/>
      <c r="L215" s="136"/>
      <c r="M215" s="136"/>
      <c r="N215" s="136"/>
      <c r="O215" s="136"/>
      <c r="P215" s="136"/>
      <c r="Q215" s="136"/>
      <c r="R215" s="136"/>
      <c r="S215" s="136" t="s">
        <v>275</v>
      </c>
      <c r="T215" s="445" t="s">
        <v>984</v>
      </c>
      <c r="U215" s="120">
        <f>П4ВСР!Z177</f>
        <v>3477000</v>
      </c>
      <c r="V215" s="120">
        <v>0</v>
      </c>
      <c r="W215" s="120">
        <v>0</v>
      </c>
      <c r="X215" s="118"/>
    </row>
    <row r="216" spans="1:24" ht="1.5" hidden="1" customHeight="1" x14ac:dyDescent="0.25">
      <c r="A216" s="118"/>
      <c r="B216" s="136" t="s">
        <v>136</v>
      </c>
      <c r="C216" s="136" t="s">
        <v>127</v>
      </c>
      <c r="D216" s="499" t="s">
        <v>1006</v>
      </c>
      <c r="E216" s="136"/>
      <c r="F216" s="136"/>
      <c r="G216" s="136"/>
      <c r="H216" s="136"/>
      <c r="I216" s="136"/>
      <c r="J216" s="136"/>
      <c r="K216" s="136"/>
      <c r="L216" s="136"/>
      <c r="M216" s="136"/>
      <c r="N216" s="136"/>
      <c r="O216" s="136"/>
      <c r="P216" s="136"/>
      <c r="Q216" s="136"/>
      <c r="R216" s="136"/>
      <c r="S216" s="447"/>
      <c r="T216" s="444" t="s">
        <v>1011</v>
      </c>
      <c r="U216" s="181">
        <f>U217</f>
        <v>0</v>
      </c>
      <c r="V216" s="120">
        <v>0</v>
      </c>
      <c r="W216" s="120">
        <v>0</v>
      </c>
      <c r="X216" s="118"/>
    </row>
    <row r="217" spans="1:24" ht="21.75" hidden="1" customHeight="1" x14ac:dyDescent="0.25">
      <c r="A217" s="118"/>
      <c r="B217" s="163" t="s">
        <v>136</v>
      </c>
      <c r="C217" s="163" t="s">
        <v>127</v>
      </c>
      <c r="D217" s="517" t="s">
        <v>1006</v>
      </c>
      <c r="E217" s="163"/>
      <c r="F217" s="163"/>
      <c r="G217" s="163"/>
      <c r="H217" s="163"/>
      <c r="I217" s="163"/>
      <c r="J217" s="163"/>
      <c r="K217" s="163"/>
      <c r="L217" s="163"/>
      <c r="M217" s="163"/>
      <c r="N217" s="163"/>
      <c r="O217" s="163"/>
      <c r="P217" s="163"/>
      <c r="Q217" s="163"/>
      <c r="R217" s="163"/>
      <c r="S217" s="518" t="s">
        <v>275</v>
      </c>
      <c r="T217" s="507" t="s">
        <v>1012</v>
      </c>
      <c r="U217" s="519">
        <f>П4ВСР!Z178</f>
        <v>0</v>
      </c>
      <c r="V217" s="120">
        <v>0</v>
      </c>
      <c r="W217" s="120">
        <v>0</v>
      </c>
      <c r="X217" s="118"/>
    </row>
    <row r="218" spans="1:24" ht="29.25" hidden="1" customHeight="1" x14ac:dyDescent="0.25">
      <c r="A218" s="180"/>
      <c r="B218" s="163" t="s">
        <v>136</v>
      </c>
      <c r="C218" s="163" t="s">
        <v>127</v>
      </c>
      <c r="D218" s="499" t="s">
        <v>1024</v>
      </c>
      <c r="E218" s="163"/>
      <c r="F218" s="163"/>
      <c r="G218" s="163"/>
      <c r="H218" s="163"/>
      <c r="I218" s="163"/>
      <c r="J218" s="163"/>
      <c r="K218" s="163"/>
      <c r="L218" s="163"/>
      <c r="M218" s="163"/>
      <c r="N218" s="163"/>
      <c r="O218" s="163"/>
      <c r="P218" s="163"/>
      <c r="Q218" s="163"/>
      <c r="R218" s="163"/>
      <c r="S218" s="518"/>
      <c r="T218" s="515" t="s">
        <v>1011</v>
      </c>
      <c r="U218" s="522">
        <f>U219</f>
        <v>0</v>
      </c>
      <c r="V218" s="181">
        <v>0</v>
      </c>
      <c r="W218" s="120">
        <v>0</v>
      </c>
      <c r="X218" s="118"/>
    </row>
    <row r="219" spans="1:24" ht="36.75" hidden="1" customHeight="1" x14ac:dyDescent="0.25">
      <c r="A219" s="180"/>
      <c r="B219" s="498" t="s">
        <v>136</v>
      </c>
      <c r="C219" s="498" t="s">
        <v>127</v>
      </c>
      <c r="D219" s="499" t="s">
        <v>1024</v>
      </c>
      <c r="E219" s="498"/>
      <c r="F219" s="498"/>
      <c r="G219" s="498"/>
      <c r="H219" s="498"/>
      <c r="I219" s="498"/>
      <c r="J219" s="498"/>
      <c r="K219" s="498"/>
      <c r="L219" s="498"/>
      <c r="M219" s="498"/>
      <c r="N219" s="498"/>
      <c r="O219" s="498"/>
      <c r="P219" s="498"/>
      <c r="Q219" s="498"/>
      <c r="R219" s="498"/>
      <c r="S219" s="498" t="s">
        <v>275</v>
      </c>
      <c r="T219" s="445" t="s">
        <v>1012</v>
      </c>
      <c r="U219" s="522">
        <f>П4ВСР!Z180</f>
        <v>0</v>
      </c>
      <c r="V219" s="181">
        <v>0</v>
      </c>
      <c r="W219" s="120">
        <v>0</v>
      </c>
      <c r="X219" s="118"/>
    </row>
    <row r="220" spans="1:24" ht="36" customHeight="1" x14ac:dyDescent="0.25">
      <c r="A220" s="118" t="s">
        <v>149</v>
      </c>
      <c r="B220" s="520" t="s">
        <v>136</v>
      </c>
      <c r="C220" s="520" t="s">
        <v>129</v>
      </c>
      <c r="D220" s="520"/>
      <c r="E220" s="520"/>
      <c r="F220" s="520"/>
      <c r="G220" s="520"/>
      <c r="H220" s="520"/>
      <c r="I220" s="520"/>
      <c r="J220" s="520"/>
      <c r="K220" s="520"/>
      <c r="L220" s="520"/>
      <c r="M220" s="520"/>
      <c r="N220" s="520"/>
      <c r="O220" s="520"/>
      <c r="P220" s="520"/>
      <c r="Q220" s="520"/>
      <c r="R220" s="520"/>
      <c r="S220" s="520"/>
      <c r="T220" s="500" t="s">
        <v>149</v>
      </c>
      <c r="U220" s="521">
        <f>U223+U225+U227+U229+U221+U231+U233+U235+U237+U239+U241</f>
        <v>1010000</v>
      </c>
      <c r="V220" s="120">
        <f>V223+V225+V227</f>
        <v>200000</v>
      </c>
      <c r="W220" s="120">
        <f>W223+W225+W227</f>
        <v>200000</v>
      </c>
      <c r="X220" s="118" t="s">
        <v>149</v>
      </c>
    </row>
    <row r="221" spans="1:24" ht="119.25" hidden="1" customHeight="1" x14ac:dyDescent="0.25">
      <c r="A221" s="118"/>
      <c r="B221" s="119" t="s">
        <v>136</v>
      </c>
      <c r="C221" s="119" t="s">
        <v>129</v>
      </c>
      <c r="D221" s="119" t="s">
        <v>902</v>
      </c>
      <c r="E221" s="119"/>
      <c r="F221" s="119"/>
      <c r="G221" s="119"/>
      <c r="H221" s="119"/>
      <c r="I221" s="119"/>
      <c r="J221" s="119"/>
      <c r="K221" s="119"/>
      <c r="L221" s="119"/>
      <c r="M221" s="119"/>
      <c r="N221" s="119"/>
      <c r="O221" s="119"/>
      <c r="P221" s="119"/>
      <c r="Q221" s="119"/>
      <c r="R221" s="119"/>
      <c r="S221" s="119"/>
      <c r="T221" s="153" t="s">
        <v>901</v>
      </c>
      <c r="U221" s="120">
        <f>U222</f>
        <v>0</v>
      </c>
      <c r="V221" s="120">
        <v>0</v>
      </c>
      <c r="W221" s="120">
        <v>0</v>
      </c>
      <c r="X221" s="118"/>
    </row>
    <row r="222" spans="1:24" ht="30" hidden="1" customHeight="1" x14ac:dyDescent="0.25">
      <c r="A222" s="118"/>
      <c r="B222" s="119" t="s">
        <v>136</v>
      </c>
      <c r="C222" s="119" t="s">
        <v>129</v>
      </c>
      <c r="D222" s="119" t="s">
        <v>902</v>
      </c>
      <c r="E222" s="119"/>
      <c r="F222" s="119"/>
      <c r="G222" s="119"/>
      <c r="H222" s="119"/>
      <c r="I222" s="119"/>
      <c r="J222" s="119"/>
      <c r="K222" s="119"/>
      <c r="L222" s="119"/>
      <c r="M222" s="119"/>
      <c r="N222" s="119"/>
      <c r="O222" s="119"/>
      <c r="P222" s="119"/>
      <c r="Q222" s="119"/>
      <c r="R222" s="119"/>
      <c r="S222" s="119" t="s">
        <v>427</v>
      </c>
      <c r="T222" s="153" t="s">
        <v>773</v>
      </c>
      <c r="U222" s="120">
        <f>П4ВСР!Z408</f>
        <v>0</v>
      </c>
      <c r="V222" s="120">
        <v>0</v>
      </c>
      <c r="W222" s="120">
        <v>0</v>
      </c>
      <c r="X222" s="118"/>
    </row>
    <row r="223" spans="1:24" ht="138.75" hidden="1" customHeight="1" x14ac:dyDescent="0.25">
      <c r="A223" s="118" t="s">
        <v>340</v>
      </c>
      <c r="B223" s="119" t="s">
        <v>136</v>
      </c>
      <c r="C223" s="119" t="s">
        <v>129</v>
      </c>
      <c r="D223" s="134" t="s">
        <v>559</v>
      </c>
      <c r="E223" s="119"/>
      <c r="F223" s="119"/>
      <c r="G223" s="119"/>
      <c r="H223" s="119"/>
      <c r="I223" s="119"/>
      <c r="J223" s="119"/>
      <c r="K223" s="119"/>
      <c r="L223" s="119"/>
      <c r="M223" s="119"/>
      <c r="N223" s="119"/>
      <c r="O223" s="119"/>
      <c r="P223" s="119"/>
      <c r="Q223" s="119"/>
      <c r="R223" s="119"/>
      <c r="S223" s="119"/>
      <c r="T223" s="153" t="s">
        <v>592</v>
      </c>
      <c r="U223" s="120">
        <f>U224</f>
        <v>0</v>
      </c>
      <c r="V223" s="120">
        <f>V224</f>
        <v>0</v>
      </c>
      <c r="W223" s="120">
        <f>W224</f>
        <v>0</v>
      </c>
      <c r="X223" s="118" t="s">
        <v>340</v>
      </c>
    </row>
    <row r="224" spans="1:24" ht="77.25" hidden="1" customHeight="1" x14ac:dyDescent="0.25">
      <c r="A224" s="118" t="s">
        <v>341</v>
      </c>
      <c r="B224" s="122" t="s">
        <v>136</v>
      </c>
      <c r="C224" s="122" t="s">
        <v>129</v>
      </c>
      <c r="D224" s="134" t="s">
        <v>559</v>
      </c>
      <c r="E224" s="122"/>
      <c r="F224" s="122"/>
      <c r="G224" s="122"/>
      <c r="H224" s="122"/>
      <c r="I224" s="122"/>
      <c r="J224" s="122"/>
      <c r="K224" s="122"/>
      <c r="L224" s="122"/>
      <c r="M224" s="122"/>
      <c r="N224" s="122"/>
      <c r="O224" s="122"/>
      <c r="P224" s="122"/>
      <c r="Q224" s="122"/>
      <c r="R224" s="122"/>
      <c r="S224" s="168" t="s">
        <v>243</v>
      </c>
      <c r="T224" s="135" t="s">
        <v>732</v>
      </c>
      <c r="U224" s="120">
        <f>П4ВСР!Z184</f>
        <v>0</v>
      </c>
      <c r="V224" s="120">
        <f>П4ВСР!AA184</f>
        <v>0</v>
      </c>
      <c r="W224" s="120">
        <f>П4ВСР!AB184</f>
        <v>0</v>
      </c>
      <c r="X224" s="118" t="s">
        <v>341</v>
      </c>
    </row>
    <row r="225" spans="1:27" ht="186" customHeight="1" x14ac:dyDescent="0.25">
      <c r="A225" s="118" t="s">
        <v>342</v>
      </c>
      <c r="B225" s="119" t="s">
        <v>136</v>
      </c>
      <c r="C225" s="119" t="s">
        <v>129</v>
      </c>
      <c r="D225" s="134" t="s">
        <v>560</v>
      </c>
      <c r="E225" s="119"/>
      <c r="F225" s="119"/>
      <c r="G225" s="119"/>
      <c r="H225" s="119"/>
      <c r="I225" s="119"/>
      <c r="J225" s="119"/>
      <c r="K225" s="119"/>
      <c r="L225" s="119"/>
      <c r="M225" s="119"/>
      <c r="N225" s="119"/>
      <c r="O225" s="119"/>
      <c r="P225" s="119"/>
      <c r="Q225" s="119"/>
      <c r="R225" s="119"/>
      <c r="S225" s="119"/>
      <c r="T225" s="153" t="s">
        <v>1257</v>
      </c>
      <c r="U225" s="120">
        <f>U226</f>
        <v>700000</v>
      </c>
      <c r="V225" s="120">
        <f>V226</f>
        <v>150000</v>
      </c>
      <c r="W225" s="120">
        <f>W226</f>
        <v>150000</v>
      </c>
      <c r="X225" s="118" t="s">
        <v>342</v>
      </c>
      <c r="AA225" s="127"/>
    </row>
    <row r="226" spans="1:27" ht="32.25" customHeight="1" x14ac:dyDescent="0.25">
      <c r="A226" s="124" t="s">
        <v>343</v>
      </c>
      <c r="B226" s="122" t="s">
        <v>136</v>
      </c>
      <c r="C226" s="122" t="s">
        <v>129</v>
      </c>
      <c r="D226" s="134" t="s">
        <v>560</v>
      </c>
      <c r="E226" s="122"/>
      <c r="F226" s="122"/>
      <c r="G226" s="122"/>
      <c r="H226" s="122"/>
      <c r="I226" s="122"/>
      <c r="J226" s="122"/>
      <c r="K226" s="122"/>
      <c r="L226" s="122"/>
      <c r="M226" s="122"/>
      <c r="N226" s="122"/>
      <c r="O226" s="122"/>
      <c r="P226" s="122"/>
      <c r="Q226" s="122"/>
      <c r="R226" s="122"/>
      <c r="S226" s="168" t="s">
        <v>243</v>
      </c>
      <c r="T226" s="154" t="s">
        <v>1258</v>
      </c>
      <c r="U226" s="120">
        <f>П4ВСР!Z186</f>
        <v>700000</v>
      </c>
      <c r="V226" s="120">
        <f>П4ВСР!AA186</f>
        <v>150000</v>
      </c>
      <c r="W226" s="120">
        <f>П4ВСР!AB186</f>
        <v>150000</v>
      </c>
      <c r="X226" s="124" t="s">
        <v>343</v>
      </c>
    </row>
    <row r="227" spans="1:27" ht="143.25" customHeight="1" x14ac:dyDescent="0.25">
      <c r="A227" s="118" t="s">
        <v>344</v>
      </c>
      <c r="B227" s="119" t="s">
        <v>136</v>
      </c>
      <c r="C227" s="119" t="s">
        <v>129</v>
      </c>
      <c r="D227" s="134" t="s">
        <v>561</v>
      </c>
      <c r="E227" s="119"/>
      <c r="F227" s="119"/>
      <c r="G227" s="119"/>
      <c r="H227" s="119"/>
      <c r="I227" s="119"/>
      <c r="J227" s="119"/>
      <c r="K227" s="119"/>
      <c r="L227" s="119"/>
      <c r="M227" s="119"/>
      <c r="N227" s="119"/>
      <c r="O227" s="119"/>
      <c r="P227" s="119"/>
      <c r="Q227" s="119"/>
      <c r="R227" s="119"/>
      <c r="S227" s="119"/>
      <c r="T227" s="153" t="s">
        <v>1259</v>
      </c>
      <c r="U227" s="120">
        <f>U228</f>
        <v>10000</v>
      </c>
      <c r="V227" s="120">
        <f>V228</f>
        <v>50000</v>
      </c>
      <c r="W227" s="120">
        <f>W228</f>
        <v>50000</v>
      </c>
      <c r="X227" s="118" t="s">
        <v>344</v>
      </c>
    </row>
    <row r="228" spans="1:27" ht="48.75" customHeight="1" x14ac:dyDescent="0.25">
      <c r="A228" s="118" t="s">
        <v>345</v>
      </c>
      <c r="B228" s="122" t="s">
        <v>136</v>
      </c>
      <c r="C228" s="122" t="s">
        <v>129</v>
      </c>
      <c r="D228" s="134" t="s">
        <v>561</v>
      </c>
      <c r="E228" s="122"/>
      <c r="F228" s="122"/>
      <c r="G228" s="122"/>
      <c r="H228" s="122"/>
      <c r="I228" s="122"/>
      <c r="J228" s="122"/>
      <c r="K228" s="122"/>
      <c r="L228" s="122"/>
      <c r="M228" s="122"/>
      <c r="N228" s="122"/>
      <c r="O228" s="122"/>
      <c r="P228" s="122"/>
      <c r="Q228" s="122"/>
      <c r="R228" s="122"/>
      <c r="S228" s="122" t="s">
        <v>275</v>
      </c>
      <c r="T228" s="135" t="s">
        <v>565</v>
      </c>
      <c r="U228" s="120">
        <f>П4ВСР!Z188</f>
        <v>10000</v>
      </c>
      <c r="V228" s="120">
        <f>П4ВСР!AA188</f>
        <v>50000</v>
      </c>
      <c r="W228" s="120">
        <f>П4ВСР!AB188</f>
        <v>50000</v>
      </c>
      <c r="X228" s="118" t="s">
        <v>345</v>
      </c>
    </row>
    <row r="229" spans="1:27" ht="120.75" hidden="1" customHeight="1" x14ac:dyDescent="0.25">
      <c r="A229" s="118"/>
      <c r="B229" s="136" t="s">
        <v>136</v>
      </c>
      <c r="C229" s="136" t="s">
        <v>129</v>
      </c>
      <c r="D229" s="234" t="s">
        <v>881</v>
      </c>
      <c r="E229" s="136"/>
      <c r="F229" s="136"/>
      <c r="G229" s="136"/>
      <c r="H229" s="136"/>
      <c r="I229" s="136"/>
      <c r="J229" s="136"/>
      <c r="K229" s="136"/>
      <c r="L229" s="136"/>
      <c r="M229" s="136"/>
      <c r="N229" s="136"/>
      <c r="O229" s="136"/>
      <c r="P229" s="136"/>
      <c r="Q229" s="136"/>
      <c r="R229" s="136"/>
      <c r="S229" s="136"/>
      <c r="T229" s="135" t="s">
        <v>882</v>
      </c>
      <c r="U229" s="120">
        <f>U230</f>
        <v>0</v>
      </c>
      <c r="V229" s="120">
        <f t="shared" ref="V229:W229" si="9">V230</f>
        <v>0</v>
      </c>
      <c r="W229" s="120">
        <f t="shared" si="9"/>
        <v>0</v>
      </c>
      <c r="X229" s="118"/>
    </row>
    <row r="230" spans="1:27" ht="91.5" hidden="1" customHeight="1" x14ac:dyDescent="0.25">
      <c r="A230" s="118"/>
      <c r="B230" s="136" t="s">
        <v>136</v>
      </c>
      <c r="C230" s="136" t="s">
        <v>129</v>
      </c>
      <c r="D230" s="234" t="s">
        <v>881</v>
      </c>
      <c r="E230" s="136"/>
      <c r="F230" s="136"/>
      <c r="G230" s="136"/>
      <c r="H230" s="136"/>
      <c r="I230" s="136"/>
      <c r="J230" s="136"/>
      <c r="K230" s="136"/>
      <c r="L230" s="136"/>
      <c r="M230" s="136"/>
      <c r="N230" s="136"/>
      <c r="O230" s="136"/>
      <c r="P230" s="136"/>
      <c r="Q230" s="136"/>
      <c r="R230" s="136"/>
      <c r="S230" s="136" t="s">
        <v>275</v>
      </c>
      <c r="T230" s="135" t="s">
        <v>883</v>
      </c>
      <c r="U230" s="120">
        <f>П4ВСР!Z190</f>
        <v>0</v>
      </c>
      <c r="V230" s="120">
        <f>П4ВСР!AA190</f>
        <v>0</v>
      </c>
      <c r="W230" s="120">
        <f>П4ВСР!AB190</f>
        <v>0</v>
      </c>
      <c r="X230" s="118"/>
    </row>
    <row r="231" spans="1:27" ht="148.5" customHeight="1" x14ac:dyDescent="0.25">
      <c r="A231" s="118"/>
      <c r="B231" s="136" t="s">
        <v>136</v>
      </c>
      <c r="C231" s="136" t="s">
        <v>129</v>
      </c>
      <c r="D231" s="234" t="s">
        <v>1471</v>
      </c>
      <c r="E231" s="136"/>
      <c r="F231" s="136"/>
      <c r="G231" s="136"/>
      <c r="H231" s="136"/>
      <c r="I231" s="136"/>
      <c r="J231" s="136"/>
      <c r="K231" s="136"/>
      <c r="L231" s="136"/>
      <c r="M231" s="136"/>
      <c r="N231" s="136"/>
      <c r="O231" s="136"/>
      <c r="P231" s="136"/>
      <c r="Q231" s="136"/>
      <c r="R231" s="136"/>
      <c r="S231" s="136"/>
      <c r="T231" s="807" t="s">
        <v>1470</v>
      </c>
      <c r="U231" s="120">
        <f>U232</f>
        <v>50000</v>
      </c>
      <c r="V231" s="120">
        <v>0</v>
      </c>
      <c r="W231" s="120">
        <v>0</v>
      </c>
      <c r="X231" s="118"/>
    </row>
    <row r="232" spans="1:27" ht="32.25" customHeight="1" x14ac:dyDescent="0.25">
      <c r="A232" s="118"/>
      <c r="B232" s="136" t="s">
        <v>136</v>
      </c>
      <c r="C232" s="136" t="s">
        <v>129</v>
      </c>
      <c r="D232" s="234" t="s">
        <v>1471</v>
      </c>
      <c r="E232" s="136"/>
      <c r="F232" s="136"/>
      <c r="G232" s="136"/>
      <c r="H232" s="136"/>
      <c r="I232" s="136"/>
      <c r="J232" s="136"/>
      <c r="K232" s="136"/>
      <c r="L232" s="136"/>
      <c r="M232" s="136"/>
      <c r="N232" s="136"/>
      <c r="O232" s="136"/>
      <c r="P232" s="136"/>
      <c r="Q232" s="136"/>
      <c r="R232" s="136"/>
      <c r="S232" s="136" t="s">
        <v>243</v>
      </c>
      <c r="T232" s="154" t="s">
        <v>763</v>
      </c>
      <c r="U232" s="120">
        <f>П4ВСР!Z191</f>
        <v>50000</v>
      </c>
      <c r="V232" s="120">
        <v>0</v>
      </c>
      <c r="W232" s="120">
        <v>0</v>
      </c>
      <c r="X232" s="118"/>
    </row>
    <row r="233" spans="1:27" ht="165" customHeight="1" x14ac:dyDescent="0.25">
      <c r="A233" s="118"/>
      <c r="B233" s="136" t="s">
        <v>136</v>
      </c>
      <c r="C233" s="136" t="s">
        <v>129</v>
      </c>
      <c r="D233" s="234" t="s">
        <v>1473</v>
      </c>
      <c r="E233" s="136"/>
      <c r="F233" s="136"/>
      <c r="G233" s="136"/>
      <c r="H233" s="136"/>
      <c r="I233" s="136"/>
      <c r="J233" s="136"/>
      <c r="K233" s="136"/>
      <c r="L233" s="136"/>
      <c r="M233" s="136"/>
      <c r="N233" s="136"/>
      <c r="O233" s="136"/>
      <c r="P233" s="136"/>
      <c r="Q233" s="136"/>
      <c r="R233" s="136"/>
      <c r="S233" s="136"/>
      <c r="T233" s="258" t="s">
        <v>1472</v>
      </c>
      <c r="U233" s="120">
        <f>U234</f>
        <v>50000</v>
      </c>
      <c r="V233" s="120">
        <v>0</v>
      </c>
      <c r="W233" s="120">
        <v>0</v>
      </c>
      <c r="X233" s="118"/>
    </row>
    <row r="234" spans="1:27" ht="32.25" customHeight="1" x14ac:dyDescent="0.25">
      <c r="A234" s="118"/>
      <c r="B234" s="136" t="s">
        <v>136</v>
      </c>
      <c r="C234" s="136" t="s">
        <v>129</v>
      </c>
      <c r="D234" s="234" t="s">
        <v>1473</v>
      </c>
      <c r="E234" s="136"/>
      <c r="F234" s="136"/>
      <c r="G234" s="136"/>
      <c r="H234" s="136"/>
      <c r="I234" s="136"/>
      <c r="J234" s="136"/>
      <c r="K234" s="136"/>
      <c r="L234" s="136"/>
      <c r="M234" s="136"/>
      <c r="N234" s="136"/>
      <c r="O234" s="136"/>
      <c r="P234" s="136"/>
      <c r="Q234" s="136"/>
      <c r="R234" s="136"/>
      <c r="S234" s="136" t="s">
        <v>243</v>
      </c>
      <c r="T234" s="154" t="s">
        <v>763</v>
      </c>
      <c r="U234" s="120">
        <f>П4ВСР!Z193</f>
        <v>50000</v>
      </c>
      <c r="V234" s="120">
        <v>0</v>
      </c>
      <c r="W234" s="120">
        <v>0</v>
      </c>
      <c r="X234" s="118"/>
    </row>
    <row r="235" spans="1:27" ht="174" customHeight="1" x14ac:dyDescent="0.25">
      <c r="A235" s="118"/>
      <c r="B235" s="136" t="s">
        <v>136</v>
      </c>
      <c r="C235" s="136" t="s">
        <v>129</v>
      </c>
      <c r="D235" s="234" t="s">
        <v>1475</v>
      </c>
      <c r="E235" s="136"/>
      <c r="F235" s="136"/>
      <c r="G235" s="136"/>
      <c r="H235" s="136"/>
      <c r="I235" s="136"/>
      <c r="J235" s="136"/>
      <c r="K235" s="136"/>
      <c r="L235" s="136"/>
      <c r="M235" s="136"/>
      <c r="N235" s="136"/>
      <c r="O235" s="136"/>
      <c r="P235" s="136"/>
      <c r="Q235" s="136"/>
      <c r="R235" s="136"/>
      <c r="S235" s="136"/>
      <c r="T235" s="258" t="s">
        <v>1474</v>
      </c>
      <c r="U235" s="120">
        <f>U236</f>
        <v>50000</v>
      </c>
      <c r="V235" s="120">
        <v>0</v>
      </c>
      <c r="W235" s="120">
        <v>0</v>
      </c>
      <c r="X235" s="118"/>
    </row>
    <row r="236" spans="1:27" ht="32.25" customHeight="1" x14ac:dyDescent="0.25">
      <c r="A236" s="118"/>
      <c r="B236" s="136" t="s">
        <v>136</v>
      </c>
      <c r="C236" s="136" t="s">
        <v>129</v>
      </c>
      <c r="D236" s="234" t="s">
        <v>1475</v>
      </c>
      <c r="E236" s="136"/>
      <c r="F236" s="136"/>
      <c r="G236" s="136"/>
      <c r="H236" s="136"/>
      <c r="I236" s="136"/>
      <c r="J236" s="136"/>
      <c r="K236" s="136"/>
      <c r="L236" s="136"/>
      <c r="M236" s="136"/>
      <c r="N236" s="136"/>
      <c r="O236" s="136"/>
      <c r="P236" s="136"/>
      <c r="Q236" s="136"/>
      <c r="R236" s="136"/>
      <c r="S236" s="136" t="s">
        <v>243</v>
      </c>
      <c r="T236" s="154" t="s">
        <v>763</v>
      </c>
      <c r="U236" s="120">
        <f>П4ВСР!Z195</f>
        <v>50000</v>
      </c>
      <c r="V236" s="120">
        <v>0</v>
      </c>
      <c r="W236" s="120">
        <v>0</v>
      </c>
      <c r="X236" s="118"/>
    </row>
    <row r="237" spans="1:27" ht="151.5" customHeight="1" x14ac:dyDescent="0.25">
      <c r="A237" s="118"/>
      <c r="B237" s="136" t="s">
        <v>136</v>
      </c>
      <c r="C237" s="136" t="s">
        <v>129</v>
      </c>
      <c r="D237" s="234" t="s">
        <v>1477</v>
      </c>
      <c r="E237" s="136"/>
      <c r="F237" s="136"/>
      <c r="G237" s="136"/>
      <c r="H237" s="136"/>
      <c r="I237" s="136"/>
      <c r="J237" s="136"/>
      <c r="K237" s="136"/>
      <c r="L237" s="136"/>
      <c r="M237" s="136"/>
      <c r="N237" s="136"/>
      <c r="O237" s="136"/>
      <c r="P237" s="136"/>
      <c r="Q237" s="136"/>
      <c r="R237" s="136"/>
      <c r="S237" s="136"/>
      <c r="T237" s="258" t="s">
        <v>1476</v>
      </c>
      <c r="U237" s="120">
        <f>U238</f>
        <v>50000</v>
      </c>
      <c r="V237" s="120">
        <v>0</v>
      </c>
      <c r="W237" s="120">
        <v>0</v>
      </c>
      <c r="X237" s="118"/>
    </row>
    <row r="238" spans="1:27" ht="32.25" customHeight="1" x14ac:dyDescent="0.25">
      <c r="A238" s="118"/>
      <c r="B238" s="136" t="s">
        <v>136</v>
      </c>
      <c r="C238" s="136" t="s">
        <v>129</v>
      </c>
      <c r="D238" s="234" t="s">
        <v>1477</v>
      </c>
      <c r="E238" s="136"/>
      <c r="F238" s="136"/>
      <c r="G238" s="136"/>
      <c r="H238" s="136"/>
      <c r="I238" s="136"/>
      <c r="J238" s="136"/>
      <c r="K238" s="136"/>
      <c r="L238" s="136"/>
      <c r="M238" s="136"/>
      <c r="N238" s="136"/>
      <c r="O238" s="136"/>
      <c r="P238" s="136"/>
      <c r="Q238" s="136"/>
      <c r="R238" s="136"/>
      <c r="S238" s="136" t="s">
        <v>243</v>
      </c>
      <c r="T238" s="154" t="s">
        <v>763</v>
      </c>
      <c r="U238" s="120">
        <f>П4ВСР!Z197</f>
        <v>50000</v>
      </c>
      <c r="V238" s="120">
        <v>0</v>
      </c>
      <c r="W238" s="120">
        <v>0</v>
      </c>
      <c r="X238" s="118"/>
    </row>
    <row r="239" spans="1:27" ht="180.75" customHeight="1" x14ac:dyDescent="0.25">
      <c r="A239" s="118"/>
      <c r="B239" s="136" t="s">
        <v>136</v>
      </c>
      <c r="C239" s="136" t="s">
        <v>129</v>
      </c>
      <c r="D239" s="234" t="s">
        <v>1479</v>
      </c>
      <c r="E239" s="136"/>
      <c r="F239" s="136"/>
      <c r="G239" s="136"/>
      <c r="H239" s="136"/>
      <c r="I239" s="136"/>
      <c r="J239" s="136"/>
      <c r="K239" s="136"/>
      <c r="L239" s="136"/>
      <c r="M239" s="136"/>
      <c r="N239" s="136"/>
      <c r="O239" s="136"/>
      <c r="P239" s="136"/>
      <c r="Q239" s="136"/>
      <c r="R239" s="136"/>
      <c r="S239" s="136"/>
      <c r="T239" s="258" t="s">
        <v>1478</v>
      </c>
      <c r="U239" s="120">
        <f>U240</f>
        <v>50000</v>
      </c>
      <c r="V239" s="120">
        <v>0</v>
      </c>
      <c r="W239" s="120">
        <v>0</v>
      </c>
      <c r="X239" s="118"/>
    </row>
    <row r="240" spans="1:27" ht="32.25" customHeight="1" thickBot="1" x14ac:dyDescent="0.3">
      <c r="A240" s="118"/>
      <c r="B240" s="136" t="s">
        <v>136</v>
      </c>
      <c r="C240" s="136" t="s">
        <v>129</v>
      </c>
      <c r="D240" s="234" t="s">
        <v>1479</v>
      </c>
      <c r="E240" s="136"/>
      <c r="F240" s="136"/>
      <c r="G240" s="136"/>
      <c r="H240" s="136"/>
      <c r="I240" s="136"/>
      <c r="J240" s="136"/>
      <c r="K240" s="136"/>
      <c r="L240" s="136"/>
      <c r="M240" s="136"/>
      <c r="N240" s="136"/>
      <c r="O240" s="136"/>
      <c r="P240" s="136"/>
      <c r="Q240" s="136"/>
      <c r="R240" s="136"/>
      <c r="S240" s="136" t="s">
        <v>243</v>
      </c>
      <c r="T240" s="154" t="s">
        <v>763</v>
      </c>
      <c r="U240" s="120">
        <f>П4ВСР!Z199</f>
        <v>50000</v>
      </c>
      <c r="V240" s="120">
        <v>0</v>
      </c>
      <c r="W240" s="120">
        <v>0</v>
      </c>
      <c r="X240" s="118"/>
    </row>
    <row r="241" spans="1:24" ht="195.75" customHeight="1" thickBot="1" x14ac:dyDescent="0.3">
      <c r="A241" s="118"/>
      <c r="B241" s="136" t="s">
        <v>136</v>
      </c>
      <c r="C241" s="136" t="s">
        <v>129</v>
      </c>
      <c r="D241" s="234" t="s">
        <v>1481</v>
      </c>
      <c r="E241" s="136"/>
      <c r="F241" s="136"/>
      <c r="G241" s="136"/>
      <c r="H241" s="136"/>
      <c r="I241" s="136"/>
      <c r="J241" s="136"/>
      <c r="K241" s="136"/>
      <c r="L241" s="136"/>
      <c r="M241" s="136"/>
      <c r="N241" s="136"/>
      <c r="O241" s="136"/>
      <c r="P241" s="136"/>
      <c r="Q241" s="136"/>
      <c r="R241" s="136"/>
      <c r="S241" s="136"/>
      <c r="T241" s="808" t="s">
        <v>1480</v>
      </c>
      <c r="U241" s="120">
        <f>U242</f>
        <v>50000</v>
      </c>
      <c r="V241" s="120">
        <v>0</v>
      </c>
      <c r="W241" s="120">
        <v>0</v>
      </c>
      <c r="X241" s="118"/>
    </row>
    <row r="242" spans="1:24" ht="32.25" customHeight="1" x14ac:dyDescent="0.25">
      <c r="A242" s="118"/>
      <c r="B242" s="136" t="s">
        <v>136</v>
      </c>
      <c r="C242" s="136" t="s">
        <v>129</v>
      </c>
      <c r="D242" s="234" t="s">
        <v>1481</v>
      </c>
      <c r="E242" s="136"/>
      <c r="F242" s="136"/>
      <c r="G242" s="136"/>
      <c r="H242" s="136"/>
      <c r="I242" s="136"/>
      <c r="J242" s="136"/>
      <c r="K242" s="136"/>
      <c r="L242" s="136"/>
      <c r="M242" s="136"/>
      <c r="N242" s="136"/>
      <c r="O242" s="136"/>
      <c r="P242" s="136"/>
      <c r="Q242" s="136"/>
      <c r="R242" s="136"/>
      <c r="S242" s="136" t="s">
        <v>243</v>
      </c>
      <c r="T242" s="154" t="s">
        <v>763</v>
      </c>
      <c r="U242" s="120">
        <f>П4ВСР!Z201</f>
        <v>50000</v>
      </c>
      <c r="V242" s="120">
        <v>0</v>
      </c>
      <c r="W242" s="120">
        <v>0</v>
      </c>
      <c r="X242" s="118"/>
    </row>
    <row r="243" spans="1:24" ht="37.5" customHeight="1" x14ac:dyDescent="0.25">
      <c r="A243" s="116" t="s">
        <v>347</v>
      </c>
      <c r="B243" s="126" t="s">
        <v>124</v>
      </c>
      <c r="C243" s="126" t="s">
        <v>133</v>
      </c>
      <c r="D243" s="126"/>
      <c r="E243" s="126"/>
      <c r="F243" s="126"/>
      <c r="G243" s="126"/>
      <c r="H243" s="126"/>
      <c r="I243" s="126"/>
      <c r="J243" s="126"/>
      <c r="K243" s="126"/>
      <c r="L243" s="126"/>
      <c r="M243" s="126"/>
      <c r="N243" s="126"/>
      <c r="O243" s="126"/>
      <c r="P243" s="126"/>
      <c r="Q243" s="126"/>
      <c r="R243" s="126"/>
      <c r="S243" s="126"/>
      <c r="T243" s="116" t="s">
        <v>347</v>
      </c>
      <c r="U243" s="117">
        <f>U244+U263+U276</f>
        <v>128618538.46000001</v>
      </c>
      <c r="V243" s="117">
        <f>V244+V263+V276</f>
        <v>71595898.829999998</v>
      </c>
      <c r="W243" s="117">
        <f>W244+W263+W276</f>
        <v>71595898.829999998</v>
      </c>
      <c r="X243" s="116" t="s">
        <v>347</v>
      </c>
    </row>
    <row r="244" spans="1:24" ht="26.25" customHeight="1" x14ac:dyDescent="0.25">
      <c r="A244" s="118" t="s">
        <v>150</v>
      </c>
      <c r="B244" s="119" t="s">
        <v>124</v>
      </c>
      <c r="C244" s="119" t="s">
        <v>122</v>
      </c>
      <c r="D244" s="119"/>
      <c r="E244" s="119"/>
      <c r="F244" s="119"/>
      <c r="G244" s="119"/>
      <c r="H244" s="119"/>
      <c r="I244" s="119"/>
      <c r="J244" s="119"/>
      <c r="K244" s="119"/>
      <c r="L244" s="119"/>
      <c r="M244" s="119"/>
      <c r="N244" s="119"/>
      <c r="O244" s="119"/>
      <c r="P244" s="119"/>
      <c r="Q244" s="119"/>
      <c r="R244" s="119"/>
      <c r="S244" s="119"/>
      <c r="T244" s="118" t="s">
        <v>150</v>
      </c>
      <c r="U244" s="120">
        <f>U247+U249+U259+U245+U257+U251+U253</f>
        <v>33992260.100000001</v>
      </c>
      <c r="V244" s="120">
        <f>V247+V249+V259+V245+V257+V255+V261</f>
        <v>10000000</v>
      </c>
      <c r="W244" s="120">
        <f>W247+W249+W259+W245+W257+W255+W261</f>
        <v>10000000</v>
      </c>
      <c r="X244" s="118" t="s">
        <v>150</v>
      </c>
    </row>
    <row r="245" spans="1:24" ht="0.75" customHeight="1" x14ac:dyDescent="0.25">
      <c r="A245" s="118"/>
      <c r="B245" s="167" t="s">
        <v>124</v>
      </c>
      <c r="C245" s="167" t="s">
        <v>122</v>
      </c>
      <c r="D245" s="161" t="s">
        <v>739</v>
      </c>
      <c r="E245" s="119"/>
      <c r="F245" s="119"/>
      <c r="G245" s="119"/>
      <c r="H245" s="119"/>
      <c r="I245" s="119"/>
      <c r="J245" s="119"/>
      <c r="K245" s="119"/>
      <c r="L245" s="119"/>
      <c r="M245" s="119"/>
      <c r="N245" s="119"/>
      <c r="O245" s="119"/>
      <c r="P245" s="119"/>
      <c r="Q245" s="119"/>
      <c r="R245" s="119"/>
      <c r="S245" s="119"/>
      <c r="T245" s="289" t="s">
        <v>737</v>
      </c>
      <c r="U245" s="120">
        <f>U246</f>
        <v>0</v>
      </c>
      <c r="V245" s="120">
        <f>V246</f>
        <v>0</v>
      </c>
      <c r="W245" s="120">
        <f>W246</f>
        <v>0</v>
      </c>
      <c r="X245" s="118"/>
    </row>
    <row r="246" spans="1:24" ht="41.25" hidden="1" customHeight="1" x14ac:dyDescent="0.25">
      <c r="A246" s="118"/>
      <c r="B246" s="167" t="s">
        <v>124</v>
      </c>
      <c r="C246" s="167" t="s">
        <v>122</v>
      </c>
      <c r="D246" s="161" t="s">
        <v>739</v>
      </c>
      <c r="E246" s="119"/>
      <c r="F246" s="119"/>
      <c r="G246" s="119"/>
      <c r="H246" s="119"/>
      <c r="I246" s="119"/>
      <c r="J246" s="119"/>
      <c r="K246" s="119"/>
      <c r="L246" s="119"/>
      <c r="M246" s="119"/>
      <c r="N246" s="119"/>
      <c r="O246" s="119"/>
      <c r="P246" s="119"/>
      <c r="Q246" s="119"/>
      <c r="R246" s="119"/>
      <c r="S246" s="167" t="s">
        <v>275</v>
      </c>
      <c r="T246" s="153" t="s">
        <v>738</v>
      </c>
      <c r="U246" s="120">
        <f>П4ВСР!Z206</f>
        <v>0</v>
      </c>
      <c r="V246" s="120">
        <f>П4ВСР!AA206</f>
        <v>0</v>
      </c>
      <c r="W246" s="120">
        <f>П4ВСР!AB206</f>
        <v>0</v>
      </c>
      <c r="X246" s="118"/>
    </row>
    <row r="247" spans="1:24" ht="60.75" hidden="1" customHeight="1" x14ac:dyDescent="0.25">
      <c r="A247" s="118" t="s">
        <v>348</v>
      </c>
      <c r="B247" s="119" t="s">
        <v>124</v>
      </c>
      <c r="C247" s="119" t="s">
        <v>122</v>
      </c>
      <c r="D247" s="161" t="s">
        <v>739</v>
      </c>
      <c r="E247" s="119"/>
      <c r="F247" s="119"/>
      <c r="G247" s="119"/>
      <c r="H247" s="119"/>
      <c r="I247" s="119"/>
      <c r="J247" s="119"/>
      <c r="K247" s="119"/>
      <c r="L247" s="119"/>
      <c r="M247" s="119"/>
      <c r="N247" s="119"/>
      <c r="O247" s="119"/>
      <c r="P247" s="119"/>
      <c r="Q247" s="119"/>
      <c r="R247" s="119"/>
      <c r="S247" s="119"/>
      <c r="T247" s="473" t="s">
        <v>737</v>
      </c>
      <c r="U247" s="120">
        <f>U248</f>
        <v>0</v>
      </c>
      <c r="V247" s="120">
        <f>V248</f>
        <v>0</v>
      </c>
      <c r="W247" s="120">
        <f>W248</f>
        <v>0</v>
      </c>
      <c r="X247" s="118" t="s">
        <v>348</v>
      </c>
    </row>
    <row r="248" spans="1:24" ht="68.25" hidden="1" customHeight="1" x14ac:dyDescent="0.25">
      <c r="A248" s="118" t="s">
        <v>349</v>
      </c>
      <c r="B248" s="122" t="s">
        <v>124</v>
      </c>
      <c r="C248" s="259" t="s">
        <v>122</v>
      </c>
      <c r="D248" s="161" t="s">
        <v>739</v>
      </c>
      <c r="E248" s="262"/>
      <c r="F248" s="122"/>
      <c r="G248" s="122"/>
      <c r="H248" s="122"/>
      <c r="I248" s="122"/>
      <c r="J248" s="122"/>
      <c r="K248" s="122"/>
      <c r="L248" s="122"/>
      <c r="M248" s="122"/>
      <c r="N248" s="122"/>
      <c r="O248" s="122"/>
      <c r="P248" s="122"/>
      <c r="Q248" s="122"/>
      <c r="R248" s="122"/>
      <c r="S248" s="122" t="s">
        <v>427</v>
      </c>
      <c r="T248" s="295" t="s">
        <v>773</v>
      </c>
      <c r="U248" s="120">
        <f>П4ВСР!Z426</f>
        <v>0</v>
      </c>
      <c r="V248" s="120">
        <f>П4ВСР!AA208</f>
        <v>0</v>
      </c>
      <c r="W248" s="120">
        <f>П4ВСР!AB208</f>
        <v>0</v>
      </c>
      <c r="X248" s="118" t="s">
        <v>349</v>
      </c>
    </row>
    <row r="249" spans="1:24" ht="43.5" hidden="1" customHeight="1" x14ac:dyDescent="0.25">
      <c r="A249" s="118"/>
      <c r="B249" s="148" t="s">
        <v>124</v>
      </c>
      <c r="C249" s="260" t="s">
        <v>122</v>
      </c>
      <c r="D249" s="237" t="s">
        <v>997</v>
      </c>
      <c r="E249" s="263"/>
      <c r="F249" s="148"/>
      <c r="G249" s="148"/>
      <c r="H249" s="148"/>
      <c r="I249" s="148"/>
      <c r="J249" s="148"/>
      <c r="K249" s="148"/>
      <c r="L249" s="148"/>
      <c r="M249" s="148"/>
      <c r="N249" s="148"/>
      <c r="O249" s="148"/>
      <c r="P249" s="148"/>
      <c r="Q249" s="148"/>
      <c r="R249" s="148"/>
      <c r="S249" s="148"/>
      <c r="T249" s="473" t="s">
        <v>737</v>
      </c>
      <c r="U249" s="120">
        <f>U250</f>
        <v>0</v>
      </c>
      <c r="V249" s="120">
        <f>V250</f>
        <v>0</v>
      </c>
      <c r="W249" s="120">
        <f>W250</f>
        <v>0</v>
      </c>
      <c r="X249" s="118"/>
    </row>
    <row r="250" spans="1:24" ht="87" hidden="1" customHeight="1" x14ac:dyDescent="0.25">
      <c r="A250" s="118"/>
      <c r="B250" s="550" t="s">
        <v>124</v>
      </c>
      <c r="C250" s="551" t="s">
        <v>122</v>
      </c>
      <c r="D250" s="552" t="s">
        <v>997</v>
      </c>
      <c r="E250" s="553"/>
      <c r="F250" s="550"/>
      <c r="G250" s="550"/>
      <c r="H250" s="550"/>
      <c r="I250" s="550"/>
      <c r="J250" s="550"/>
      <c r="K250" s="550"/>
      <c r="L250" s="550"/>
      <c r="M250" s="550"/>
      <c r="N250" s="550"/>
      <c r="O250" s="550"/>
      <c r="P250" s="550"/>
      <c r="Q250" s="550"/>
      <c r="R250" s="550"/>
      <c r="S250" s="550" t="s">
        <v>275</v>
      </c>
      <c r="T250" s="549" t="s">
        <v>738</v>
      </c>
      <c r="U250" s="120">
        <f>П4ВСР!Z210</f>
        <v>0</v>
      </c>
      <c r="V250" s="120">
        <f>П4ВСР!AA210</f>
        <v>0</v>
      </c>
      <c r="W250" s="120">
        <f>П4ВСР!AB210</f>
        <v>0</v>
      </c>
      <c r="X250" s="118"/>
    </row>
    <row r="251" spans="1:24" ht="153" customHeight="1" x14ac:dyDescent="0.25">
      <c r="A251" s="180"/>
      <c r="B251" s="550" t="s">
        <v>124</v>
      </c>
      <c r="C251" s="551" t="s">
        <v>122</v>
      </c>
      <c r="D251" s="552" t="s">
        <v>1058</v>
      </c>
      <c r="E251" s="146"/>
      <c r="F251" s="146"/>
      <c r="G251" s="146"/>
      <c r="H251" s="146"/>
      <c r="I251" s="146"/>
      <c r="J251" s="146"/>
      <c r="K251" s="146"/>
      <c r="L251" s="146"/>
      <c r="M251" s="146"/>
      <c r="N251" s="146"/>
      <c r="O251" s="146"/>
      <c r="P251" s="146"/>
      <c r="Q251" s="146"/>
      <c r="R251" s="146"/>
      <c r="S251" s="146"/>
      <c r="T251" s="153" t="s">
        <v>1416</v>
      </c>
      <c r="U251" s="181">
        <f>U252</f>
        <v>0</v>
      </c>
      <c r="V251" s="120">
        <v>0</v>
      </c>
      <c r="W251" s="120">
        <v>0</v>
      </c>
      <c r="X251" s="118"/>
    </row>
    <row r="252" spans="1:24" ht="82.5" customHeight="1" x14ac:dyDescent="0.25">
      <c r="A252" s="180"/>
      <c r="B252" s="148" t="s">
        <v>124</v>
      </c>
      <c r="C252" s="148" t="s">
        <v>122</v>
      </c>
      <c r="D252" s="237" t="s">
        <v>1058</v>
      </c>
      <c r="E252" s="146"/>
      <c r="F252" s="146"/>
      <c r="G252" s="146"/>
      <c r="H252" s="146"/>
      <c r="I252" s="146"/>
      <c r="J252" s="146"/>
      <c r="K252" s="146"/>
      <c r="L252" s="146"/>
      <c r="M252" s="146"/>
      <c r="N252" s="146"/>
      <c r="O252" s="146"/>
      <c r="P252" s="146"/>
      <c r="Q252" s="146"/>
      <c r="R252" s="146"/>
      <c r="S252" s="146" t="s">
        <v>275</v>
      </c>
      <c r="T252" s="548" t="s">
        <v>1059</v>
      </c>
      <c r="U252" s="181">
        <f>П4ВСР!Z208</f>
        <v>0</v>
      </c>
      <c r="V252" s="120">
        <v>0</v>
      </c>
      <c r="W252" s="120">
        <v>0</v>
      </c>
      <c r="X252" s="118"/>
    </row>
    <row r="253" spans="1:24" ht="0.75" hidden="1" customHeight="1" x14ac:dyDescent="0.25">
      <c r="A253" s="180"/>
      <c r="B253" s="550" t="s">
        <v>124</v>
      </c>
      <c r="C253" s="551" t="s">
        <v>122</v>
      </c>
      <c r="D253" s="552" t="s">
        <v>1058</v>
      </c>
      <c r="E253" s="146"/>
      <c r="F253" s="146"/>
      <c r="G253" s="146"/>
      <c r="H253" s="146"/>
      <c r="I253" s="146"/>
      <c r="J253" s="146"/>
      <c r="K253" s="146"/>
      <c r="L253" s="146"/>
      <c r="M253" s="146"/>
      <c r="N253" s="146"/>
      <c r="O253" s="146"/>
      <c r="P253" s="146"/>
      <c r="Q253" s="146"/>
      <c r="R253" s="146"/>
      <c r="S253" s="146"/>
      <c r="T253" s="559" t="s">
        <v>1057</v>
      </c>
      <c r="U253" s="181">
        <f>U254</f>
        <v>2239882.69</v>
      </c>
      <c r="V253" s="120">
        <v>0</v>
      </c>
      <c r="W253" s="120">
        <v>0</v>
      </c>
      <c r="X253" s="118"/>
    </row>
    <row r="254" spans="1:24" ht="43.5" hidden="1" customHeight="1" x14ac:dyDescent="0.25">
      <c r="A254" s="180"/>
      <c r="B254" s="148" t="s">
        <v>124</v>
      </c>
      <c r="C254" s="148" t="s">
        <v>122</v>
      </c>
      <c r="D254" s="237" t="s">
        <v>1058</v>
      </c>
      <c r="E254" s="146"/>
      <c r="F254" s="146"/>
      <c r="G254" s="146"/>
      <c r="H254" s="146"/>
      <c r="I254" s="146"/>
      <c r="J254" s="146"/>
      <c r="K254" s="146"/>
      <c r="L254" s="146"/>
      <c r="M254" s="146"/>
      <c r="N254" s="146"/>
      <c r="O254" s="146"/>
      <c r="P254" s="146"/>
      <c r="Q254" s="146"/>
      <c r="R254" s="146"/>
      <c r="S254" s="146" t="s">
        <v>427</v>
      </c>
      <c r="T254" s="594" t="s">
        <v>773</v>
      </c>
      <c r="U254" s="181">
        <f>П4ВСР!Z435</f>
        <v>2239882.69</v>
      </c>
      <c r="V254" s="120">
        <v>0</v>
      </c>
      <c r="W254" s="120">
        <v>0</v>
      </c>
      <c r="X254" s="118"/>
    </row>
    <row r="255" spans="1:24" ht="200.25" hidden="1" customHeight="1" x14ac:dyDescent="0.25">
      <c r="A255" s="180"/>
      <c r="B255" s="148"/>
      <c r="C255" s="148"/>
      <c r="D255" s="234"/>
      <c r="E255" s="146"/>
      <c r="F255" s="146"/>
      <c r="G255" s="146"/>
      <c r="H255" s="146"/>
      <c r="I255" s="146"/>
      <c r="J255" s="146"/>
      <c r="K255" s="146"/>
      <c r="L255" s="146"/>
      <c r="M255" s="146"/>
      <c r="N255" s="146"/>
      <c r="O255" s="146"/>
      <c r="P255" s="146"/>
      <c r="Q255" s="146"/>
      <c r="R255" s="146"/>
      <c r="S255" s="146"/>
      <c r="T255" s="155"/>
      <c r="U255" s="181"/>
      <c r="V255" s="120"/>
      <c r="W255" s="120"/>
      <c r="X255" s="118"/>
    </row>
    <row r="256" spans="1:24" ht="75" hidden="1" customHeight="1" x14ac:dyDescent="0.25">
      <c r="A256" s="180"/>
      <c r="B256" s="148"/>
      <c r="C256" s="148"/>
      <c r="D256" s="234"/>
      <c r="E256" s="146"/>
      <c r="F256" s="146"/>
      <c r="G256" s="146"/>
      <c r="H256" s="146"/>
      <c r="I256" s="146"/>
      <c r="J256" s="146"/>
      <c r="K256" s="146"/>
      <c r="L256" s="146"/>
      <c r="M256" s="146"/>
      <c r="N256" s="146"/>
      <c r="O256" s="146"/>
      <c r="P256" s="146"/>
      <c r="Q256" s="146"/>
      <c r="R256" s="146"/>
      <c r="S256" s="146"/>
      <c r="T256" s="593"/>
      <c r="U256" s="181"/>
      <c r="V256" s="120"/>
      <c r="W256" s="120"/>
      <c r="X256" s="118"/>
    </row>
    <row r="257" spans="1:27" ht="202.5" customHeight="1" x14ac:dyDescent="0.25">
      <c r="A257" s="180"/>
      <c r="B257" s="558" t="s">
        <v>124</v>
      </c>
      <c r="C257" s="558" t="s">
        <v>122</v>
      </c>
      <c r="D257" s="237" t="s">
        <v>564</v>
      </c>
      <c r="E257" s="558"/>
      <c r="F257" s="558"/>
      <c r="G257" s="558"/>
      <c r="H257" s="558"/>
      <c r="I257" s="558"/>
      <c r="J257" s="558"/>
      <c r="K257" s="558"/>
      <c r="L257" s="558"/>
      <c r="M257" s="558"/>
      <c r="N257" s="558"/>
      <c r="O257" s="558"/>
      <c r="P257" s="558"/>
      <c r="Q257" s="558"/>
      <c r="R257" s="558"/>
      <c r="S257" s="558"/>
      <c r="T257" s="554" t="s">
        <v>1417</v>
      </c>
      <c r="U257" s="181">
        <f>U258</f>
        <v>12311198.02</v>
      </c>
      <c r="V257" s="120">
        <f>V258</f>
        <v>0</v>
      </c>
      <c r="W257" s="120">
        <f>W258</f>
        <v>0</v>
      </c>
      <c r="X257" s="118"/>
    </row>
    <row r="258" spans="1:27" ht="80.25" customHeight="1" x14ac:dyDescent="0.25">
      <c r="A258" s="118"/>
      <c r="B258" s="526" t="s">
        <v>124</v>
      </c>
      <c r="C258" s="555" t="s">
        <v>122</v>
      </c>
      <c r="D258" s="556" t="s">
        <v>564</v>
      </c>
      <c r="E258" s="557"/>
      <c r="F258" s="526"/>
      <c r="G258" s="526"/>
      <c r="H258" s="526"/>
      <c r="I258" s="526"/>
      <c r="J258" s="526"/>
      <c r="K258" s="526"/>
      <c r="L258" s="526"/>
      <c r="M258" s="526"/>
      <c r="N258" s="526"/>
      <c r="O258" s="526"/>
      <c r="P258" s="526"/>
      <c r="Q258" s="526"/>
      <c r="R258" s="526"/>
      <c r="S258" s="555" t="s">
        <v>350</v>
      </c>
      <c r="T258" s="264" t="s">
        <v>760</v>
      </c>
      <c r="U258" s="181">
        <f>П4ВСР!Z212</f>
        <v>12311198.02</v>
      </c>
      <c r="V258" s="181">
        <f>П4ВСР!AA212</f>
        <v>0</v>
      </c>
      <c r="W258" s="181">
        <f>П4ВСР!AB212</f>
        <v>0</v>
      </c>
      <c r="X258" s="118"/>
    </row>
    <row r="259" spans="1:27" ht="231" customHeight="1" x14ac:dyDescent="0.25">
      <c r="A259" s="118"/>
      <c r="B259" s="149" t="s">
        <v>124</v>
      </c>
      <c r="C259" s="261" t="s">
        <v>122</v>
      </c>
      <c r="D259" s="237" t="s">
        <v>1456</v>
      </c>
      <c r="E259" s="150"/>
      <c r="F259" s="151"/>
      <c r="G259" s="151"/>
      <c r="H259" s="151"/>
      <c r="I259" s="151"/>
      <c r="J259" s="151"/>
      <c r="K259" s="151"/>
      <c r="L259" s="151"/>
      <c r="M259" s="151"/>
      <c r="N259" s="151"/>
      <c r="O259" s="151"/>
      <c r="P259" s="151"/>
      <c r="Q259" s="151"/>
      <c r="R259" s="151"/>
      <c r="S259" s="238"/>
      <c r="T259" s="291" t="s">
        <v>1455</v>
      </c>
      <c r="U259" s="181">
        <f>U260</f>
        <v>19441179.390000001</v>
      </c>
      <c r="V259" s="120">
        <f>V260</f>
        <v>0</v>
      </c>
      <c r="W259" s="120">
        <f>W260</f>
        <v>0</v>
      </c>
      <c r="X259" s="118"/>
    </row>
    <row r="260" spans="1:27" ht="66" customHeight="1" x14ac:dyDescent="0.25">
      <c r="A260" s="118"/>
      <c r="B260" s="550" t="s">
        <v>124</v>
      </c>
      <c r="C260" s="788" t="s">
        <v>122</v>
      </c>
      <c r="D260" s="552" t="s">
        <v>1456</v>
      </c>
      <c r="E260" s="789"/>
      <c r="F260" s="789"/>
      <c r="G260" s="789"/>
      <c r="H260" s="789"/>
      <c r="I260" s="789"/>
      <c r="J260" s="789"/>
      <c r="K260" s="789"/>
      <c r="L260" s="789"/>
      <c r="M260" s="789"/>
      <c r="N260" s="789"/>
      <c r="O260" s="789"/>
      <c r="P260" s="789"/>
      <c r="Q260" s="789"/>
      <c r="R260" s="789"/>
      <c r="S260" s="789" t="s">
        <v>275</v>
      </c>
      <c r="T260" s="790" t="s">
        <v>760</v>
      </c>
      <c r="U260" s="791">
        <f>П4ВСР!Z213</f>
        <v>19441179.390000001</v>
      </c>
      <c r="V260" s="791">
        <f>П4ВСР!AA218</f>
        <v>0</v>
      </c>
      <c r="W260" s="791">
        <f>П4ВСР!AB218</f>
        <v>0</v>
      </c>
      <c r="X260" s="118"/>
    </row>
    <row r="261" spans="1:27" ht="185.25" customHeight="1" x14ac:dyDescent="0.25">
      <c r="A261" s="180"/>
      <c r="B261" s="148" t="s">
        <v>124</v>
      </c>
      <c r="C261" s="148" t="s">
        <v>122</v>
      </c>
      <c r="D261" s="237" t="s">
        <v>1112</v>
      </c>
      <c r="E261" s="146"/>
      <c r="F261" s="146"/>
      <c r="G261" s="146"/>
      <c r="H261" s="146"/>
      <c r="I261" s="146"/>
      <c r="J261" s="146"/>
      <c r="K261" s="146"/>
      <c r="L261" s="146"/>
      <c r="M261" s="146"/>
      <c r="N261" s="146"/>
      <c r="O261" s="146"/>
      <c r="P261" s="146"/>
      <c r="Q261" s="146"/>
      <c r="R261" s="146"/>
      <c r="S261" s="146"/>
      <c r="T261" s="792" t="s">
        <v>1347</v>
      </c>
      <c r="U261" s="522">
        <v>0</v>
      </c>
      <c r="V261" s="522">
        <f>V262</f>
        <v>10000000</v>
      </c>
      <c r="W261" s="522">
        <f>П4ВСР!AB215</f>
        <v>10000000</v>
      </c>
      <c r="X261" s="787"/>
    </row>
    <row r="262" spans="1:27" ht="66" customHeight="1" x14ac:dyDescent="0.25">
      <c r="A262" s="180"/>
      <c r="B262" s="148" t="s">
        <v>124</v>
      </c>
      <c r="C262" s="148" t="s">
        <v>122</v>
      </c>
      <c r="D262" s="237" t="s">
        <v>1112</v>
      </c>
      <c r="E262" s="146"/>
      <c r="F262" s="146"/>
      <c r="G262" s="146"/>
      <c r="H262" s="146"/>
      <c r="I262" s="146"/>
      <c r="J262" s="146"/>
      <c r="K262" s="146"/>
      <c r="L262" s="146"/>
      <c r="M262" s="146"/>
      <c r="N262" s="146"/>
      <c r="O262" s="146"/>
      <c r="P262" s="146"/>
      <c r="Q262" s="146"/>
      <c r="R262" s="146"/>
      <c r="S262" s="146" t="s">
        <v>350</v>
      </c>
      <c r="T262" s="593" t="s">
        <v>760</v>
      </c>
      <c r="U262" s="522">
        <f>П4ВСР!Z215</f>
        <v>0</v>
      </c>
      <c r="V262" s="522">
        <f>П4ВСР!AA215</f>
        <v>10000000</v>
      </c>
      <c r="W262" s="522">
        <f>П4ВСР!AB221</f>
        <v>0</v>
      </c>
      <c r="X262" s="787"/>
    </row>
    <row r="263" spans="1:27" ht="18.600000000000001" customHeight="1" x14ac:dyDescent="0.25">
      <c r="A263" s="118" t="s">
        <v>151</v>
      </c>
      <c r="B263" s="520" t="s">
        <v>124</v>
      </c>
      <c r="C263" s="520" t="s">
        <v>132</v>
      </c>
      <c r="D263" s="520"/>
      <c r="E263" s="520"/>
      <c r="F263" s="520"/>
      <c r="G263" s="520"/>
      <c r="H263" s="520"/>
      <c r="I263" s="520"/>
      <c r="J263" s="520"/>
      <c r="K263" s="520"/>
      <c r="L263" s="520"/>
      <c r="M263" s="520"/>
      <c r="N263" s="520"/>
      <c r="O263" s="520"/>
      <c r="P263" s="520"/>
      <c r="Q263" s="520"/>
      <c r="R263" s="520"/>
      <c r="S263" s="520"/>
      <c r="T263" s="500" t="s">
        <v>151</v>
      </c>
      <c r="U263" s="521">
        <f>U264+U266+U274+U268+U272+U270</f>
        <v>78590210.489999995</v>
      </c>
      <c r="V263" s="521">
        <f>V264+V266+V274+V268</f>
        <v>61145898.829999998</v>
      </c>
      <c r="W263" s="521">
        <f>W264+W266+W274+W268</f>
        <v>61145898.829999998</v>
      </c>
      <c r="X263" s="118" t="s">
        <v>151</v>
      </c>
    </row>
    <row r="264" spans="1:27" ht="117" hidden="1" customHeight="1" x14ac:dyDescent="0.25">
      <c r="A264" s="118"/>
      <c r="B264" s="134" t="s">
        <v>124</v>
      </c>
      <c r="C264" s="134" t="s">
        <v>132</v>
      </c>
      <c r="D264" s="134" t="s">
        <v>563</v>
      </c>
      <c r="E264" s="134"/>
      <c r="F264" s="134"/>
      <c r="G264" s="134"/>
      <c r="H264" s="134"/>
      <c r="I264" s="134"/>
      <c r="J264" s="134"/>
      <c r="K264" s="134"/>
      <c r="L264" s="134"/>
      <c r="M264" s="134"/>
      <c r="N264" s="134"/>
      <c r="O264" s="134"/>
      <c r="P264" s="134"/>
      <c r="Q264" s="134"/>
      <c r="R264" s="134"/>
      <c r="S264" s="134"/>
      <c r="T264" s="153" t="s">
        <v>562</v>
      </c>
      <c r="U264" s="120">
        <f>U265</f>
        <v>0</v>
      </c>
      <c r="V264" s="120">
        <f>V265</f>
        <v>0</v>
      </c>
      <c r="W264" s="120">
        <f>W265</f>
        <v>0</v>
      </c>
      <c r="X264" s="118"/>
    </row>
    <row r="265" spans="1:27" ht="81" hidden="1" customHeight="1" x14ac:dyDescent="0.25">
      <c r="A265" s="118"/>
      <c r="B265" s="134" t="s">
        <v>124</v>
      </c>
      <c r="C265" s="134" t="s">
        <v>132</v>
      </c>
      <c r="D265" s="134" t="s">
        <v>563</v>
      </c>
      <c r="E265" s="134"/>
      <c r="F265" s="134"/>
      <c r="G265" s="134"/>
      <c r="H265" s="134"/>
      <c r="I265" s="134"/>
      <c r="J265" s="134"/>
      <c r="K265" s="134"/>
      <c r="L265" s="134"/>
      <c r="M265" s="134"/>
      <c r="N265" s="134"/>
      <c r="O265" s="134"/>
      <c r="P265" s="134"/>
      <c r="Q265" s="134"/>
      <c r="R265" s="134"/>
      <c r="S265" s="134" t="s">
        <v>275</v>
      </c>
      <c r="T265" s="135" t="s">
        <v>346</v>
      </c>
      <c r="U265" s="120">
        <f>П4ВСР!Z221</f>
        <v>0</v>
      </c>
      <c r="V265" s="120">
        <f>П4ВСР!AA221</f>
        <v>0</v>
      </c>
      <c r="W265" s="120">
        <f>П4ВСР!AB221</f>
        <v>0</v>
      </c>
      <c r="X265" s="118"/>
    </row>
    <row r="266" spans="1:27" ht="183" customHeight="1" x14ac:dyDescent="0.25">
      <c r="A266" s="118"/>
      <c r="B266" s="134" t="s">
        <v>124</v>
      </c>
      <c r="C266" s="134" t="s">
        <v>132</v>
      </c>
      <c r="D266" s="134" t="s">
        <v>567</v>
      </c>
      <c r="E266" s="134"/>
      <c r="F266" s="134"/>
      <c r="G266" s="134"/>
      <c r="H266" s="134"/>
      <c r="I266" s="134"/>
      <c r="J266" s="134"/>
      <c r="K266" s="134"/>
      <c r="L266" s="134"/>
      <c r="M266" s="134"/>
      <c r="N266" s="134"/>
      <c r="O266" s="134"/>
      <c r="P266" s="134"/>
      <c r="Q266" s="134"/>
      <c r="R266" s="134"/>
      <c r="S266" s="134"/>
      <c r="T266" s="153" t="s">
        <v>1302</v>
      </c>
      <c r="U266" s="120">
        <f>U267</f>
        <v>4327752.7300000004</v>
      </c>
      <c r="V266" s="120">
        <f>V267</f>
        <v>1718956.1900000004</v>
      </c>
      <c r="W266" s="120">
        <f>W267</f>
        <v>1718956.1900000004</v>
      </c>
      <c r="X266" s="118"/>
      <c r="AA266" s="127"/>
    </row>
    <row r="267" spans="1:27" ht="50.25" customHeight="1" x14ac:dyDescent="0.25">
      <c r="A267" s="118"/>
      <c r="B267" s="134" t="s">
        <v>124</v>
      </c>
      <c r="C267" s="134" t="s">
        <v>132</v>
      </c>
      <c r="D267" s="134" t="s">
        <v>567</v>
      </c>
      <c r="E267" s="134"/>
      <c r="F267" s="134"/>
      <c r="G267" s="134"/>
      <c r="H267" s="134"/>
      <c r="I267" s="134"/>
      <c r="J267" s="134"/>
      <c r="K267" s="134"/>
      <c r="L267" s="134"/>
      <c r="M267" s="134"/>
      <c r="N267" s="134"/>
      <c r="O267" s="134"/>
      <c r="P267" s="134"/>
      <c r="Q267" s="134"/>
      <c r="R267" s="134"/>
      <c r="S267" s="134" t="s">
        <v>275</v>
      </c>
      <c r="T267" s="135" t="s">
        <v>565</v>
      </c>
      <c r="U267" s="120">
        <f>П4ВСР!Z223</f>
        <v>4327752.7300000004</v>
      </c>
      <c r="V267" s="120">
        <f>П4ВСР!AA223</f>
        <v>1718956.1900000004</v>
      </c>
      <c r="W267" s="120">
        <f>П4ВСР!AB223</f>
        <v>1718956.1900000004</v>
      </c>
      <c r="X267" s="118"/>
    </row>
    <row r="268" spans="1:27" ht="202.5" hidden="1" customHeight="1" x14ac:dyDescent="0.25">
      <c r="A268" s="118"/>
      <c r="B268" s="234" t="s">
        <v>124</v>
      </c>
      <c r="C268" s="234" t="s">
        <v>132</v>
      </c>
      <c r="D268" s="234" t="s">
        <v>775</v>
      </c>
      <c r="E268" s="134"/>
      <c r="F268" s="134"/>
      <c r="G268" s="134"/>
      <c r="H268" s="134"/>
      <c r="I268" s="134"/>
      <c r="J268" s="134"/>
      <c r="K268" s="134"/>
      <c r="L268" s="134"/>
      <c r="M268" s="134"/>
      <c r="N268" s="134"/>
      <c r="O268" s="134"/>
      <c r="P268" s="134"/>
      <c r="Q268" s="134"/>
      <c r="R268" s="134"/>
      <c r="S268" s="134"/>
      <c r="T268" s="135" t="s">
        <v>566</v>
      </c>
      <c r="U268" s="120">
        <f>U269</f>
        <v>6378673.2699999996</v>
      </c>
      <c r="V268" s="120">
        <v>0</v>
      </c>
      <c r="W268" s="120">
        <v>0</v>
      </c>
      <c r="X268" s="118"/>
    </row>
    <row r="269" spans="1:27" ht="39.75" customHeight="1" thickBot="1" x14ac:dyDescent="0.3">
      <c r="A269" s="118"/>
      <c r="B269" s="234" t="s">
        <v>124</v>
      </c>
      <c r="C269" s="234" t="s">
        <v>132</v>
      </c>
      <c r="D269" s="234" t="s">
        <v>775</v>
      </c>
      <c r="E269" s="134"/>
      <c r="F269" s="134"/>
      <c r="G269" s="134"/>
      <c r="H269" s="134"/>
      <c r="I269" s="134"/>
      <c r="J269" s="134"/>
      <c r="K269" s="134"/>
      <c r="L269" s="134"/>
      <c r="M269" s="134"/>
      <c r="N269" s="134"/>
      <c r="O269" s="134"/>
      <c r="P269" s="134"/>
      <c r="Q269" s="134"/>
      <c r="R269" s="134"/>
      <c r="S269" s="234" t="s">
        <v>427</v>
      </c>
      <c r="T269" s="153" t="s">
        <v>773</v>
      </c>
      <c r="U269" s="120">
        <f>П4ВСР!Z446</f>
        <v>6378673.2699999996</v>
      </c>
      <c r="V269" s="120">
        <v>0</v>
      </c>
      <c r="W269" s="120">
        <v>0</v>
      </c>
      <c r="X269" s="118"/>
    </row>
    <row r="270" spans="1:27" ht="149.25" customHeight="1" thickBot="1" x14ac:dyDescent="0.3">
      <c r="A270" s="118"/>
      <c r="B270" s="234" t="s">
        <v>124</v>
      </c>
      <c r="C270" s="234" t="s">
        <v>132</v>
      </c>
      <c r="D270" s="234" t="s">
        <v>1058</v>
      </c>
      <c r="E270" s="134"/>
      <c r="F270" s="134"/>
      <c r="G270" s="134"/>
      <c r="H270" s="134"/>
      <c r="I270" s="134"/>
      <c r="J270" s="134"/>
      <c r="K270" s="134"/>
      <c r="L270" s="134"/>
      <c r="M270" s="134"/>
      <c r="N270" s="134"/>
      <c r="O270" s="134"/>
      <c r="P270" s="134"/>
      <c r="Q270" s="134"/>
      <c r="R270" s="134"/>
      <c r="S270" s="234"/>
      <c r="T270" s="165" t="s">
        <v>1416</v>
      </c>
      <c r="U270" s="120">
        <f>U271</f>
        <v>0</v>
      </c>
      <c r="V270" s="120">
        <v>0</v>
      </c>
      <c r="W270" s="120">
        <v>0</v>
      </c>
      <c r="X270" s="118"/>
    </row>
    <row r="271" spans="1:27" ht="33" customHeight="1" x14ac:dyDescent="0.25">
      <c r="A271" s="118"/>
      <c r="B271" s="234" t="s">
        <v>124</v>
      </c>
      <c r="C271" s="234" t="s">
        <v>132</v>
      </c>
      <c r="D271" s="234" t="s">
        <v>1058</v>
      </c>
      <c r="E271" s="134"/>
      <c r="F271" s="134"/>
      <c r="G271" s="134"/>
      <c r="H271" s="134"/>
      <c r="I271" s="134"/>
      <c r="J271" s="134"/>
      <c r="K271" s="134"/>
      <c r="L271" s="134"/>
      <c r="M271" s="134"/>
      <c r="N271" s="134"/>
      <c r="O271" s="134"/>
      <c r="P271" s="134"/>
      <c r="Q271" s="134"/>
      <c r="R271" s="134"/>
      <c r="S271" s="234" t="s">
        <v>275</v>
      </c>
      <c r="T271" s="153" t="s">
        <v>773</v>
      </c>
      <c r="U271" s="120">
        <f>П4ВСР!Z461</f>
        <v>0</v>
      </c>
      <c r="V271" s="120">
        <v>0</v>
      </c>
      <c r="W271" s="120">
        <v>0</v>
      </c>
      <c r="X271" s="118"/>
    </row>
    <row r="272" spans="1:27" ht="197.25" customHeight="1" x14ac:dyDescent="0.25">
      <c r="A272" s="118"/>
      <c r="B272" s="234" t="s">
        <v>124</v>
      </c>
      <c r="C272" s="234" t="s">
        <v>132</v>
      </c>
      <c r="D272" s="234" t="s">
        <v>1054</v>
      </c>
      <c r="E272" s="134"/>
      <c r="F272" s="134"/>
      <c r="G272" s="134"/>
      <c r="H272" s="134"/>
      <c r="I272" s="134"/>
      <c r="J272" s="134"/>
      <c r="K272" s="134"/>
      <c r="L272" s="134"/>
      <c r="M272" s="134"/>
      <c r="N272" s="134"/>
      <c r="O272" s="134"/>
      <c r="P272" s="134"/>
      <c r="Q272" s="134"/>
      <c r="R272" s="134"/>
      <c r="S272" s="234"/>
      <c r="T272" s="153" t="s">
        <v>1442</v>
      </c>
      <c r="U272" s="120">
        <f>U273</f>
        <v>95000</v>
      </c>
      <c r="V272" s="120">
        <v>0</v>
      </c>
      <c r="W272" s="120">
        <v>0</v>
      </c>
      <c r="X272" s="118"/>
    </row>
    <row r="273" spans="1:27" ht="40.5" customHeight="1" x14ac:dyDescent="0.25">
      <c r="A273" s="118"/>
      <c r="B273" s="234" t="s">
        <v>124</v>
      </c>
      <c r="C273" s="234" t="s">
        <v>132</v>
      </c>
      <c r="D273" s="234" t="s">
        <v>1054</v>
      </c>
      <c r="E273" s="134"/>
      <c r="F273" s="134"/>
      <c r="G273" s="134"/>
      <c r="H273" s="134"/>
      <c r="I273" s="134"/>
      <c r="J273" s="134"/>
      <c r="K273" s="134"/>
      <c r="L273" s="134"/>
      <c r="M273" s="134"/>
      <c r="N273" s="134"/>
      <c r="O273" s="134"/>
      <c r="P273" s="134"/>
      <c r="Q273" s="134"/>
      <c r="R273" s="134"/>
      <c r="S273" s="234" t="s">
        <v>427</v>
      </c>
      <c r="T273" s="153" t="s">
        <v>773</v>
      </c>
      <c r="U273" s="120">
        <f>П4ВСР!Z456</f>
        <v>95000</v>
      </c>
      <c r="V273" s="120">
        <v>0</v>
      </c>
      <c r="W273" s="120">
        <v>0</v>
      </c>
      <c r="X273" s="118"/>
    </row>
    <row r="274" spans="1:27" ht="240" customHeight="1" x14ac:dyDescent="0.25">
      <c r="A274" s="124" t="s">
        <v>226</v>
      </c>
      <c r="B274" s="119" t="s">
        <v>124</v>
      </c>
      <c r="C274" s="119" t="s">
        <v>132</v>
      </c>
      <c r="D274" s="167" t="s">
        <v>725</v>
      </c>
      <c r="E274" s="119"/>
      <c r="F274" s="119"/>
      <c r="G274" s="119"/>
      <c r="H274" s="119"/>
      <c r="I274" s="119"/>
      <c r="J274" s="119"/>
      <c r="K274" s="119"/>
      <c r="L274" s="119"/>
      <c r="M274" s="119"/>
      <c r="N274" s="119"/>
      <c r="O274" s="119"/>
      <c r="P274" s="119"/>
      <c r="Q274" s="119"/>
      <c r="R274" s="119"/>
      <c r="S274" s="119"/>
      <c r="T274" s="285" t="s">
        <v>1260</v>
      </c>
      <c r="U274" s="120">
        <f>U275</f>
        <v>67788784.489999995</v>
      </c>
      <c r="V274" s="120">
        <f>V275</f>
        <v>59426942.640000001</v>
      </c>
      <c r="W274" s="120">
        <f>W275</f>
        <v>59426942.640000001</v>
      </c>
      <c r="X274" s="124" t="s">
        <v>226</v>
      </c>
      <c r="AA274" s="127"/>
    </row>
    <row r="275" spans="1:27" ht="35.25" customHeight="1" x14ac:dyDescent="0.25">
      <c r="A275" s="124" t="s">
        <v>351</v>
      </c>
      <c r="B275" s="122" t="s">
        <v>124</v>
      </c>
      <c r="C275" s="122" t="s">
        <v>132</v>
      </c>
      <c r="D275" s="168" t="s">
        <v>725</v>
      </c>
      <c r="E275" s="122"/>
      <c r="F275" s="122"/>
      <c r="G275" s="122"/>
      <c r="H275" s="122"/>
      <c r="I275" s="122"/>
      <c r="J275" s="122"/>
      <c r="K275" s="122"/>
      <c r="L275" s="122"/>
      <c r="M275" s="122"/>
      <c r="N275" s="122"/>
      <c r="O275" s="122"/>
      <c r="P275" s="122"/>
      <c r="Q275" s="122"/>
      <c r="R275" s="122"/>
      <c r="S275" s="122" t="s">
        <v>243</v>
      </c>
      <c r="T275" s="154" t="s">
        <v>763</v>
      </c>
      <c r="U275" s="120">
        <f>П4ВСР!Z225</f>
        <v>67788784.489999995</v>
      </c>
      <c r="V275" s="120">
        <f>П4ВСР!AA225</f>
        <v>59426942.640000001</v>
      </c>
      <c r="W275" s="120">
        <f>П4ВСР!AB225</f>
        <v>59426942.640000001</v>
      </c>
      <c r="X275" s="124" t="s">
        <v>351</v>
      </c>
    </row>
    <row r="276" spans="1:27" ht="18.600000000000001" customHeight="1" x14ac:dyDescent="0.25">
      <c r="A276" s="118" t="s">
        <v>152</v>
      </c>
      <c r="B276" s="119" t="s">
        <v>124</v>
      </c>
      <c r="C276" s="119" t="s">
        <v>123</v>
      </c>
      <c r="D276" s="119"/>
      <c r="E276" s="119"/>
      <c r="F276" s="119"/>
      <c r="G276" s="119"/>
      <c r="H276" s="119"/>
      <c r="I276" s="119"/>
      <c r="J276" s="119"/>
      <c r="K276" s="119"/>
      <c r="L276" s="119"/>
      <c r="M276" s="119"/>
      <c r="N276" s="119"/>
      <c r="O276" s="119"/>
      <c r="P276" s="119"/>
      <c r="Q276" s="119"/>
      <c r="R276" s="119"/>
      <c r="S276" s="119"/>
      <c r="T276" s="118" t="s">
        <v>152</v>
      </c>
      <c r="U276" s="120">
        <f>U277+U281+U283+U287+U289+U293+U295+U306+U279+U302+U285+U304+U308+U291+U300+U298</f>
        <v>16036067.870000001</v>
      </c>
      <c r="V276" s="120">
        <f>V277+V281+V283+V287+V289+V293+V295+V306+V279+V302+V285</f>
        <v>450000</v>
      </c>
      <c r="W276" s="120">
        <f>W277+W281+W283+W287+W289+W293+W295+W306+W279+W302+W285</f>
        <v>450000</v>
      </c>
      <c r="X276" s="118" t="s">
        <v>152</v>
      </c>
    </row>
    <row r="277" spans="1:27" ht="206.25" customHeight="1" x14ac:dyDescent="0.25">
      <c r="A277" s="118" t="s">
        <v>352</v>
      </c>
      <c r="B277" s="134" t="s">
        <v>124</v>
      </c>
      <c r="C277" s="134" t="s">
        <v>123</v>
      </c>
      <c r="D277" s="134" t="s">
        <v>568</v>
      </c>
      <c r="E277" s="134"/>
      <c r="F277" s="134"/>
      <c r="G277" s="134"/>
      <c r="H277" s="134"/>
      <c r="I277" s="134"/>
      <c r="J277" s="134"/>
      <c r="K277" s="134"/>
      <c r="L277" s="134"/>
      <c r="M277" s="134"/>
      <c r="N277" s="134"/>
      <c r="O277" s="134"/>
      <c r="P277" s="134"/>
      <c r="Q277" s="134"/>
      <c r="R277" s="134"/>
      <c r="S277" s="134"/>
      <c r="T277" s="152" t="s">
        <v>1261</v>
      </c>
      <c r="U277" s="120">
        <f>U278</f>
        <v>400000</v>
      </c>
      <c r="V277" s="120">
        <f>V278</f>
        <v>200000</v>
      </c>
      <c r="W277" s="120">
        <f>W278</f>
        <v>200000</v>
      </c>
      <c r="X277" s="118" t="s">
        <v>352</v>
      </c>
      <c r="AA277" s="127"/>
    </row>
    <row r="278" spans="1:27" ht="50.25" customHeight="1" x14ac:dyDescent="0.25">
      <c r="A278" s="118" t="s">
        <v>353</v>
      </c>
      <c r="B278" s="140" t="s">
        <v>124</v>
      </c>
      <c r="C278" s="140" t="s">
        <v>123</v>
      </c>
      <c r="D278" s="134" t="s">
        <v>568</v>
      </c>
      <c r="E278" s="140"/>
      <c r="F278" s="140"/>
      <c r="G278" s="140"/>
      <c r="H278" s="140"/>
      <c r="I278" s="140"/>
      <c r="J278" s="140"/>
      <c r="K278" s="140"/>
      <c r="L278" s="140"/>
      <c r="M278" s="140"/>
      <c r="N278" s="140"/>
      <c r="O278" s="140"/>
      <c r="P278" s="140"/>
      <c r="Q278" s="140"/>
      <c r="R278" s="140"/>
      <c r="S278" s="140" t="s">
        <v>275</v>
      </c>
      <c r="T278" s="135" t="s">
        <v>565</v>
      </c>
      <c r="U278" s="120">
        <f>П4ВСР!Z228</f>
        <v>400000</v>
      </c>
      <c r="V278" s="120">
        <f>П4ВСР!AA228</f>
        <v>200000</v>
      </c>
      <c r="W278" s="120">
        <f>П4ВСР!AB228</f>
        <v>200000</v>
      </c>
      <c r="X278" s="118" t="s">
        <v>353</v>
      </c>
      <c r="AA278" s="127"/>
    </row>
    <row r="279" spans="1:27" ht="204" customHeight="1" x14ac:dyDescent="0.25">
      <c r="A279" s="118"/>
      <c r="B279" s="140" t="s">
        <v>124</v>
      </c>
      <c r="C279" s="140" t="s">
        <v>123</v>
      </c>
      <c r="D279" s="134" t="s">
        <v>568</v>
      </c>
      <c r="E279" s="140"/>
      <c r="F279" s="140"/>
      <c r="G279" s="140"/>
      <c r="H279" s="140"/>
      <c r="I279" s="140"/>
      <c r="J279" s="140"/>
      <c r="K279" s="140"/>
      <c r="L279" s="140"/>
      <c r="M279" s="140"/>
      <c r="N279" s="140"/>
      <c r="O279" s="140"/>
      <c r="P279" s="140"/>
      <c r="Q279" s="140"/>
      <c r="R279" s="140"/>
      <c r="S279" s="140"/>
      <c r="T279" s="152" t="s">
        <v>1518</v>
      </c>
      <c r="U279" s="120">
        <f>U280</f>
        <v>400000</v>
      </c>
      <c r="V279" s="120">
        <f>V280</f>
        <v>0</v>
      </c>
      <c r="W279" s="120">
        <f>W280</f>
        <v>0</v>
      </c>
      <c r="X279" s="118"/>
    </row>
    <row r="280" spans="1:27" ht="36" customHeight="1" x14ac:dyDescent="0.25">
      <c r="A280" s="118"/>
      <c r="B280" s="140" t="s">
        <v>124</v>
      </c>
      <c r="C280" s="140" t="s">
        <v>123</v>
      </c>
      <c r="D280" s="134" t="s">
        <v>568</v>
      </c>
      <c r="E280" s="140"/>
      <c r="F280" s="140"/>
      <c r="G280" s="140"/>
      <c r="H280" s="140"/>
      <c r="I280" s="140"/>
      <c r="J280" s="140"/>
      <c r="K280" s="140"/>
      <c r="L280" s="140"/>
      <c r="M280" s="140"/>
      <c r="N280" s="140"/>
      <c r="O280" s="140"/>
      <c r="P280" s="140"/>
      <c r="Q280" s="140"/>
      <c r="R280" s="140"/>
      <c r="S280" s="140" t="s">
        <v>427</v>
      </c>
      <c r="T280" s="153" t="s">
        <v>773</v>
      </c>
      <c r="U280" s="120">
        <f>П4ВСР!Z466</f>
        <v>400000</v>
      </c>
      <c r="V280" s="120">
        <v>0</v>
      </c>
      <c r="W280" s="120">
        <v>0</v>
      </c>
      <c r="X280" s="118"/>
    </row>
    <row r="281" spans="1:27" ht="102.75" customHeight="1" x14ac:dyDescent="0.25">
      <c r="A281" s="118" t="s">
        <v>354</v>
      </c>
      <c r="B281" s="134" t="s">
        <v>124</v>
      </c>
      <c r="C281" s="134" t="s">
        <v>123</v>
      </c>
      <c r="D281" s="134" t="s">
        <v>569</v>
      </c>
      <c r="E281" s="134"/>
      <c r="F281" s="134"/>
      <c r="G281" s="134"/>
      <c r="H281" s="134"/>
      <c r="I281" s="134"/>
      <c r="J281" s="134"/>
      <c r="K281" s="134"/>
      <c r="L281" s="134"/>
      <c r="M281" s="134"/>
      <c r="N281" s="134"/>
      <c r="O281" s="134"/>
      <c r="P281" s="134"/>
      <c r="Q281" s="134"/>
      <c r="R281" s="134"/>
      <c r="S281" s="134"/>
      <c r="T281" s="153" t="s">
        <v>1262</v>
      </c>
      <c r="U281" s="120">
        <f>U282</f>
        <v>0</v>
      </c>
      <c r="V281" s="120">
        <f>V282</f>
        <v>100000</v>
      </c>
      <c r="W281" s="120">
        <f>W282</f>
        <v>100000</v>
      </c>
      <c r="X281" s="118" t="s">
        <v>354</v>
      </c>
    </row>
    <row r="282" spans="1:27" ht="53.25" customHeight="1" x14ac:dyDescent="0.25">
      <c r="A282" s="118" t="s">
        <v>355</v>
      </c>
      <c r="B282" s="140" t="s">
        <v>124</v>
      </c>
      <c r="C282" s="140" t="s">
        <v>123</v>
      </c>
      <c r="D282" s="134" t="s">
        <v>569</v>
      </c>
      <c r="E282" s="140"/>
      <c r="F282" s="140"/>
      <c r="G282" s="140"/>
      <c r="H282" s="140"/>
      <c r="I282" s="140"/>
      <c r="J282" s="140"/>
      <c r="K282" s="140"/>
      <c r="L282" s="140"/>
      <c r="M282" s="140"/>
      <c r="N282" s="140"/>
      <c r="O282" s="140"/>
      <c r="P282" s="140"/>
      <c r="Q282" s="140"/>
      <c r="R282" s="140"/>
      <c r="S282" s="140" t="s">
        <v>275</v>
      </c>
      <c r="T282" s="135" t="s">
        <v>565</v>
      </c>
      <c r="U282" s="120">
        <f>П4ВСР!Z230</f>
        <v>0</v>
      </c>
      <c r="V282" s="120">
        <f>П4ВСР!AA230</f>
        <v>100000</v>
      </c>
      <c r="W282" s="120">
        <f>П4ВСР!AB230</f>
        <v>100000</v>
      </c>
      <c r="X282" s="118" t="s">
        <v>355</v>
      </c>
    </row>
    <row r="283" spans="1:27" ht="108.75" hidden="1" customHeight="1" x14ac:dyDescent="0.25">
      <c r="A283" s="118"/>
      <c r="B283" s="140" t="s">
        <v>124</v>
      </c>
      <c r="C283" s="140" t="s">
        <v>123</v>
      </c>
      <c r="D283" s="134" t="s">
        <v>570</v>
      </c>
      <c r="E283" s="140"/>
      <c r="F283" s="140"/>
      <c r="G283" s="140"/>
      <c r="H283" s="140"/>
      <c r="I283" s="140"/>
      <c r="J283" s="140"/>
      <c r="K283" s="140"/>
      <c r="L283" s="140"/>
      <c r="M283" s="140"/>
      <c r="N283" s="140"/>
      <c r="O283" s="140"/>
      <c r="P283" s="140"/>
      <c r="Q283" s="140"/>
      <c r="R283" s="140"/>
      <c r="S283" s="140"/>
      <c r="T283" s="153" t="s">
        <v>571</v>
      </c>
      <c r="U283" s="120">
        <f>U284</f>
        <v>0</v>
      </c>
      <c r="V283" s="120">
        <f>V284</f>
        <v>0</v>
      </c>
      <c r="W283" s="120">
        <f>W284</f>
        <v>0</v>
      </c>
      <c r="X283" s="118"/>
    </row>
    <row r="284" spans="1:27" ht="117.75" hidden="1" customHeight="1" x14ac:dyDescent="0.25">
      <c r="A284" s="118"/>
      <c r="B284" s="140" t="s">
        <v>124</v>
      </c>
      <c r="C284" s="140" t="s">
        <v>123</v>
      </c>
      <c r="D284" s="134" t="s">
        <v>570</v>
      </c>
      <c r="E284" s="140"/>
      <c r="F284" s="140"/>
      <c r="G284" s="140"/>
      <c r="H284" s="140"/>
      <c r="I284" s="140"/>
      <c r="J284" s="140"/>
      <c r="K284" s="140"/>
      <c r="L284" s="140"/>
      <c r="M284" s="140"/>
      <c r="N284" s="140"/>
      <c r="O284" s="140"/>
      <c r="P284" s="140"/>
      <c r="Q284" s="140"/>
      <c r="R284" s="140"/>
      <c r="S284" s="140" t="s">
        <v>275</v>
      </c>
      <c r="T284" s="135" t="s">
        <v>571</v>
      </c>
      <c r="U284" s="120">
        <f>П4ВСР!Z232</f>
        <v>0</v>
      </c>
      <c r="V284" s="120">
        <f>П4ВСР!AA232</f>
        <v>0</v>
      </c>
      <c r="W284" s="120">
        <f>П4ВСР!AB232</f>
        <v>0</v>
      </c>
      <c r="X284" s="118"/>
    </row>
    <row r="285" spans="1:27" ht="99" customHeight="1" x14ac:dyDescent="0.25">
      <c r="A285" s="118"/>
      <c r="B285" s="140" t="s">
        <v>124</v>
      </c>
      <c r="C285" s="140" t="s">
        <v>123</v>
      </c>
      <c r="D285" s="134" t="s">
        <v>569</v>
      </c>
      <c r="E285" s="140"/>
      <c r="F285" s="140"/>
      <c r="G285" s="140"/>
      <c r="H285" s="140"/>
      <c r="I285" s="140"/>
      <c r="J285" s="140"/>
      <c r="K285" s="140"/>
      <c r="L285" s="140"/>
      <c r="M285" s="140"/>
      <c r="N285" s="140"/>
      <c r="O285" s="140"/>
      <c r="P285" s="140"/>
      <c r="Q285" s="140"/>
      <c r="R285" s="140"/>
      <c r="S285" s="140"/>
      <c r="T285" s="153" t="s">
        <v>1262</v>
      </c>
      <c r="U285" s="120">
        <f>U286</f>
        <v>1000000</v>
      </c>
      <c r="V285" s="120">
        <v>0</v>
      </c>
      <c r="W285" s="120">
        <v>0</v>
      </c>
      <c r="X285" s="118"/>
    </row>
    <row r="286" spans="1:27" ht="36.75" customHeight="1" x14ac:dyDescent="0.25">
      <c r="A286" s="118"/>
      <c r="B286" s="140" t="s">
        <v>124</v>
      </c>
      <c r="C286" s="140" t="s">
        <v>123</v>
      </c>
      <c r="D286" s="134" t="s">
        <v>569</v>
      </c>
      <c r="E286" s="140"/>
      <c r="F286" s="140"/>
      <c r="G286" s="140"/>
      <c r="H286" s="140"/>
      <c r="I286" s="140"/>
      <c r="J286" s="140"/>
      <c r="K286" s="140"/>
      <c r="L286" s="140"/>
      <c r="M286" s="140"/>
      <c r="N286" s="140"/>
      <c r="O286" s="140"/>
      <c r="P286" s="140"/>
      <c r="Q286" s="140"/>
      <c r="R286" s="140"/>
      <c r="S286" s="140" t="s">
        <v>427</v>
      </c>
      <c r="T286" s="153" t="s">
        <v>773</v>
      </c>
      <c r="U286" s="120">
        <f>П4ВСР!Z478</f>
        <v>1000000</v>
      </c>
      <c r="V286" s="120">
        <v>0</v>
      </c>
      <c r="W286" s="120">
        <v>0</v>
      </c>
      <c r="X286" s="118"/>
    </row>
    <row r="287" spans="1:27" ht="33" hidden="1" customHeight="1" x14ac:dyDescent="0.25">
      <c r="A287" s="118" t="s">
        <v>356</v>
      </c>
      <c r="B287" s="134" t="s">
        <v>124</v>
      </c>
      <c r="C287" s="134" t="s">
        <v>123</v>
      </c>
      <c r="D287" s="134" t="s">
        <v>572</v>
      </c>
      <c r="E287" s="134"/>
      <c r="F287" s="134"/>
      <c r="G287" s="134"/>
      <c r="H287" s="134"/>
      <c r="I287" s="134"/>
      <c r="J287" s="134"/>
      <c r="K287" s="134"/>
      <c r="L287" s="134"/>
      <c r="M287" s="134"/>
      <c r="N287" s="134"/>
      <c r="O287" s="134"/>
      <c r="P287" s="134"/>
      <c r="Q287" s="134"/>
      <c r="R287" s="134"/>
      <c r="S287" s="134"/>
      <c r="T287" s="153" t="s">
        <v>575</v>
      </c>
      <c r="U287" s="120">
        <f>U288</f>
        <v>0</v>
      </c>
      <c r="V287" s="120">
        <f>V288</f>
        <v>0</v>
      </c>
      <c r="W287" s="120">
        <f>W288</f>
        <v>0</v>
      </c>
      <c r="X287" s="118" t="s">
        <v>356</v>
      </c>
    </row>
    <row r="288" spans="1:27" ht="63" hidden="1" customHeight="1" x14ac:dyDescent="0.25">
      <c r="A288" s="118" t="s">
        <v>357</v>
      </c>
      <c r="B288" s="140" t="s">
        <v>124</v>
      </c>
      <c r="C288" s="140" t="s">
        <v>123</v>
      </c>
      <c r="D288" s="134" t="s">
        <v>572</v>
      </c>
      <c r="E288" s="140"/>
      <c r="F288" s="140"/>
      <c r="G288" s="140"/>
      <c r="H288" s="140"/>
      <c r="I288" s="140"/>
      <c r="J288" s="140"/>
      <c r="K288" s="140"/>
      <c r="L288" s="140"/>
      <c r="M288" s="140"/>
      <c r="N288" s="140"/>
      <c r="O288" s="140"/>
      <c r="P288" s="140"/>
      <c r="Q288" s="140"/>
      <c r="R288" s="140"/>
      <c r="S288" s="140" t="s">
        <v>275</v>
      </c>
      <c r="T288" s="135" t="s">
        <v>357</v>
      </c>
      <c r="U288" s="120">
        <f>П4ВСР!Z234</f>
        <v>0</v>
      </c>
      <c r="V288" s="120">
        <f>П4ВСР!AA234</f>
        <v>0</v>
      </c>
      <c r="W288" s="120">
        <f>П4ВСР!AB234</f>
        <v>0</v>
      </c>
      <c r="X288" s="118" t="s">
        <v>357</v>
      </c>
    </row>
    <row r="289" spans="1:24" ht="72" customHeight="1" x14ac:dyDescent="0.25">
      <c r="A289" s="118" t="s">
        <v>358</v>
      </c>
      <c r="B289" s="140" t="s">
        <v>124</v>
      </c>
      <c r="C289" s="140" t="s">
        <v>123</v>
      </c>
      <c r="D289" s="134" t="s">
        <v>573</v>
      </c>
      <c r="E289" s="140"/>
      <c r="F289" s="140"/>
      <c r="G289" s="140"/>
      <c r="H289" s="140"/>
      <c r="I289" s="140"/>
      <c r="J289" s="140"/>
      <c r="K289" s="140"/>
      <c r="L289" s="140"/>
      <c r="M289" s="140"/>
      <c r="N289" s="140"/>
      <c r="O289" s="140"/>
      <c r="P289" s="140"/>
      <c r="Q289" s="140"/>
      <c r="R289" s="140"/>
      <c r="S289" s="140"/>
      <c r="T289" s="118" t="s">
        <v>1263</v>
      </c>
      <c r="U289" s="120">
        <f>U290</f>
        <v>1747113.2200000002</v>
      </c>
      <c r="V289" s="120">
        <f>V290</f>
        <v>50000</v>
      </c>
      <c r="W289" s="120">
        <f>W290</f>
        <v>50000</v>
      </c>
      <c r="X289" s="118" t="s">
        <v>358</v>
      </c>
    </row>
    <row r="290" spans="1:24" ht="48.75" customHeight="1" x14ac:dyDescent="0.25">
      <c r="A290" s="118" t="s">
        <v>359</v>
      </c>
      <c r="B290" s="140" t="s">
        <v>124</v>
      </c>
      <c r="C290" s="140" t="s">
        <v>123</v>
      </c>
      <c r="D290" s="134" t="s">
        <v>573</v>
      </c>
      <c r="E290" s="140"/>
      <c r="F290" s="140"/>
      <c r="G290" s="140"/>
      <c r="H290" s="140"/>
      <c r="I290" s="140"/>
      <c r="J290" s="140"/>
      <c r="K290" s="140"/>
      <c r="L290" s="140"/>
      <c r="M290" s="140"/>
      <c r="N290" s="140"/>
      <c r="O290" s="140"/>
      <c r="P290" s="140"/>
      <c r="Q290" s="140"/>
      <c r="R290" s="140"/>
      <c r="S290" s="140" t="s">
        <v>275</v>
      </c>
      <c r="T290" s="123" t="s">
        <v>565</v>
      </c>
      <c r="U290" s="120">
        <f>П4ВСР!Z236</f>
        <v>1747113.2200000002</v>
      </c>
      <c r="V290" s="120">
        <f>П4ВСР!AA236</f>
        <v>50000</v>
      </c>
      <c r="W290" s="120">
        <f>П4ВСР!AB236</f>
        <v>50000</v>
      </c>
      <c r="X290" s="118" t="s">
        <v>359</v>
      </c>
    </row>
    <row r="291" spans="1:24" ht="72" customHeight="1" x14ac:dyDescent="0.25">
      <c r="A291" s="118"/>
      <c r="B291" s="140" t="s">
        <v>124</v>
      </c>
      <c r="C291" s="140" t="s">
        <v>123</v>
      </c>
      <c r="D291" s="234" t="s">
        <v>573</v>
      </c>
      <c r="E291" s="140"/>
      <c r="F291" s="140"/>
      <c r="G291" s="140"/>
      <c r="H291" s="140"/>
      <c r="I291" s="140"/>
      <c r="J291" s="140"/>
      <c r="K291" s="140"/>
      <c r="L291" s="140"/>
      <c r="M291" s="140"/>
      <c r="N291" s="140"/>
      <c r="O291" s="140"/>
      <c r="P291" s="140"/>
      <c r="Q291" s="140"/>
      <c r="R291" s="140"/>
      <c r="S291" s="140"/>
      <c r="T291" s="153" t="s">
        <v>1263</v>
      </c>
      <c r="U291" s="120">
        <f>U292</f>
        <v>67000</v>
      </c>
      <c r="V291" s="120">
        <v>0</v>
      </c>
      <c r="W291" s="120">
        <v>0</v>
      </c>
      <c r="X291" s="118"/>
    </row>
    <row r="292" spans="1:24" ht="44.25" customHeight="1" x14ac:dyDescent="0.25">
      <c r="A292" s="118"/>
      <c r="B292" s="140" t="s">
        <v>124</v>
      </c>
      <c r="C292" s="140" t="s">
        <v>123</v>
      </c>
      <c r="D292" s="234" t="s">
        <v>573</v>
      </c>
      <c r="E292" s="140"/>
      <c r="F292" s="140"/>
      <c r="G292" s="140"/>
      <c r="H292" s="140"/>
      <c r="I292" s="140"/>
      <c r="J292" s="140"/>
      <c r="K292" s="140"/>
      <c r="L292" s="140"/>
      <c r="M292" s="140"/>
      <c r="N292" s="140"/>
      <c r="O292" s="140"/>
      <c r="P292" s="140"/>
      <c r="Q292" s="140"/>
      <c r="R292" s="140"/>
      <c r="S292" s="140" t="s">
        <v>427</v>
      </c>
      <c r="T292" s="153" t="s">
        <v>773</v>
      </c>
      <c r="U292" s="120">
        <f>П4ВСР!Z495</f>
        <v>67000</v>
      </c>
      <c r="V292" s="120">
        <v>0</v>
      </c>
      <c r="W292" s="120">
        <v>0</v>
      </c>
      <c r="X292" s="118"/>
    </row>
    <row r="293" spans="1:24" ht="84.75" customHeight="1" x14ac:dyDescent="0.25">
      <c r="A293" s="118" t="s">
        <v>360</v>
      </c>
      <c r="B293" s="134" t="s">
        <v>124</v>
      </c>
      <c r="C293" s="134" t="s">
        <v>123</v>
      </c>
      <c r="D293" s="134" t="s">
        <v>574</v>
      </c>
      <c r="E293" s="134"/>
      <c r="F293" s="134"/>
      <c r="G293" s="134"/>
      <c r="H293" s="134"/>
      <c r="I293" s="134"/>
      <c r="J293" s="134"/>
      <c r="K293" s="134"/>
      <c r="L293" s="134"/>
      <c r="M293" s="134"/>
      <c r="N293" s="134"/>
      <c r="O293" s="134"/>
      <c r="P293" s="134"/>
      <c r="Q293" s="134"/>
      <c r="R293" s="134"/>
      <c r="S293" s="134"/>
      <c r="T293" s="153" t="s">
        <v>1264</v>
      </c>
      <c r="U293" s="120">
        <f>U294</f>
        <v>1326000</v>
      </c>
      <c r="V293" s="120">
        <f>V294</f>
        <v>100000</v>
      </c>
      <c r="W293" s="120">
        <f>W294</f>
        <v>100000</v>
      </c>
      <c r="X293" s="118" t="s">
        <v>360</v>
      </c>
    </row>
    <row r="294" spans="1:24" ht="72" customHeight="1" x14ac:dyDescent="0.25">
      <c r="A294" s="118" t="s">
        <v>361</v>
      </c>
      <c r="B294" s="140" t="s">
        <v>124</v>
      </c>
      <c r="C294" s="140" t="s">
        <v>123</v>
      </c>
      <c r="D294" s="134" t="s">
        <v>574</v>
      </c>
      <c r="E294" s="140"/>
      <c r="F294" s="140"/>
      <c r="G294" s="140"/>
      <c r="H294" s="140"/>
      <c r="I294" s="140"/>
      <c r="J294" s="140"/>
      <c r="K294" s="140"/>
      <c r="L294" s="140"/>
      <c r="M294" s="140"/>
      <c r="N294" s="140"/>
      <c r="O294" s="140"/>
      <c r="P294" s="140"/>
      <c r="Q294" s="140"/>
      <c r="R294" s="140"/>
      <c r="S294" s="140" t="s">
        <v>275</v>
      </c>
      <c r="T294" s="135" t="s">
        <v>565</v>
      </c>
      <c r="U294" s="120">
        <f>П4ВСР!Z238</f>
        <v>1326000</v>
      </c>
      <c r="V294" s="120">
        <f>П4ВСР!AA238</f>
        <v>100000</v>
      </c>
      <c r="W294" s="120">
        <f>П4ВСР!AB238</f>
        <v>100000</v>
      </c>
      <c r="X294" s="118" t="s">
        <v>361</v>
      </c>
    </row>
    <row r="295" spans="1:24" ht="73.5" customHeight="1" x14ac:dyDescent="0.25">
      <c r="A295" s="118" t="s">
        <v>362</v>
      </c>
      <c r="B295" s="134" t="s">
        <v>124</v>
      </c>
      <c r="C295" s="134" t="s">
        <v>123</v>
      </c>
      <c r="D295" s="234" t="s">
        <v>1440</v>
      </c>
      <c r="E295" s="134"/>
      <c r="F295" s="134"/>
      <c r="G295" s="134"/>
      <c r="H295" s="134"/>
      <c r="I295" s="134"/>
      <c r="J295" s="134"/>
      <c r="K295" s="134"/>
      <c r="L295" s="134"/>
      <c r="M295" s="134"/>
      <c r="N295" s="134"/>
      <c r="O295" s="134"/>
      <c r="P295" s="134"/>
      <c r="Q295" s="134"/>
      <c r="R295" s="134"/>
      <c r="S295" s="134"/>
      <c r="T295" s="153" t="s">
        <v>1439</v>
      </c>
      <c r="U295" s="120">
        <f>U296</f>
        <v>814432.71</v>
      </c>
      <c r="V295" s="120">
        <f>V296</f>
        <v>0</v>
      </c>
      <c r="W295" s="120">
        <f>W296</f>
        <v>0</v>
      </c>
      <c r="X295" s="118" t="s">
        <v>362</v>
      </c>
    </row>
    <row r="296" spans="1:24" ht="54.75" customHeight="1" x14ac:dyDescent="0.25">
      <c r="A296" s="118" t="s">
        <v>363</v>
      </c>
      <c r="B296" s="140" t="s">
        <v>124</v>
      </c>
      <c r="C296" s="140" t="s">
        <v>123</v>
      </c>
      <c r="D296" s="234" t="s">
        <v>1440</v>
      </c>
      <c r="E296" s="140"/>
      <c r="F296" s="140"/>
      <c r="G296" s="140"/>
      <c r="H296" s="140"/>
      <c r="I296" s="140"/>
      <c r="J296" s="140"/>
      <c r="K296" s="140"/>
      <c r="L296" s="140"/>
      <c r="M296" s="140"/>
      <c r="N296" s="140"/>
      <c r="O296" s="140"/>
      <c r="P296" s="140"/>
      <c r="Q296" s="140"/>
      <c r="R296" s="140"/>
      <c r="S296" s="140" t="s">
        <v>275</v>
      </c>
      <c r="T296" s="135" t="s">
        <v>565</v>
      </c>
      <c r="U296" s="120">
        <f>П4ВСР!Z239+П4ВСР!Z499</f>
        <v>814432.71</v>
      </c>
      <c r="V296" s="120">
        <f>П4ВСР!AA244</f>
        <v>0</v>
      </c>
      <c r="W296" s="120">
        <f>П4ВСР!AB244</f>
        <v>0</v>
      </c>
      <c r="X296" s="118" t="s">
        <v>363</v>
      </c>
    </row>
    <row r="297" spans="1:24" ht="39.75" hidden="1" customHeight="1" x14ac:dyDescent="0.25">
      <c r="A297" s="118"/>
      <c r="B297" s="140" t="s">
        <v>124</v>
      </c>
      <c r="C297" s="140" t="s">
        <v>123</v>
      </c>
      <c r="D297" s="234" t="s">
        <v>1440</v>
      </c>
      <c r="E297" s="140"/>
      <c r="F297" s="140"/>
      <c r="G297" s="140"/>
      <c r="H297" s="140"/>
      <c r="I297" s="140"/>
      <c r="J297" s="140"/>
      <c r="K297" s="140"/>
      <c r="L297" s="140"/>
      <c r="M297" s="140"/>
      <c r="N297" s="140"/>
      <c r="O297" s="140"/>
      <c r="P297" s="140"/>
      <c r="Q297" s="140"/>
      <c r="R297" s="140"/>
      <c r="S297" s="140" t="s">
        <v>275</v>
      </c>
      <c r="T297" s="153" t="s">
        <v>773</v>
      </c>
      <c r="U297" s="120">
        <v>0</v>
      </c>
      <c r="V297" s="120">
        <v>0</v>
      </c>
      <c r="W297" s="120">
        <v>0</v>
      </c>
      <c r="X297" s="118"/>
    </row>
    <row r="298" spans="1:24" ht="69.75" customHeight="1" x14ac:dyDescent="0.25">
      <c r="A298" s="118"/>
      <c r="B298" s="140" t="s">
        <v>124</v>
      </c>
      <c r="C298" s="140" t="s">
        <v>123</v>
      </c>
      <c r="D298" s="234" t="s">
        <v>1440</v>
      </c>
      <c r="E298" s="140"/>
      <c r="F298" s="140"/>
      <c r="G298" s="140"/>
      <c r="H298" s="140"/>
      <c r="I298" s="140"/>
      <c r="J298" s="140"/>
      <c r="K298" s="140"/>
      <c r="L298" s="140"/>
      <c r="M298" s="140"/>
      <c r="N298" s="140"/>
      <c r="O298" s="140"/>
      <c r="P298" s="140"/>
      <c r="Q298" s="140"/>
      <c r="R298" s="140"/>
      <c r="S298" s="140"/>
      <c r="T298" s="153" t="s">
        <v>1439</v>
      </c>
      <c r="U298" s="120">
        <f>U299</f>
        <v>200000</v>
      </c>
      <c r="V298" s="120">
        <v>0</v>
      </c>
      <c r="W298" s="120">
        <v>0</v>
      </c>
      <c r="X298" s="118"/>
    </row>
    <row r="299" spans="1:24" ht="39.75" customHeight="1" x14ac:dyDescent="0.25">
      <c r="A299" s="118"/>
      <c r="B299" s="140" t="s">
        <v>124</v>
      </c>
      <c r="C299" s="140" t="s">
        <v>123</v>
      </c>
      <c r="D299" s="234" t="s">
        <v>1440</v>
      </c>
      <c r="E299" s="140"/>
      <c r="F299" s="140"/>
      <c r="G299" s="140"/>
      <c r="H299" s="140"/>
      <c r="I299" s="140"/>
      <c r="J299" s="140"/>
      <c r="K299" s="140"/>
      <c r="L299" s="140"/>
      <c r="M299" s="140"/>
      <c r="N299" s="140"/>
      <c r="O299" s="140"/>
      <c r="P299" s="140"/>
      <c r="Q299" s="140"/>
      <c r="R299" s="140"/>
      <c r="S299" s="140" t="s">
        <v>427</v>
      </c>
      <c r="T299" s="153" t="s">
        <v>773</v>
      </c>
      <c r="U299" s="120">
        <f>П4ВСР!Z505</f>
        <v>200000</v>
      </c>
      <c r="V299" s="120">
        <v>0</v>
      </c>
      <c r="W299" s="120">
        <v>0</v>
      </c>
      <c r="X299" s="118"/>
    </row>
    <row r="300" spans="1:24" ht="73.5" customHeight="1" x14ac:dyDescent="0.25">
      <c r="A300" s="118"/>
      <c r="B300" s="140" t="s">
        <v>124</v>
      </c>
      <c r="C300" s="140" t="s">
        <v>123</v>
      </c>
      <c r="D300" s="234" t="s">
        <v>1509</v>
      </c>
      <c r="E300" s="140"/>
      <c r="F300" s="140"/>
      <c r="G300" s="140"/>
      <c r="H300" s="140"/>
      <c r="I300" s="140"/>
      <c r="J300" s="140"/>
      <c r="K300" s="140"/>
      <c r="L300" s="140"/>
      <c r="M300" s="140"/>
      <c r="N300" s="140"/>
      <c r="O300" s="140"/>
      <c r="P300" s="140"/>
      <c r="Q300" s="140"/>
      <c r="R300" s="140"/>
      <c r="S300" s="140"/>
      <c r="T300" s="153" t="s">
        <v>1508</v>
      </c>
      <c r="U300" s="120">
        <f>U301</f>
        <v>2855240.2</v>
      </c>
      <c r="V300" s="120">
        <v>0</v>
      </c>
      <c r="W300" s="120">
        <v>0</v>
      </c>
      <c r="X300" s="118"/>
    </row>
    <row r="301" spans="1:24" ht="48" customHeight="1" x14ac:dyDescent="0.25">
      <c r="A301" s="118"/>
      <c r="B301" s="140" t="s">
        <v>124</v>
      </c>
      <c r="C301" s="140" t="s">
        <v>123</v>
      </c>
      <c r="D301" s="234" t="s">
        <v>1509</v>
      </c>
      <c r="E301" s="140"/>
      <c r="F301" s="140"/>
      <c r="G301" s="140"/>
      <c r="H301" s="140"/>
      <c r="I301" s="140"/>
      <c r="J301" s="140"/>
      <c r="K301" s="140"/>
      <c r="L301" s="140"/>
      <c r="M301" s="140"/>
      <c r="N301" s="140"/>
      <c r="O301" s="140"/>
      <c r="P301" s="140"/>
      <c r="Q301" s="140"/>
      <c r="R301" s="140"/>
      <c r="S301" s="140" t="s">
        <v>275</v>
      </c>
      <c r="T301" s="135" t="s">
        <v>565</v>
      </c>
      <c r="U301" s="120">
        <f>П4ВСР!Z241</f>
        <v>2855240.2</v>
      </c>
      <c r="V301" s="120">
        <v>0</v>
      </c>
      <c r="W301" s="120">
        <v>0</v>
      </c>
      <c r="X301" s="118"/>
    </row>
    <row r="302" spans="1:24" ht="80.25" customHeight="1" x14ac:dyDescent="0.25">
      <c r="A302" s="118"/>
      <c r="B302" s="140" t="s">
        <v>124</v>
      </c>
      <c r="C302" s="140" t="s">
        <v>123</v>
      </c>
      <c r="D302" s="234" t="s">
        <v>880</v>
      </c>
      <c r="E302" s="140"/>
      <c r="F302" s="140"/>
      <c r="G302" s="140"/>
      <c r="H302" s="140"/>
      <c r="I302" s="140"/>
      <c r="J302" s="140"/>
      <c r="K302" s="140"/>
      <c r="L302" s="140"/>
      <c r="M302" s="140"/>
      <c r="N302" s="140"/>
      <c r="O302" s="140"/>
      <c r="P302" s="140"/>
      <c r="Q302" s="140"/>
      <c r="R302" s="140"/>
      <c r="S302" s="140"/>
      <c r="T302" s="153" t="s">
        <v>1265</v>
      </c>
      <c r="U302" s="120">
        <f>U303</f>
        <v>36930</v>
      </c>
      <c r="V302" s="120">
        <v>0</v>
      </c>
      <c r="W302" s="120">
        <v>0</v>
      </c>
      <c r="X302" s="118"/>
    </row>
    <row r="303" spans="1:24" ht="48.75" customHeight="1" x14ac:dyDescent="0.25">
      <c r="A303" s="118"/>
      <c r="B303" s="140" t="s">
        <v>124</v>
      </c>
      <c r="C303" s="140" t="s">
        <v>123</v>
      </c>
      <c r="D303" s="234" t="s">
        <v>880</v>
      </c>
      <c r="E303" s="140"/>
      <c r="F303" s="140"/>
      <c r="G303" s="140"/>
      <c r="H303" s="140"/>
      <c r="I303" s="140"/>
      <c r="J303" s="140"/>
      <c r="K303" s="140"/>
      <c r="L303" s="140"/>
      <c r="M303" s="140"/>
      <c r="N303" s="140"/>
      <c r="O303" s="140"/>
      <c r="P303" s="140"/>
      <c r="Q303" s="140"/>
      <c r="R303" s="140"/>
      <c r="S303" s="140" t="s">
        <v>275</v>
      </c>
      <c r="T303" s="135" t="s">
        <v>565</v>
      </c>
      <c r="U303" s="120">
        <f>П4ВСР!Z243</f>
        <v>36930</v>
      </c>
      <c r="V303" s="120">
        <v>0</v>
      </c>
      <c r="W303" s="120">
        <v>0</v>
      </c>
      <c r="X303" s="118"/>
    </row>
    <row r="304" spans="1:24" ht="84" customHeight="1" x14ac:dyDescent="0.25">
      <c r="A304" s="118"/>
      <c r="B304" s="140" t="s">
        <v>124</v>
      </c>
      <c r="C304" s="140" t="s">
        <v>123</v>
      </c>
      <c r="D304" s="234" t="s">
        <v>880</v>
      </c>
      <c r="E304" s="140"/>
      <c r="F304" s="140"/>
      <c r="G304" s="140"/>
      <c r="H304" s="140"/>
      <c r="I304" s="140"/>
      <c r="J304" s="140"/>
      <c r="K304" s="140"/>
      <c r="L304" s="140"/>
      <c r="M304" s="140"/>
      <c r="N304" s="140"/>
      <c r="O304" s="140"/>
      <c r="P304" s="140"/>
      <c r="Q304" s="140"/>
      <c r="R304" s="140"/>
      <c r="S304" s="140"/>
      <c r="T304" s="153" t="s">
        <v>1265</v>
      </c>
      <c r="U304" s="120">
        <f>U305</f>
        <v>5189351.74</v>
      </c>
      <c r="V304" s="120">
        <v>0</v>
      </c>
      <c r="W304" s="120">
        <v>0</v>
      </c>
      <c r="X304" s="118"/>
    </row>
    <row r="305" spans="1:27" ht="33" customHeight="1" x14ac:dyDescent="0.25">
      <c r="A305" s="118"/>
      <c r="B305" s="140" t="s">
        <v>124</v>
      </c>
      <c r="C305" s="140" t="s">
        <v>123</v>
      </c>
      <c r="D305" s="234" t="s">
        <v>880</v>
      </c>
      <c r="E305" s="140"/>
      <c r="F305" s="140"/>
      <c r="G305" s="140"/>
      <c r="H305" s="140"/>
      <c r="I305" s="140"/>
      <c r="J305" s="140"/>
      <c r="K305" s="140"/>
      <c r="L305" s="140"/>
      <c r="M305" s="140"/>
      <c r="N305" s="140"/>
      <c r="O305" s="140"/>
      <c r="P305" s="140"/>
      <c r="Q305" s="140"/>
      <c r="R305" s="140"/>
      <c r="S305" s="140" t="s">
        <v>427</v>
      </c>
      <c r="T305" s="153" t="s">
        <v>773</v>
      </c>
      <c r="U305" s="120">
        <f>П4ВСР!Z509</f>
        <v>5189351.74</v>
      </c>
      <c r="V305" s="120">
        <v>0</v>
      </c>
      <c r="W305" s="120">
        <v>0</v>
      </c>
      <c r="X305" s="118"/>
    </row>
    <row r="306" spans="1:27" ht="44.25" hidden="1" customHeight="1" x14ac:dyDescent="0.25">
      <c r="A306" s="118" t="s">
        <v>364</v>
      </c>
      <c r="B306" s="134" t="s">
        <v>124</v>
      </c>
      <c r="C306" s="134" t="s">
        <v>123</v>
      </c>
      <c r="D306" s="134" t="s">
        <v>746</v>
      </c>
      <c r="E306" s="134"/>
      <c r="F306" s="134"/>
      <c r="G306" s="134"/>
      <c r="H306" s="134"/>
      <c r="I306" s="134"/>
      <c r="J306" s="134"/>
      <c r="K306" s="134"/>
      <c r="L306" s="134"/>
      <c r="M306" s="134"/>
      <c r="N306" s="134"/>
      <c r="O306" s="134"/>
      <c r="P306" s="134"/>
      <c r="Q306" s="134"/>
      <c r="R306" s="134"/>
      <c r="S306" s="134"/>
      <c r="T306" s="153" t="s">
        <v>744</v>
      </c>
      <c r="U306" s="120">
        <f>U307</f>
        <v>0</v>
      </c>
      <c r="V306" s="120">
        <f>V307</f>
        <v>0</v>
      </c>
      <c r="W306" s="120">
        <f>W307</f>
        <v>0</v>
      </c>
      <c r="X306" s="118" t="s">
        <v>364</v>
      </c>
    </row>
    <row r="307" spans="1:27" ht="51" hidden="1" customHeight="1" x14ac:dyDescent="0.25">
      <c r="A307" s="118" t="s">
        <v>365</v>
      </c>
      <c r="B307" s="140" t="s">
        <v>124</v>
      </c>
      <c r="C307" s="140" t="s">
        <v>123</v>
      </c>
      <c r="D307" s="134" t="s">
        <v>746</v>
      </c>
      <c r="E307" s="140"/>
      <c r="F307" s="140"/>
      <c r="G307" s="140"/>
      <c r="H307" s="140"/>
      <c r="I307" s="140"/>
      <c r="J307" s="140"/>
      <c r="K307" s="140"/>
      <c r="L307" s="140"/>
      <c r="M307" s="140"/>
      <c r="N307" s="140"/>
      <c r="O307" s="140"/>
      <c r="P307" s="140"/>
      <c r="Q307" s="140"/>
      <c r="R307" s="140"/>
      <c r="S307" s="140" t="s">
        <v>275</v>
      </c>
      <c r="T307" s="135" t="s">
        <v>745</v>
      </c>
      <c r="U307" s="120">
        <f>П4ВСР!Z246</f>
        <v>0</v>
      </c>
      <c r="V307" s="120">
        <f>П4ВСР!AA246</f>
        <v>0</v>
      </c>
      <c r="W307" s="120">
        <f>П4ВСР!AB246</f>
        <v>0</v>
      </c>
      <c r="X307" s="118" t="s">
        <v>365</v>
      </c>
    </row>
    <row r="308" spans="1:27" ht="70.5" customHeight="1" x14ac:dyDescent="0.25">
      <c r="A308" s="118"/>
      <c r="B308" s="140" t="s">
        <v>124</v>
      </c>
      <c r="C308" s="140" t="s">
        <v>123</v>
      </c>
      <c r="D308" s="234" t="s">
        <v>1483</v>
      </c>
      <c r="E308" s="140"/>
      <c r="F308" s="140"/>
      <c r="G308" s="140"/>
      <c r="H308" s="140"/>
      <c r="I308" s="140"/>
      <c r="J308" s="140"/>
      <c r="K308" s="140"/>
      <c r="L308" s="140"/>
      <c r="M308" s="140"/>
      <c r="N308" s="140"/>
      <c r="O308" s="140"/>
      <c r="P308" s="140"/>
      <c r="Q308" s="140"/>
      <c r="R308" s="140"/>
      <c r="S308" s="140"/>
      <c r="T308" s="258" t="s">
        <v>1482</v>
      </c>
      <c r="U308" s="120">
        <f>U309</f>
        <v>2000000</v>
      </c>
      <c r="V308" s="120">
        <v>0</v>
      </c>
      <c r="W308" s="120">
        <v>0</v>
      </c>
      <c r="X308" s="118"/>
    </row>
    <row r="309" spans="1:27" ht="51" customHeight="1" x14ac:dyDescent="0.25">
      <c r="A309" s="118"/>
      <c r="B309" s="140" t="s">
        <v>124</v>
      </c>
      <c r="C309" s="140" t="s">
        <v>123</v>
      </c>
      <c r="D309" s="234" t="s">
        <v>1483</v>
      </c>
      <c r="E309" s="140"/>
      <c r="F309" s="140"/>
      <c r="G309" s="140"/>
      <c r="H309" s="140"/>
      <c r="I309" s="140"/>
      <c r="J309" s="140"/>
      <c r="K309" s="140"/>
      <c r="L309" s="140"/>
      <c r="M309" s="140"/>
      <c r="N309" s="140"/>
      <c r="O309" s="140"/>
      <c r="P309" s="140"/>
      <c r="Q309" s="140"/>
      <c r="R309" s="140"/>
      <c r="S309" s="140" t="s">
        <v>275</v>
      </c>
      <c r="T309" s="135" t="s">
        <v>565</v>
      </c>
      <c r="U309" s="221">
        <f>П4ВСР!Z247</f>
        <v>2000000</v>
      </c>
      <c r="V309" s="120">
        <v>0</v>
      </c>
      <c r="W309" s="120">
        <v>0</v>
      </c>
      <c r="X309" s="118"/>
    </row>
    <row r="310" spans="1:27" ht="18.600000000000001" customHeight="1" x14ac:dyDescent="0.25">
      <c r="A310" s="116" t="s">
        <v>366</v>
      </c>
      <c r="B310" s="126" t="s">
        <v>138</v>
      </c>
      <c r="C310" s="126" t="s">
        <v>133</v>
      </c>
      <c r="D310" s="126"/>
      <c r="E310" s="126"/>
      <c r="F310" s="126"/>
      <c r="G310" s="126"/>
      <c r="H310" s="126"/>
      <c r="I310" s="126"/>
      <c r="J310" s="126"/>
      <c r="K310" s="126"/>
      <c r="L310" s="126"/>
      <c r="M310" s="126"/>
      <c r="N310" s="126"/>
      <c r="O310" s="126"/>
      <c r="P310" s="126"/>
      <c r="Q310" s="126"/>
      <c r="R310" s="126"/>
      <c r="S310" s="126"/>
      <c r="T310" s="116" t="s">
        <v>366</v>
      </c>
      <c r="U310" s="117">
        <f>U311+U326+U378+U403+U371</f>
        <v>491770800.21999997</v>
      </c>
      <c r="V310" s="117">
        <f>V311+V326+V378+V403+V371</f>
        <v>471885856.39999992</v>
      </c>
      <c r="W310" s="117">
        <f>W311+W326+W378+W403+W371</f>
        <v>495532900.21999997</v>
      </c>
      <c r="X310" s="116" t="s">
        <v>366</v>
      </c>
    </row>
    <row r="311" spans="1:27" ht="18.600000000000001" customHeight="1" x14ac:dyDescent="0.25">
      <c r="A311" s="118" t="s">
        <v>155</v>
      </c>
      <c r="B311" s="119" t="s">
        <v>138</v>
      </c>
      <c r="C311" s="119" t="s">
        <v>122</v>
      </c>
      <c r="D311" s="119"/>
      <c r="E311" s="119"/>
      <c r="F311" s="119"/>
      <c r="G311" s="119"/>
      <c r="H311" s="119"/>
      <c r="I311" s="119"/>
      <c r="J311" s="119"/>
      <c r="K311" s="119"/>
      <c r="L311" s="119"/>
      <c r="M311" s="119"/>
      <c r="N311" s="119"/>
      <c r="O311" s="119"/>
      <c r="P311" s="119"/>
      <c r="Q311" s="119"/>
      <c r="R311" s="119"/>
      <c r="S311" s="119"/>
      <c r="T311" s="118" t="s">
        <v>155</v>
      </c>
      <c r="U311" s="120">
        <f>U312+U318+U320+U322+U324+U314+U316</f>
        <v>130011129.13999999</v>
      </c>
      <c r="V311" s="120">
        <f>V312+V318+V320+V322+V324+V314+V316</f>
        <v>136187868.88999999</v>
      </c>
      <c r="W311" s="120">
        <f>W312+W318+W320+W322+W324+W314+W316</f>
        <v>148067405.03</v>
      </c>
      <c r="X311" s="118" t="s">
        <v>155</v>
      </c>
    </row>
    <row r="312" spans="1:27" ht="0.75" customHeight="1" x14ac:dyDescent="0.25">
      <c r="A312" s="118"/>
      <c r="B312" s="161" t="s">
        <v>138</v>
      </c>
      <c r="C312" s="161" t="s">
        <v>122</v>
      </c>
      <c r="D312" s="161" t="s">
        <v>765</v>
      </c>
      <c r="E312" s="161"/>
      <c r="F312" s="161"/>
      <c r="G312" s="161"/>
      <c r="H312" s="161"/>
      <c r="I312" s="161"/>
      <c r="J312" s="161"/>
      <c r="K312" s="161"/>
      <c r="L312" s="161"/>
      <c r="M312" s="161"/>
      <c r="N312" s="161"/>
      <c r="O312" s="161"/>
      <c r="P312" s="161"/>
      <c r="Q312" s="161"/>
      <c r="R312" s="161"/>
      <c r="S312" s="161"/>
      <c r="T312" s="289" t="s">
        <v>766</v>
      </c>
      <c r="U312" s="120">
        <f>U313</f>
        <v>0</v>
      </c>
      <c r="V312" s="120">
        <f>V313</f>
        <v>0</v>
      </c>
      <c r="W312" s="120">
        <f>W313</f>
        <v>0</v>
      </c>
      <c r="X312" s="118"/>
    </row>
    <row r="313" spans="1:27" ht="102" hidden="1" customHeight="1" x14ac:dyDescent="0.25">
      <c r="A313" s="118"/>
      <c r="B313" s="136" t="s">
        <v>138</v>
      </c>
      <c r="C313" s="136" t="s">
        <v>122</v>
      </c>
      <c r="D313" s="161" t="s">
        <v>765</v>
      </c>
      <c r="E313" s="136"/>
      <c r="F313" s="136"/>
      <c r="G313" s="136"/>
      <c r="H313" s="136"/>
      <c r="I313" s="136"/>
      <c r="J313" s="136"/>
      <c r="K313" s="136"/>
      <c r="L313" s="136"/>
      <c r="M313" s="136"/>
      <c r="N313" s="136"/>
      <c r="O313" s="136"/>
      <c r="P313" s="136"/>
      <c r="Q313" s="136"/>
      <c r="R313" s="136"/>
      <c r="S313" s="136" t="s">
        <v>294</v>
      </c>
      <c r="T313" s="135" t="s">
        <v>764</v>
      </c>
      <c r="U313" s="120">
        <f>П4ВСР!Z545</f>
        <v>0</v>
      </c>
      <c r="V313" s="120">
        <f>П4ВСР!AA545</f>
        <v>0</v>
      </c>
      <c r="W313" s="120">
        <f>П4ВСР!AB545</f>
        <v>0</v>
      </c>
      <c r="X313" s="118"/>
    </row>
    <row r="314" spans="1:27" ht="173.25" customHeight="1" x14ac:dyDescent="0.25">
      <c r="A314" s="118"/>
      <c r="B314" s="136" t="s">
        <v>138</v>
      </c>
      <c r="C314" s="136" t="s">
        <v>122</v>
      </c>
      <c r="D314" s="161" t="s">
        <v>779</v>
      </c>
      <c r="E314" s="136"/>
      <c r="F314" s="136"/>
      <c r="G314" s="136"/>
      <c r="H314" s="136"/>
      <c r="I314" s="136"/>
      <c r="J314" s="136"/>
      <c r="K314" s="136"/>
      <c r="L314" s="136"/>
      <c r="M314" s="136"/>
      <c r="N314" s="136"/>
      <c r="O314" s="136"/>
      <c r="P314" s="136"/>
      <c r="Q314" s="136"/>
      <c r="R314" s="136"/>
      <c r="S314" s="136"/>
      <c r="T314" s="153" t="s">
        <v>1266</v>
      </c>
      <c r="U314" s="120">
        <f>U315</f>
        <v>300000</v>
      </c>
      <c r="V314" s="120">
        <f>V315</f>
        <v>100000</v>
      </c>
      <c r="W314" s="120">
        <f>W315</f>
        <v>100000</v>
      </c>
      <c r="X314" s="118"/>
      <c r="AA314" s="127"/>
    </row>
    <row r="315" spans="1:27" ht="61.5" customHeight="1" x14ac:dyDescent="0.25">
      <c r="A315" s="118"/>
      <c r="B315" s="136" t="s">
        <v>138</v>
      </c>
      <c r="C315" s="136" t="s">
        <v>122</v>
      </c>
      <c r="D315" s="161" t="s">
        <v>779</v>
      </c>
      <c r="E315" s="136"/>
      <c r="F315" s="136"/>
      <c r="G315" s="136"/>
      <c r="H315" s="136"/>
      <c r="I315" s="136"/>
      <c r="J315" s="136"/>
      <c r="K315" s="136"/>
      <c r="L315" s="136"/>
      <c r="M315" s="136"/>
      <c r="N315" s="136"/>
      <c r="O315" s="136"/>
      <c r="P315" s="136"/>
      <c r="Q315" s="136"/>
      <c r="R315" s="136"/>
      <c r="S315" s="136" t="s">
        <v>294</v>
      </c>
      <c r="T315" s="135" t="s">
        <v>711</v>
      </c>
      <c r="U315" s="120">
        <f>П4ВСР!Z546</f>
        <v>300000</v>
      </c>
      <c r="V315" s="120">
        <f>П4ВСР!AA546</f>
        <v>100000</v>
      </c>
      <c r="W315" s="120">
        <f>П4ВСР!AB546</f>
        <v>100000</v>
      </c>
      <c r="X315" s="118"/>
      <c r="AA315" s="127"/>
    </row>
    <row r="316" spans="1:27" ht="140.25" customHeight="1" x14ac:dyDescent="0.25">
      <c r="A316" s="118"/>
      <c r="B316" s="136" t="s">
        <v>138</v>
      </c>
      <c r="C316" s="136" t="s">
        <v>122</v>
      </c>
      <c r="D316" s="161" t="s">
        <v>1112</v>
      </c>
      <c r="E316" s="136"/>
      <c r="F316" s="136"/>
      <c r="G316" s="136"/>
      <c r="H316" s="136"/>
      <c r="I316" s="136"/>
      <c r="J316" s="136"/>
      <c r="K316" s="136"/>
      <c r="L316" s="136"/>
      <c r="M316" s="136"/>
      <c r="N316" s="136"/>
      <c r="O316" s="136"/>
      <c r="P316" s="136"/>
      <c r="Q316" s="136"/>
      <c r="R316" s="136"/>
      <c r="S316" s="136"/>
      <c r="T316" s="155" t="s">
        <v>1349</v>
      </c>
      <c r="U316" s="120">
        <f>U317</f>
        <v>66011123.019999996</v>
      </c>
      <c r="V316" s="120">
        <f>V317</f>
        <v>73403958.049999997</v>
      </c>
      <c r="W316" s="120">
        <f>W317</f>
        <v>73611170.960000008</v>
      </c>
      <c r="X316" s="118"/>
      <c r="AA316" s="127"/>
    </row>
    <row r="317" spans="1:27" ht="60.75" customHeight="1" x14ac:dyDescent="0.25">
      <c r="A317" s="118"/>
      <c r="B317" s="136" t="s">
        <v>138</v>
      </c>
      <c r="C317" s="136" t="s">
        <v>122</v>
      </c>
      <c r="D317" s="161" t="s">
        <v>1112</v>
      </c>
      <c r="E317" s="136"/>
      <c r="F317" s="136"/>
      <c r="G317" s="136"/>
      <c r="H317" s="136"/>
      <c r="I317" s="136"/>
      <c r="J317" s="136"/>
      <c r="K317" s="136"/>
      <c r="L317" s="136"/>
      <c r="M317" s="136"/>
      <c r="N317" s="136"/>
      <c r="O317" s="136"/>
      <c r="P317" s="136"/>
      <c r="Q317" s="136"/>
      <c r="R317" s="136"/>
      <c r="S317" s="136" t="s">
        <v>294</v>
      </c>
      <c r="T317" s="135" t="s">
        <v>711</v>
      </c>
      <c r="U317" s="120">
        <f>П4ВСР!Z548</f>
        <v>66011123.019999996</v>
      </c>
      <c r="V317" s="120">
        <f>П4ВСР!AA548</f>
        <v>73403958.049999997</v>
      </c>
      <c r="W317" s="120">
        <f>П4ВСР!AB548</f>
        <v>73611170.960000008</v>
      </c>
      <c r="X317" s="118"/>
      <c r="AA317" s="127"/>
    </row>
    <row r="318" spans="1:27" ht="127.5" customHeight="1" x14ac:dyDescent="0.25">
      <c r="A318" s="118" t="s">
        <v>429</v>
      </c>
      <c r="B318" s="161" t="s">
        <v>138</v>
      </c>
      <c r="C318" s="161" t="s">
        <v>122</v>
      </c>
      <c r="D318" s="161" t="s">
        <v>623</v>
      </c>
      <c r="E318" s="161"/>
      <c r="F318" s="161"/>
      <c r="G318" s="161"/>
      <c r="H318" s="161"/>
      <c r="I318" s="161"/>
      <c r="J318" s="161"/>
      <c r="K318" s="161"/>
      <c r="L318" s="161"/>
      <c r="M318" s="161"/>
      <c r="N318" s="161"/>
      <c r="O318" s="161"/>
      <c r="P318" s="161"/>
      <c r="Q318" s="161"/>
      <c r="R318" s="161"/>
      <c r="S318" s="161"/>
      <c r="T318" s="153" t="s">
        <v>1428</v>
      </c>
      <c r="U318" s="120">
        <f>U319</f>
        <v>7500000</v>
      </c>
      <c r="V318" s="120">
        <f>V319</f>
        <v>0</v>
      </c>
      <c r="W318" s="120">
        <f>W319</f>
        <v>0</v>
      </c>
      <c r="X318" s="118" t="s">
        <v>429</v>
      </c>
    </row>
    <row r="319" spans="1:27" ht="71.25" customHeight="1" x14ac:dyDescent="0.25">
      <c r="A319" s="118" t="s">
        <v>430</v>
      </c>
      <c r="B319" s="136" t="s">
        <v>138</v>
      </c>
      <c r="C319" s="136" t="s">
        <v>122</v>
      </c>
      <c r="D319" s="161" t="s">
        <v>623</v>
      </c>
      <c r="E319" s="136"/>
      <c r="F319" s="136"/>
      <c r="G319" s="136"/>
      <c r="H319" s="136"/>
      <c r="I319" s="136"/>
      <c r="J319" s="136"/>
      <c r="K319" s="136"/>
      <c r="L319" s="136"/>
      <c r="M319" s="136"/>
      <c r="N319" s="136"/>
      <c r="O319" s="136"/>
      <c r="P319" s="136"/>
      <c r="Q319" s="136"/>
      <c r="R319" s="136"/>
      <c r="S319" s="136" t="s">
        <v>294</v>
      </c>
      <c r="T319" s="135" t="s">
        <v>711</v>
      </c>
      <c r="U319" s="120">
        <f>П4ВСР!Z551</f>
        <v>7500000</v>
      </c>
      <c r="V319" s="120">
        <f>П4ВСР!AA551</f>
        <v>0</v>
      </c>
      <c r="W319" s="120">
        <f>П4ВСР!AB551</f>
        <v>0</v>
      </c>
      <c r="X319" s="118" t="s">
        <v>430</v>
      </c>
    </row>
    <row r="320" spans="1:27" ht="112.5" customHeight="1" x14ac:dyDescent="0.25">
      <c r="A320" s="118" t="s">
        <v>431</v>
      </c>
      <c r="B320" s="161" t="s">
        <v>138</v>
      </c>
      <c r="C320" s="161" t="s">
        <v>122</v>
      </c>
      <c r="D320" s="161" t="s">
        <v>624</v>
      </c>
      <c r="E320" s="161"/>
      <c r="F320" s="161"/>
      <c r="G320" s="161"/>
      <c r="H320" s="161"/>
      <c r="I320" s="161"/>
      <c r="J320" s="161"/>
      <c r="K320" s="161"/>
      <c r="L320" s="161"/>
      <c r="M320" s="161"/>
      <c r="N320" s="161"/>
      <c r="O320" s="161"/>
      <c r="P320" s="161"/>
      <c r="Q320" s="161"/>
      <c r="R320" s="161"/>
      <c r="S320" s="161"/>
      <c r="T320" s="153" t="s">
        <v>1267</v>
      </c>
      <c r="U320" s="120">
        <f>U321</f>
        <v>3100000</v>
      </c>
      <c r="V320" s="120">
        <f>V321</f>
        <v>4241441.93</v>
      </c>
      <c r="W320" s="120">
        <f>W321</f>
        <v>4734115.1599999992</v>
      </c>
      <c r="X320" s="118" t="s">
        <v>431</v>
      </c>
      <c r="AA320" s="127"/>
    </row>
    <row r="321" spans="1:27" ht="60" customHeight="1" x14ac:dyDescent="0.25">
      <c r="A321" s="118" t="s">
        <v>432</v>
      </c>
      <c r="B321" s="136" t="s">
        <v>138</v>
      </c>
      <c r="C321" s="136" t="s">
        <v>122</v>
      </c>
      <c r="D321" s="161" t="s">
        <v>624</v>
      </c>
      <c r="E321" s="136"/>
      <c r="F321" s="136"/>
      <c r="G321" s="136"/>
      <c r="H321" s="136"/>
      <c r="I321" s="136"/>
      <c r="J321" s="136"/>
      <c r="K321" s="136"/>
      <c r="L321" s="136"/>
      <c r="M321" s="136"/>
      <c r="N321" s="136"/>
      <c r="O321" s="136"/>
      <c r="P321" s="136"/>
      <c r="Q321" s="136"/>
      <c r="R321" s="136"/>
      <c r="S321" s="136" t="s">
        <v>294</v>
      </c>
      <c r="T321" s="135" t="s">
        <v>711</v>
      </c>
      <c r="U321" s="120">
        <f>П4ВСР!Z553</f>
        <v>3100000</v>
      </c>
      <c r="V321" s="120">
        <f>П4ВСР!AA553</f>
        <v>4241441.93</v>
      </c>
      <c r="W321" s="120">
        <f>П4ВСР!AB553</f>
        <v>4734115.1599999992</v>
      </c>
      <c r="X321" s="118" t="s">
        <v>432</v>
      </c>
      <c r="AA321" s="127"/>
    </row>
    <row r="322" spans="1:27" ht="308.25" customHeight="1" x14ac:dyDescent="0.25">
      <c r="A322" s="124" t="s">
        <v>234</v>
      </c>
      <c r="B322" s="164" t="s">
        <v>138</v>
      </c>
      <c r="C322" s="164" t="s">
        <v>122</v>
      </c>
      <c r="D322" s="164" t="s">
        <v>708</v>
      </c>
      <c r="E322" s="161"/>
      <c r="F322" s="161"/>
      <c r="G322" s="161"/>
      <c r="H322" s="161"/>
      <c r="I322" s="161"/>
      <c r="J322" s="161"/>
      <c r="K322" s="161"/>
      <c r="L322" s="161"/>
      <c r="M322" s="161"/>
      <c r="N322" s="161"/>
      <c r="O322" s="161"/>
      <c r="P322" s="161"/>
      <c r="Q322" s="161"/>
      <c r="R322" s="161"/>
      <c r="S322" s="161"/>
      <c r="T322" s="287" t="s">
        <v>1312</v>
      </c>
      <c r="U322" s="120">
        <f>U323</f>
        <v>52920006.119999997</v>
      </c>
      <c r="V322" s="120">
        <f>V323</f>
        <v>58122468.909999996</v>
      </c>
      <c r="W322" s="120">
        <f>W323</f>
        <v>69302118.909999996</v>
      </c>
      <c r="X322" s="124" t="s">
        <v>234</v>
      </c>
      <c r="AA322" s="127"/>
    </row>
    <row r="323" spans="1:27" ht="57.75" customHeight="1" thickBot="1" x14ac:dyDescent="0.3">
      <c r="A323" s="124" t="s">
        <v>433</v>
      </c>
      <c r="B323" s="136" t="s">
        <v>138</v>
      </c>
      <c r="C323" s="136" t="s">
        <v>122</v>
      </c>
      <c r="D323" s="164" t="s">
        <v>708</v>
      </c>
      <c r="E323" s="136"/>
      <c r="F323" s="136"/>
      <c r="G323" s="136"/>
      <c r="H323" s="136"/>
      <c r="I323" s="136"/>
      <c r="J323" s="136"/>
      <c r="K323" s="136"/>
      <c r="L323" s="136"/>
      <c r="M323" s="136"/>
      <c r="N323" s="136"/>
      <c r="O323" s="136"/>
      <c r="P323" s="136"/>
      <c r="Q323" s="136"/>
      <c r="R323" s="136"/>
      <c r="S323" s="136" t="s">
        <v>294</v>
      </c>
      <c r="T323" s="154" t="s">
        <v>711</v>
      </c>
      <c r="U323" s="120">
        <f>П4ВСР!Z555</f>
        <v>52920006.119999997</v>
      </c>
      <c r="V323" s="120">
        <f>П4ВСР!AA555</f>
        <v>58122468.909999996</v>
      </c>
      <c r="W323" s="120">
        <f>П4ВСР!AB555</f>
        <v>69302118.909999996</v>
      </c>
      <c r="X323" s="124" t="s">
        <v>433</v>
      </c>
      <c r="AA323" s="127"/>
    </row>
    <row r="324" spans="1:27" ht="111.75" customHeight="1" thickBot="1" x14ac:dyDescent="0.3">
      <c r="A324" s="124"/>
      <c r="B324" s="136" t="s">
        <v>138</v>
      </c>
      <c r="C324" s="136" t="s">
        <v>122</v>
      </c>
      <c r="D324" s="161" t="s">
        <v>613</v>
      </c>
      <c r="E324" s="136"/>
      <c r="F324" s="136"/>
      <c r="G324" s="136"/>
      <c r="H324" s="136"/>
      <c r="I324" s="136"/>
      <c r="J324" s="136"/>
      <c r="K324" s="136"/>
      <c r="L324" s="136"/>
      <c r="M324" s="136"/>
      <c r="N324" s="136"/>
      <c r="O324" s="136"/>
      <c r="P324" s="136"/>
      <c r="Q324" s="136"/>
      <c r="R324" s="136"/>
      <c r="S324" s="136"/>
      <c r="T324" s="165" t="s">
        <v>612</v>
      </c>
      <c r="U324" s="120">
        <f>U325</f>
        <v>180000</v>
      </c>
      <c r="V324" s="120">
        <f>V325</f>
        <v>320000</v>
      </c>
      <c r="W324" s="120">
        <f>W325</f>
        <v>320000</v>
      </c>
      <c r="X324" s="124"/>
    </row>
    <row r="325" spans="1:27" ht="74.25" customHeight="1" x14ac:dyDescent="0.25">
      <c r="A325" s="124"/>
      <c r="B325" s="136" t="s">
        <v>138</v>
      </c>
      <c r="C325" s="136" t="s">
        <v>122</v>
      </c>
      <c r="D325" s="161" t="s">
        <v>613</v>
      </c>
      <c r="E325" s="136"/>
      <c r="F325" s="136"/>
      <c r="G325" s="136"/>
      <c r="H325" s="136"/>
      <c r="I325" s="136"/>
      <c r="J325" s="136"/>
      <c r="K325" s="136"/>
      <c r="L325" s="136"/>
      <c r="M325" s="136"/>
      <c r="N325" s="136"/>
      <c r="O325" s="136"/>
      <c r="P325" s="136"/>
      <c r="Q325" s="136"/>
      <c r="R325" s="136"/>
      <c r="S325" s="136" t="s">
        <v>294</v>
      </c>
      <c r="T325" s="226" t="s">
        <v>711</v>
      </c>
      <c r="U325" s="120">
        <f>П4ВСР!Z557</f>
        <v>180000</v>
      </c>
      <c r="V325" s="120">
        <f>П4ВСР!AA557</f>
        <v>320000</v>
      </c>
      <c r="W325" s="120">
        <f>П4ВСР!AB557</f>
        <v>320000</v>
      </c>
      <c r="X325" s="124"/>
    </row>
    <row r="326" spans="1:27" ht="17.25" customHeight="1" x14ac:dyDescent="0.25">
      <c r="A326" s="118" t="s">
        <v>156</v>
      </c>
      <c r="B326" s="119" t="s">
        <v>138</v>
      </c>
      <c r="C326" s="119" t="s">
        <v>132</v>
      </c>
      <c r="D326" s="119"/>
      <c r="E326" s="119"/>
      <c r="F326" s="119"/>
      <c r="G326" s="119"/>
      <c r="H326" s="119"/>
      <c r="I326" s="119"/>
      <c r="J326" s="119"/>
      <c r="K326" s="119"/>
      <c r="L326" s="119"/>
      <c r="M326" s="119"/>
      <c r="N326" s="119"/>
      <c r="O326" s="119"/>
      <c r="P326" s="119"/>
      <c r="Q326" s="119"/>
      <c r="R326" s="119"/>
      <c r="S326" s="119"/>
      <c r="T326" s="118" t="s">
        <v>156</v>
      </c>
      <c r="U326" s="120">
        <f>U327+U331+U335+U337+U339+U341+U345+U347+U359+U361+U363+U365+U367+U369+U329+U349+U357+U351+U353+U355+U333+U343</f>
        <v>318597586.42000002</v>
      </c>
      <c r="V326" s="120">
        <f>V327+V331+V335+V337+V339+V341+V345+V347+V359+V361+V363+V365+V367+V369+V329+V333+V349</f>
        <v>297315831.83999997</v>
      </c>
      <c r="W326" s="120">
        <f>W327+W331+W335+W337+W339+W341+W345+W347+W359+W361+W363+W365+W367+W369+W329+W333+W349</f>
        <v>311275245.13999999</v>
      </c>
      <c r="X326" s="118" t="s">
        <v>156</v>
      </c>
    </row>
    <row r="327" spans="1:27" ht="180" hidden="1" customHeight="1" x14ac:dyDescent="0.25">
      <c r="A327" s="118" t="s">
        <v>434</v>
      </c>
      <c r="B327" s="161" t="s">
        <v>138</v>
      </c>
      <c r="C327" s="161" t="s">
        <v>132</v>
      </c>
      <c r="D327" s="161" t="s">
        <v>765</v>
      </c>
      <c r="E327" s="161"/>
      <c r="F327" s="161"/>
      <c r="G327" s="161"/>
      <c r="H327" s="161"/>
      <c r="I327" s="161"/>
      <c r="J327" s="161"/>
      <c r="K327" s="161"/>
      <c r="L327" s="161"/>
      <c r="M327" s="161"/>
      <c r="N327" s="161"/>
      <c r="O327" s="161"/>
      <c r="P327" s="161"/>
      <c r="Q327" s="161"/>
      <c r="R327" s="161"/>
      <c r="S327" s="161"/>
      <c r="T327" s="289" t="s">
        <v>766</v>
      </c>
      <c r="U327" s="120">
        <f>U328</f>
        <v>0</v>
      </c>
      <c r="V327" s="120">
        <f>V328</f>
        <v>0</v>
      </c>
      <c r="W327" s="120">
        <f>W328</f>
        <v>0</v>
      </c>
      <c r="X327" s="118" t="s">
        <v>434</v>
      </c>
    </row>
    <row r="328" spans="1:27" ht="104.25" hidden="1" customHeight="1" x14ac:dyDescent="0.25">
      <c r="A328" s="118" t="s">
        <v>435</v>
      </c>
      <c r="B328" s="136" t="s">
        <v>138</v>
      </c>
      <c r="C328" s="136" t="s">
        <v>132</v>
      </c>
      <c r="D328" s="161" t="s">
        <v>765</v>
      </c>
      <c r="E328" s="136"/>
      <c r="F328" s="136"/>
      <c r="G328" s="136"/>
      <c r="H328" s="136"/>
      <c r="I328" s="136"/>
      <c r="J328" s="136"/>
      <c r="K328" s="136"/>
      <c r="L328" s="136"/>
      <c r="M328" s="136"/>
      <c r="N328" s="136"/>
      <c r="O328" s="136"/>
      <c r="P328" s="136"/>
      <c r="Q328" s="136"/>
      <c r="R328" s="136"/>
      <c r="S328" s="136" t="s">
        <v>294</v>
      </c>
      <c r="T328" s="135" t="s">
        <v>764</v>
      </c>
      <c r="U328" s="120">
        <f>П4ВСР!Z560</f>
        <v>0</v>
      </c>
      <c r="V328" s="120">
        <f>П4ВСР!AA560</f>
        <v>0</v>
      </c>
      <c r="W328" s="120">
        <f>П4ВСР!AB560</f>
        <v>0</v>
      </c>
      <c r="X328" s="118" t="s">
        <v>435</v>
      </c>
    </row>
    <row r="329" spans="1:27" ht="175.5" customHeight="1" x14ac:dyDescent="0.25">
      <c r="A329" s="118"/>
      <c r="B329" s="136" t="s">
        <v>138</v>
      </c>
      <c r="C329" s="136" t="s">
        <v>132</v>
      </c>
      <c r="D329" s="161" t="s">
        <v>779</v>
      </c>
      <c r="E329" s="136"/>
      <c r="F329" s="136"/>
      <c r="G329" s="136"/>
      <c r="H329" s="136"/>
      <c r="I329" s="136"/>
      <c r="J329" s="136"/>
      <c r="K329" s="136"/>
      <c r="L329" s="136"/>
      <c r="M329" s="136"/>
      <c r="N329" s="136"/>
      <c r="O329" s="136"/>
      <c r="P329" s="136"/>
      <c r="Q329" s="136"/>
      <c r="R329" s="136"/>
      <c r="S329" s="136"/>
      <c r="T329" s="153" t="s">
        <v>1266</v>
      </c>
      <c r="U329" s="120">
        <f>U330</f>
        <v>3000000</v>
      </c>
      <c r="V329" s="120">
        <f>V330</f>
        <v>500000</v>
      </c>
      <c r="W329" s="120">
        <f>W330</f>
        <v>500000</v>
      </c>
      <c r="X329" s="118"/>
    </row>
    <row r="330" spans="1:27" ht="63.75" customHeight="1" x14ac:dyDescent="0.25">
      <c r="A330" s="118"/>
      <c r="B330" s="136" t="s">
        <v>138</v>
      </c>
      <c r="C330" s="136" t="s">
        <v>132</v>
      </c>
      <c r="D330" s="161" t="s">
        <v>779</v>
      </c>
      <c r="E330" s="136"/>
      <c r="F330" s="136"/>
      <c r="G330" s="136"/>
      <c r="H330" s="136"/>
      <c r="I330" s="136"/>
      <c r="J330" s="136"/>
      <c r="K330" s="136"/>
      <c r="L330" s="136"/>
      <c r="M330" s="136"/>
      <c r="N330" s="136"/>
      <c r="O330" s="136"/>
      <c r="P330" s="136"/>
      <c r="Q330" s="136"/>
      <c r="R330" s="136"/>
      <c r="S330" s="136" t="s">
        <v>294</v>
      </c>
      <c r="T330" s="135" t="s">
        <v>711</v>
      </c>
      <c r="U330" s="120">
        <f>П4ВСР!Z561</f>
        <v>3000000</v>
      </c>
      <c r="V330" s="120">
        <f>П4ВСР!AA561</f>
        <v>500000</v>
      </c>
      <c r="W330" s="120">
        <f>П4ВСР!AB561</f>
        <v>500000</v>
      </c>
      <c r="X330" s="118"/>
    </row>
    <row r="331" spans="1:27" ht="187.5" customHeight="1" x14ac:dyDescent="0.25">
      <c r="A331" s="118" t="s">
        <v>438</v>
      </c>
      <c r="B331" s="161" t="s">
        <v>138</v>
      </c>
      <c r="C331" s="161" t="s">
        <v>132</v>
      </c>
      <c r="D331" s="161" t="s">
        <v>625</v>
      </c>
      <c r="E331" s="161"/>
      <c r="F331" s="161"/>
      <c r="G331" s="161"/>
      <c r="H331" s="161"/>
      <c r="I331" s="161"/>
      <c r="J331" s="161"/>
      <c r="K331" s="161"/>
      <c r="L331" s="161"/>
      <c r="M331" s="161"/>
      <c r="N331" s="161"/>
      <c r="O331" s="161"/>
      <c r="P331" s="161"/>
      <c r="Q331" s="161"/>
      <c r="R331" s="161"/>
      <c r="S331" s="161"/>
      <c r="T331" s="153" t="s">
        <v>1268</v>
      </c>
      <c r="U331" s="120">
        <f>U332</f>
        <v>200000</v>
      </c>
      <c r="V331" s="120">
        <f>V332</f>
        <v>100000</v>
      </c>
      <c r="W331" s="120">
        <f>W332</f>
        <v>100000</v>
      </c>
      <c r="X331" s="118" t="s">
        <v>438</v>
      </c>
    </row>
    <row r="332" spans="1:27" ht="59.25" customHeight="1" x14ac:dyDescent="0.25">
      <c r="A332" s="118" t="s">
        <v>439</v>
      </c>
      <c r="B332" s="136" t="s">
        <v>138</v>
      </c>
      <c r="C332" s="136" t="s">
        <v>132</v>
      </c>
      <c r="D332" s="161" t="s">
        <v>625</v>
      </c>
      <c r="E332" s="136"/>
      <c r="F332" s="136"/>
      <c r="G332" s="136"/>
      <c r="H332" s="136"/>
      <c r="I332" s="136"/>
      <c r="J332" s="136"/>
      <c r="K332" s="136"/>
      <c r="L332" s="136"/>
      <c r="M332" s="136"/>
      <c r="N332" s="136"/>
      <c r="O332" s="136"/>
      <c r="P332" s="136"/>
      <c r="Q332" s="136"/>
      <c r="R332" s="136"/>
      <c r="S332" s="136" t="s">
        <v>294</v>
      </c>
      <c r="T332" s="135" t="s">
        <v>711</v>
      </c>
      <c r="U332" s="120">
        <f>П4ВСР!Z564</f>
        <v>200000</v>
      </c>
      <c r="V332" s="120">
        <f>П4ВСР!AA564</f>
        <v>100000</v>
      </c>
      <c r="W332" s="120">
        <f>П4ВСР!AB564</f>
        <v>100000</v>
      </c>
      <c r="X332" s="118" t="s">
        <v>439</v>
      </c>
    </row>
    <row r="333" spans="1:27" ht="138" customHeight="1" x14ac:dyDescent="0.25">
      <c r="A333" s="118"/>
      <c r="B333" s="136" t="s">
        <v>138</v>
      </c>
      <c r="C333" s="136" t="s">
        <v>132</v>
      </c>
      <c r="D333" s="161" t="s">
        <v>1112</v>
      </c>
      <c r="E333" s="136"/>
      <c r="F333" s="136"/>
      <c r="G333" s="136"/>
      <c r="H333" s="136"/>
      <c r="I333" s="136"/>
      <c r="J333" s="136"/>
      <c r="K333" s="136"/>
      <c r="L333" s="136"/>
      <c r="M333" s="136"/>
      <c r="N333" s="136"/>
      <c r="O333" s="136"/>
      <c r="P333" s="136"/>
      <c r="Q333" s="136"/>
      <c r="R333" s="136"/>
      <c r="S333" s="136"/>
      <c r="T333" s="155" t="s">
        <v>1350</v>
      </c>
      <c r="U333" s="120">
        <f>U334</f>
        <v>83579408.559999987</v>
      </c>
      <c r="V333" s="120">
        <f>V334</f>
        <v>89623372.480000004</v>
      </c>
      <c r="W333" s="120">
        <f>W334</f>
        <v>96421035.700000003</v>
      </c>
      <c r="X333" s="118"/>
    </row>
    <row r="334" spans="1:27" ht="69" customHeight="1" x14ac:dyDescent="0.25">
      <c r="A334" s="118"/>
      <c r="B334" s="136" t="s">
        <v>138</v>
      </c>
      <c r="C334" s="136" t="s">
        <v>132</v>
      </c>
      <c r="D334" s="161" t="s">
        <v>1112</v>
      </c>
      <c r="E334" s="136"/>
      <c r="F334" s="136"/>
      <c r="G334" s="136"/>
      <c r="H334" s="136"/>
      <c r="I334" s="136"/>
      <c r="J334" s="136"/>
      <c r="K334" s="136"/>
      <c r="L334" s="136"/>
      <c r="M334" s="136"/>
      <c r="N334" s="136"/>
      <c r="O334" s="136"/>
      <c r="P334" s="136"/>
      <c r="Q334" s="136"/>
      <c r="R334" s="136"/>
      <c r="S334" s="136" t="s">
        <v>294</v>
      </c>
      <c r="T334" s="135" t="s">
        <v>711</v>
      </c>
      <c r="U334" s="120">
        <f>П4ВСР!Z565</f>
        <v>83579408.559999987</v>
      </c>
      <c r="V334" s="120">
        <f>П4ВСР!AA565</f>
        <v>89623372.480000004</v>
      </c>
      <c r="W334" s="120">
        <f>П4ВСР!AB565</f>
        <v>96421035.700000003</v>
      </c>
      <c r="X334" s="118"/>
    </row>
    <row r="335" spans="1:27" ht="147" customHeight="1" x14ac:dyDescent="0.25">
      <c r="A335" s="118" t="s">
        <v>440</v>
      </c>
      <c r="B335" s="161" t="s">
        <v>138</v>
      </c>
      <c r="C335" s="161" t="s">
        <v>132</v>
      </c>
      <c r="D335" s="161" t="s">
        <v>626</v>
      </c>
      <c r="E335" s="161"/>
      <c r="F335" s="161"/>
      <c r="G335" s="161"/>
      <c r="H335" s="161"/>
      <c r="I335" s="161"/>
      <c r="J335" s="161"/>
      <c r="K335" s="161"/>
      <c r="L335" s="161"/>
      <c r="M335" s="161"/>
      <c r="N335" s="161"/>
      <c r="O335" s="161"/>
      <c r="P335" s="161"/>
      <c r="Q335" s="161"/>
      <c r="R335" s="161"/>
      <c r="S335" s="161"/>
      <c r="T335" s="153" t="s">
        <v>1269</v>
      </c>
      <c r="U335" s="120">
        <f>U336</f>
        <v>43039053.269999996</v>
      </c>
      <c r="V335" s="120">
        <f>V336</f>
        <v>22699913.920000002</v>
      </c>
      <c r="W335" s="120">
        <f>W336</f>
        <v>21190033.770000003</v>
      </c>
      <c r="X335" s="118" t="s">
        <v>440</v>
      </c>
    </row>
    <row r="336" spans="1:27" ht="62.25" customHeight="1" x14ac:dyDescent="0.25">
      <c r="A336" s="118" t="s">
        <v>441</v>
      </c>
      <c r="B336" s="136" t="s">
        <v>138</v>
      </c>
      <c r="C336" s="136" t="s">
        <v>132</v>
      </c>
      <c r="D336" s="161" t="s">
        <v>626</v>
      </c>
      <c r="E336" s="136"/>
      <c r="F336" s="136"/>
      <c r="G336" s="136"/>
      <c r="H336" s="136"/>
      <c r="I336" s="136"/>
      <c r="J336" s="136"/>
      <c r="K336" s="136"/>
      <c r="L336" s="136"/>
      <c r="M336" s="136"/>
      <c r="N336" s="136"/>
      <c r="O336" s="136"/>
      <c r="P336" s="136"/>
      <c r="Q336" s="136"/>
      <c r="R336" s="136"/>
      <c r="S336" s="136" t="s">
        <v>294</v>
      </c>
      <c r="T336" s="135" t="s">
        <v>711</v>
      </c>
      <c r="U336" s="120">
        <f>П4ВСР!Z568</f>
        <v>43039053.269999996</v>
      </c>
      <c r="V336" s="120">
        <f>П4ВСР!AA568</f>
        <v>22699913.920000002</v>
      </c>
      <c r="W336" s="120">
        <f>П4ВСР!AB568</f>
        <v>21190033.770000003</v>
      </c>
      <c r="X336" s="118" t="s">
        <v>441</v>
      </c>
    </row>
    <row r="337" spans="1:24" ht="1.5" hidden="1" customHeight="1" x14ac:dyDescent="0.25">
      <c r="A337" s="118" t="s">
        <v>487</v>
      </c>
      <c r="B337" s="161" t="s">
        <v>138</v>
      </c>
      <c r="C337" s="161" t="s">
        <v>132</v>
      </c>
      <c r="D337" s="161" t="s">
        <v>646</v>
      </c>
      <c r="E337" s="161"/>
      <c r="F337" s="161"/>
      <c r="G337" s="161"/>
      <c r="H337" s="161"/>
      <c r="I337" s="161"/>
      <c r="J337" s="161"/>
      <c r="K337" s="161"/>
      <c r="L337" s="161"/>
      <c r="M337" s="161"/>
      <c r="N337" s="161"/>
      <c r="O337" s="161"/>
      <c r="P337" s="161"/>
      <c r="Q337" s="161"/>
      <c r="R337" s="161"/>
      <c r="S337" s="161"/>
      <c r="T337" s="153" t="s">
        <v>645</v>
      </c>
      <c r="U337" s="120">
        <f>U338</f>
        <v>0</v>
      </c>
      <c r="V337" s="120">
        <f>V338</f>
        <v>0</v>
      </c>
      <c r="W337" s="120">
        <f>W338</f>
        <v>0</v>
      </c>
      <c r="X337" s="118" t="s">
        <v>487</v>
      </c>
    </row>
    <row r="338" spans="1:24" ht="148.5" hidden="1" customHeight="1" x14ac:dyDescent="0.25">
      <c r="A338" s="118" t="s">
        <v>488</v>
      </c>
      <c r="B338" s="136" t="s">
        <v>138</v>
      </c>
      <c r="C338" s="136" t="s">
        <v>132</v>
      </c>
      <c r="D338" s="161" t="s">
        <v>646</v>
      </c>
      <c r="E338" s="136"/>
      <c r="F338" s="136"/>
      <c r="G338" s="136"/>
      <c r="H338" s="136"/>
      <c r="I338" s="136"/>
      <c r="J338" s="136"/>
      <c r="K338" s="136"/>
      <c r="L338" s="136"/>
      <c r="M338" s="136"/>
      <c r="N338" s="136"/>
      <c r="O338" s="136"/>
      <c r="P338" s="136"/>
      <c r="Q338" s="136"/>
      <c r="R338" s="136"/>
      <c r="S338" s="136" t="s">
        <v>294</v>
      </c>
      <c r="T338" s="135" t="s">
        <v>488</v>
      </c>
      <c r="U338" s="120">
        <f>П4ВСР!Z674</f>
        <v>0</v>
      </c>
      <c r="V338" s="120">
        <f>П4ВСР!AA674</f>
        <v>0</v>
      </c>
      <c r="W338" s="120">
        <f>П4ВСР!AB674</f>
        <v>0</v>
      </c>
      <c r="X338" s="118" t="s">
        <v>488</v>
      </c>
    </row>
    <row r="339" spans="1:24" ht="1.5" hidden="1" customHeight="1" x14ac:dyDescent="0.25">
      <c r="A339" s="118" t="s">
        <v>442</v>
      </c>
      <c r="B339" s="161" t="s">
        <v>138</v>
      </c>
      <c r="C339" s="161" t="s">
        <v>132</v>
      </c>
      <c r="D339" s="161" t="s">
        <v>628</v>
      </c>
      <c r="E339" s="161"/>
      <c r="F339" s="161"/>
      <c r="G339" s="161"/>
      <c r="H339" s="161"/>
      <c r="I339" s="161"/>
      <c r="J339" s="161"/>
      <c r="K339" s="161"/>
      <c r="L339" s="161"/>
      <c r="M339" s="161"/>
      <c r="N339" s="161"/>
      <c r="O339" s="161"/>
      <c r="P339" s="161"/>
      <c r="Q339" s="161"/>
      <c r="R339" s="161"/>
      <c r="S339" s="161"/>
      <c r="T339" s="153" t="s">
        <v>627</v>
      </c>
      <c r="U339" s="120">
        <f>U340</f>
        <v>0</v>
      </c>
      <c r="V339" s="120">
        <f>V340</f>
        <v>0</v>
      </c>
      <c r="W339" s="120">
        <f>W340</f>
        <v>0</v>
      </c>
      <c r="X339" s="118" t="s">
        <v>442</v>
      </c>
    </row>
    <row r="340" spans="1:24" ht="148.5" hidden="1" customHeight="1" x14ac:dyDescent="0.25">
      <c r="A340" s="118" t="s">
        <v>443</v>
      </c>
      <c r="B340" s="136" t="s">
        <v>138</v>
      </c>
      <c r="C340" s="136" t="s">
        <v>132</v>
      </c>
      <c r="D340" s="161" t="s">
        <v>628</v>
      </c>
      <c r="E340" s="136"/>
      <c r="F340" s="136"/>
      <c r="G340" s="136"/>
      <c r="H340" s="136"/>
      <c r="I340" s="136"/>
      <c r="J340" s="136"/>
      <c r="K340" s="136"/>
      <c r="L340" s="136"/>
      <c r="M340" s="136"/>
      <c r="N340" s="136"/>
      <c r="O340" s="136"/>
      <c r="P340" s="136"/>
      <c r="Q340" s="136"/>
      <c r="R340" s="136"/>
      <c r="S340" s="136" t="s">
        <v>294</v>
      </c>
      <c r="T340" s="135" t="s">
        <v>443</v>
      </c>
      <c r="U340" s="120">
        <f>П4ВСР!Z570</f>
        <v>0</v>
      </c>
      <c r="V340" s="120">
        <f>П4ВСР!AA570</f>
        <v>0</v>
      </c>
      <c r="W340" s="120">
        <f>П4ВСР!AB570</f>
        <v>0</v>
      </c>
      <c r="X340" s="118" t="s">
        <v>443</v>
      </c>
    </row>
    <row r="341" spans="1:24" ht="112.5" customHeight="1" x14ac:dyDescent="0.25">
      <c r="A341" s="118" t="s">
        <v>367</v>
      </c>
      <c r="B341" s="161" t="s">
        <v>138</v>
      </c>
      <c r="C341" s="161" t="s">
        <v>132</v>
      </c>
      <c r="D341" s="161" t="s">
        <v>577</v>
      </c>
      <c r="E341" s="161"/>
      <c r="F341" s="161"/>
      <c r="G341" s="161"/>
      <c r="H341" s="161"/>
      <c r="I341" s="161"/>
      <c r="J341" s="161"/>
      <c r="K341" s="161"/>
      <c r="L341" s="161"/>
      <c r="M341" s="161"/>
      <c r="N341" s="161"/>
      <c r="O341" s="161"/>
      <c r="P341" s="161"/>
      <c r="Q341" s="161"/>
      <c r="R341" s="161"/>
      <c r="S341" s="161"/>
      <c r="T341" s="153" t="s">
        <v>1270</v>
      </c>
      <c r="U341" s="120">
        <f>U342</f>
        <v>12121858.529999999</v>
      </c>
      <c r="V341" s="120">
        <f>V342</f>
        <v>2103019.1300000008</v>
      </c>
      <c r="W341" s="120">
        <f>W342</f>
        <v>7310252.8699999973</v>
      </c>
      <c r="X341" s="118" t="s">
        <v>367</v>
      </c>
    </row>
    <row r="342" spans="1:24" ht="59.25" customHeight="1" x14ac:dyDescent="0.25">
      <c r="A342" s="118" t="s">
        <v>368</v>
      </c>
      <c r="B342" s="136" t="s">
        <v>138</v>
      </c>
      <c r="C342" s="136" t="s">
        <v>132</v>
      </c>
      <c r="D342" s="161" t="s">
        <v>577</v>
      </c>
      <c r="E342" s="136"/>
      <c r="F342" s="136"/>
      <c r="G342" s="136"/>
      <c r="H342" s="136"/>
      <c r="I342" s="136"/>
      <c r="J342" s="136"/>
      <c r="K342" s="136"/>
      <c r="L342" s="136"/>
      <c r="M342" s="136"/>
      <c r="N342" s="136"/>
      <c r="O342" s="136"/>
      <c r="P342" s="136"/>
      <c r="Q342" s="136"/>
      <c r="R342" s="136"/>
      <c r="S342" s="136" t="s">
        <v>294</v>
      </c>
      <c r="T342" s="135" t="s">
        <v>711</v>
      </c>
      <c r="U342" s="221">
        <f>П4ВСР!Z572+П4ВСР!Z252</f>
        <v>12121858.529999999</v>
      </c>
      <c r="V342" s="221">
        <f>П4ВСР!AA572+П4ВСР!AA252</f>
        <v>2103019.1300000008</v>
      </c>
      <c r="W342" s="221">
        <f>П4ВСР!AB572+П4ВСР!AB252</f>
        <v>7310252.8699999973</v>
      </c>
      <c r="X342" s="118" t="s">
        <v>368</v>
      </c>
    </row>
    <row r="343" spans="1:24" ht="115.5" customHeight="1" x14ac:dyDescent="0.25">
      <c r="A343" s="118"/>
      <c r="B343" s="136" t="s">
        <v>138</v>
      </c>
      <c r="C343" s="136" t="s">
        <v>132</v>
      </c>
      <c r="D343" s="234" t="s">
        <v>1447</v>
      </c>
      <c r="E343" s="136"/>
      <c r="F343" s="136"/>
      <c r="G343" s="136"/>
      <c r="H343" s="136"/>
      <c r="I343" s="136"/>
      <c r="J343" s="136"/>
      <c r="K343" s="136"/>
      <c r="L343" s="136"/>
      <c r="M343" s="136"/>
      <c r="N343" s="136"/>
      <c r="O343" s="136"/>
      <c r="P343" s="136"/>
      <c r="Q343" s="136"/>
      <c r="R343" s="136"/>
      <c r="S343" s="136"/>
      <c r="T343" s="153" t="s">
        <v>1270</v>
      </c>
      <c r="U343" s="221">
        <f>U344</f>
        <v>3404518.22</v>
      </c>
      <c r="V343" s="221">
        <v>0</v>
      </c>
      <c r="W343" s="221">
        <v>0</v>
      </c>
      <c r="X343" s="118"/>
    </row>
    <row r="344" spans="1:24" ht="59.25" customHeight="1" x14ac:dyDescent="0.25">
      <c r="A344" s="118"/>
      <c r="B344" s="136" t="s">
        <v>138</v>
      </c>
      <c r="C344" s="136" t="s">
        <v>132</v>
      </c>
      <c r="D344" s="234" t="s">
        <v>1447</v>
      </c>
      <c r="E344" s="136"/>
      <c r="F344" s="136"/>
      <c r="G344" s="136"/>
      <c r="H344" s="136"/>
      <c r="I344" s="136"/>
      <c r="J344" s="136"/>
      <c r="K344" s="136"/>
      <c r="L344" s="136"/>
      <c r="M344" s="136"/>
      <c r="N344" s="136"/>
      <c r="O344" s="136"/>
      <c r="P344" s="136"/>
      <c r="Q344" s="136"/>
      <c r="R344" s="136"/>
      <c r="S344" s="136" t="s">
        <v>294</v>
      </c>
      <c r="T344" s="135" t="s">
        <v>711</v>
      </c>
      <c r="U344" s="221">
        <f>П4ВСР!Z573</f>
        <v>3404518.22</v>
      </c>
      <c r="V344" s="221">
        <v>0</v>
      </c>
      <c r="W344" s="221">
        <v>0</v>
      </c>
      <c r="X344" s="118"/>
    </row>
    <row r="345" spans="1:24" ht="114" customHeight="1" x14ac:dyDescent="0.25">
      <c r="A345" s="118" t="s">
        <v>445</v>
      </c>
      <c r="B345" s="161" t="s">
        <v>138</v>
      </c>
      <c r="C345" s="161" t="s">
        <v>132</v>
      </c>
      <c r="D345" s="161" t="s">
        <v>629</v>
      </c>
      <c r="E345" s="161"/>
      <c r="F345" s="161"/>
      <c r="G345" s="161"/>
      <c r="H345" s="161"/>
      <c r="I345" s="161"/>
      <c r="J345" s="161"/>
      <c r="K345" s="161"/>
      <c r="L345" s="161"/>
      <c r="M345" s="161"/>
      <c r="N345" s="161"/>
      <c r="O345" s="161"/>
      <c r="P345" s="161"/>
      <c r="Q345" s="161"/>
      <c r="R345" s="161"/>
      <c r="S345" s="161"/>
      <c r="T345" s="153" t="s">
        <v>1271</v>
      </c>
      <c r="U345" s="221">
        <f>U346</f>
        <v>400000</v>
      </c>
      <c r="V345" s="120">
        <f>V346</f>
        <v>400000</v>
      </c>
      <c r="W345" s="120">
        <f>W346</f>
        <v>400000</v>
      </c>
      <c r="X345" s="118" t="s">
        <v>445</v>
      </c>
    </row>
    <row r="346" spans="1:24" ht="53.25" customHeight="1" x14ac:dyDescent="0.25">
      <c r="A346" s="118" t="s">
        <v>446</v>
      </c>
      <c r="B346" s="136" t="s">
        <v>138</v>
      </c>
      <c r="C346" s="136" t="s">
        <v>132</v>
      </c>
      <c r="D346" s="161" t="s">
        <v>629</v>
      </c>
      <c r="E346" s="136"/>
      <c r="F346" s="136"/>
      <c r="G346" s="136"/>
      <c r="H346" s="136"/>
      <c r="I346" s="136"/>
      <c r="J346" s="136"/>
      <c r="K346" s="136"/>
      <c r="L346" s="136"/>
      <c r="M346" s="136"/>
      <c r="N346" s="136"/>
      <c r="O346" s="136"/>
      <c r="P346" s="136"/>
      <c r="Q346" s="136"/>
      <c r="R346" s="136"/>
      <c r="S346" s="136" t="s">
        <v>294</v>
      </c>
      <c r="T346" s="135" t="s">
        <v>711</v>
      </c>
      <c r="U346" s="221">
        <f>П4ВСР!Z576</f>
        <v>400000</v>
      </c>
      <c r="V346" s="221">
        <f>П4ВСР!AA576</f>
        <v>400000</v>
      </c>
      <c r="W346" s="221">
        <f>П4ВСР!AB576</f>
        <v>400000</v>
      </c>
      <c r="X346" s="118" t="s">
        <v>446</v>
      </c>
    </row>
    <row r="347" spans="1:24" ht="175.5" customHeight="1" x14ac:dyDescent="0.25">
      <c r="A347" s="118" t="s">
        <v>447</v>
      </c>
      <c r="B347" s="161" t="s">
        <v>138</v>
      </c>
      <c r="C347" s="161" t="s">
        <v>132</v>
      </c>
      <c r="D347" s="161" t="s">
        <v>630</v>
      </c>
      <c r="E347" s="161"/>
      <c r="F347" s="161"/>
      <c r="G347" s="161"/>
      <c r="H347" s="161"/>
      <c r="I347" s="161"/>
      <c r="J347" s="161"/>
      <c r="K347" s="161"/>
      <c r="L347" s="161"/>
      <c r="M347" s="161"/>
      <c r="N347" s="161"/>
      <c r="O347" s="161"/>
      <c r="P347" s="161"/>
      <c r="Q347" s="161"/>
      <c r="R347" s="161"/>
      <c r="S347" s="161"/>
      <c r="T347" s="153" t="s">
        <v>1272</v>
      </c>
      <c r="U347" s="120">
        <f>U348</f>
        <v>50000</v>
      </c>
      <c r="V347" s="120">
        <f>V348</f>
        <v>50000</v>
      </c>
      <c r="W347" s="120">
        <f>W348</f>
        <v>50000</v>
      </c>
      <c r="X347" s="118" t="s">
        <v>447</v>
      </c>
    </row>
    <row r="348" spans="1:24" ht="54.75" customHeight="1" x14ac:dyDescent="0.25">
      <c r="A348" s="118" t="s">
        <v>448</v>
      </c>
      <c r="B348" s="136" t="s">
        <v>138</v>
      </c>
      <c r="C348" s="136" t="s">
        <v>132</v>
      </c>
      <c r="D348" s="161" t="s">
        <v>630</v>
      </c>
      <c r="E348" s="136"/>
      <c r="F348" s="136"/>
      <c r="G348" s="136"/>
      <c r="H348" s="136"/>
      <c r="I348" s="136"/>
      <c r="J348" s="136"/>
      <c r="K348" s="136"/>
      <c r="L348" s="136"/>
      <c r="M348" s="136"/>
      <c r="N348" s="136"/>
      <c r="O348" s="136"/>
      <c r="P348" s="136"/>
      <c r="Q348" s="136"/>
      <c r="R348" s="136"/>
      <c r="S348" s="136" t="s">
        <v>294</v>
      </c>
      <c r="T348" s="135" t="s">
        <v>711</v>
      </c>
      <c r="U348" s="120">
        <f>П4ВСР!Z578</f>
        <v>50000</v>
      </c>
      <c r="V348" s="120">
        <f>П4ВСР!AA578</f>
        <v>50000</v>
      </c>
      <c r="W348" s="120">
        <f>П4ВСР!AB578</f>
        <v>50000</v>
      </c>
      <c r="X348" s="118" t="s">
        <v>448</v>
      </c>
    </row>
    <row r="349" spans="1:24" ht="93" customHeight="1" x14ac:dyDescent="0.25">
      <c r="A349" s="118"/>
      <c r="B349" s="136" t="s">
        <v>138</v>
      </c>
      <c r="C349" s="136" t="s">
        <v>132</v>
      </c>
      <c r="D349" s="234" t="s">
        <v>938</v>
      </c>
      <c r="E349" s="136"/>
      <c r="F349" s="136"/>
      <c r="G349" s="136"/>
      <c r="H349" s="136"/>
      <c r="I349" s="136"/>
      <c r="J349" s="136"/>
      <c r="K349" s="136"/>
      <c r="L349" s="136"/>
      <c r="M349" s="136"/>
      <c r="N349" s="136"/>
      <c r="O349" s="136"/>
      <c r="P349" s="136"/>
      <c r="Q349" s="136"/>
      <c r="R349" s="136"/>
      <c r="S349" s="136"/>
      <c r="T349" s="342" t="s">
        <v>939</v>
      </c>
      <c r="U349" s="120">
        <f>U350</f>
        <v>732431.34</v>
      </c>
      <c r="V349" s="120">
        <f>V350</f>
        <v>245998.02</v>
      </c>
      <c r="W349" s="120">
        <f>W350</f>
        <v>327839.67</v>
      </c>
      <c r="X349" s="118"/>
    </row>
    <row r="350" spans="1:24" ht="69" customHeight="1" x14ac:dyDescent="0.25">
      <c r="A350" s="118"/>
      <c r="B350" s="136" t="s">
        <v>138</v>
      </c>
      <c r="C350" s="136" t="s">
        <v>132</v>
      </c>
      <c r="D350" s="234" t="s">
        <v>938</v>
      </c>
      <c r="E350" s="136"/>
      <c r="F350" s="136"/>
      <c r="G350" s="136"/>
      <c r="H350" s="136"/>
      <c r="I350" s="136"/>
      <c r="J350" s="136"/>
      <c r="K350" s="136"/>
      <c r="L350" s="136"/>
      <c r="M350" s="136"/>
      <c r="N350" s="136"/>
      <c r="O350" s="136"/>
      <c r="P350" s="136"/>
      <c r="Q350" s="136"/>
      <c r="R350" s="136"/>
      <c r="S350" s="136" t="s">
        <v>294</v>
      </c>
      <c r="T350" s="154" t="s">
        <v>711</v>
      </c>
      <c r="U350" s="120">
        <f>П4ВСР!Z580</f>
        <v>732431.34</v>
      </c>
      <c r="V350" s="120">
        <f>П4ВСР!AA579</f>
        <v>245998.02</v>
      </c>
      <c r="W350" s="120">
        <f>П4ВСР!AB579</f>
        <v>327839.67</v>
      </c>
      <c r="X350" s="118"/>
    </row>
    <row r="351" spans="1:24" ht="174" hidden="1" customHeight="1" x14ac:dyDescent="0.25">
      <c r="A351" s="118"/>
      <c r="B351" s="136" t="s">
        <v>138</v>
      </c>
      <c r="C351" s="136" t="s">
        <v>132</v>
      </c>
      <c r="D351" s="234" t="s">
        <v>1009</v>
      </c>
      <c r="E351" s="136"/>
      <c r="F351" s="136"/>
      <c r="G351" s="136"/>
      <c r="H351" s="136"/>
      <c r="I351" s="136"/>
      <c r="J351" s="136"/>
      <c r="K351" s="136"/>
      <c r="L351" s="136"/>
      <c r="M351" s="136"/>
      <c r="N351" s="136"/>
      <c r="O351" s="136"/>
      <c r="P351" s="136"/>
      <c r="Q351" s="136"/>
      <c r="R351" s="136"/>
      <c r="S351" s="136"/>
      <c r="T351" s="153" t="s">
        <v>1015</v>
      </c>
      <c r="U351" s="120">
        <f>U352</f>
        <v>0</v>
      </c>
      <c r="V351" s="120">
        <f t="shared" ref="V351:X351" si="10">V352</f>
        <v>0</v>
      </c>
      <c r="W351" s="120">
        <f t="shared" si="10"/>
        <v>0</v>
      </c>
      <c r="X351" s="120">
        <f t="shared" si="10"/>
        <v>0</v>
      </c>
    </row>
    <row r="352" spans="1:24" ht="69.75" hidden="1" customHeight="1" x14ac:dyDescent="0.25">
      <c r="A352" s="118"/>
      <c r="B352" s="136" t="s">
        <v>138</v>
      </c>
      <c r="C352" s="136" t="s">
        <v>132</v>
      </c>
      <c r="D352" s="234" t="s">
        <v>1009</v>
      </c>
      <c r="E352" s="136"/>
      <c r="F352" s="136"/>
      <c r="G352" s="136"/>
      <c r="H352" s="136"/>
      <c r="I352" s="136"/>
      <c r="J352" s="136"/>
      <c r="K352" s="136"/>
      <c r="L352" s="136"/>
      <c r="M352" s="136"/>
      <c r="N352" s="136"/>
      <c r="O352" s="136"/>
      <c r="P352" s="136"/>
      <c r="Q352" s="136"/>
      <c r="R352" s="136"/>
      <c r="S352" s="136" t="s">
        <v>275</v>
      </c>
      <c r="T352" s="135" t="s">
        <v>368</v>
      </c>
      <c r="U352" s="120">
        <f>П4ВСР!Z254</f>
        <v>0</v>
      </c>
      <c r="V352" s="120">
        <v>0</v>
      </c>
      <c r="W352" s="120">
        <v>0</v>
      </c>
      <c r="X352" s="118"/>
    </row>
    <row r="353" spans="1:24" ht="166.5" hidden="1" customHeight="1" x14ac:dyDescent="0.25">
      <c r="A353" s="118"/>
      <c r="B353" s="136" t="s">
        <v>138</v>
      </c>
      <c r="C353" s="136" t="s">
        <v>132</v>
      </c>
      <c r="D353" s="234" t="s">
        <v>1021</v>
      </c>
      <c r="E353" s="136"/>
      <c r="F353" s="136"/>
      <c r="G353" s="136"/>
      <c r="H353" s="136"/>
      <c r="I353" s="136"/>
      <c r="J353" s="136"/>
      <c r="K353" s="136"/>
      <c r="L353" s="136"/>
      <c r="M353" s="136"/>
      <c r="N353" s="136"/>
      <c r="O353" s="136"/>
      <c r="P353" s="136"/>
      <c r="Q353" s="136"/>
      <c r="R353" s="136"/>
      <c r="S353" s="136"/>
      <c r="T353" s="153" t="s">
        <v>1015</v>
      </c>
      <c r="U353" s="120">
        <f>U354</f>
        <v>0</v>
      </c>
      <c r="V353" s="120">
        <v>0</v>
      </c>
      <c r="W353" s="120">
        <v>0</v>
      </c>
      <c r="X353" s="118"/>
    </row>
    <row r="354" spans="1:24" ht="69.75" hidden="1" customHeight="1" x14ac:dyDescent="0.25">
      <c r="A354" s="118"/>
      <c r="B354" s="136" t="s">
        <v>138</v>
      </c>
      <c r="C354" s="136" t="s">
        <v>132</v>
      </c>
      <c r="D354" s="234" t="s">
        <v>1021</v>
      </c>
      <c r="E354" s="136"/>
      <c r="F354" s="136"/>
      <c r="G354" s="136"/>
      <c r="H354" s="136"/>
      <c r="I354" s="136"/>
      <c r="J354" s="136"/>
      <c r="K354" s="136"/>
      <c r="L354" s="136"/>
      <c r="M354" s="136"/>
      <c r="N354" s="136"/>
      <c r="O354" s="136"/>
      <c r="P354" s="136"/>
      <c r="Q354" s="136"/>
      <c r="R354" s="136"/>
      <c r="S354" s="136" t="s">
        <v>275</v>
      </c>
      <c r="T354" s="135" t="s">
        <v>368</v>
      </c>
      <c r="U354" s="120">
        <f>П4ВСР!Z256</f>
        <v>0</v>
      </c>
      <c r="V354" s="120">
        <v>0</v>
      </c>
      <c r="W354" s="120">
        <v>0</v>
      </c>
      <c r="X354" s="118"/>
    </row>
    <row r="355" spans="1:24" ht="168" hidden="1" customHeight="1" x14ac:dyDescent="0.25">
      <c r="A355" s="118"/>
      <c r="B355" s="136" t="s">
        <v>138</v>
      </c>
      <c r="C355" s="136" t="s">
        <v>132</v>
      </c>
      <c r="D355" s="161" t="s">
        <v>1021</v>
      </c>
      <c r="E355" s="136"/>
      <c r="F355" s="136"/>
      <c r="G355" s="136"/>
      <c r="H355" s="136"/>
      <c r="I355" s="136"/>
      <c r="J355" s="136"/>
      <c r="K355" s="136"/>
      <c r="L355" s="136"/>
      <c r="M355" s="136"/>
      <c r="N355" s="136"/>
      <c r="O355" s="136"/>
      <c r="P355" s="136"/>
      <c r="Q355" s="136"/>
      <c r="R355" s="136"/>
      <c r="S355" s="136"/>
      <c r="T355" s="153" t="s">
        <v>1015</v>
      </c>
      <c r="U355" s="120">
        <f>U356</f>
        <v>0</v>
      </c>
      <c r="V355" s="120"/>
      <c r="W355" s="120"/>
      <c r="X355" s="118"/>
    </row>
    <row r="356" spans="1:24" ht="69.75" hidden="1" customHeight="1" x14ac:dyDescent="0.25">
      <c r="A356" s="118"/>
      <c r="B356" s="136" t="s">
        <v>138</v>
      </c>
      <c r="C356" s="136" t="s">
        <v>132</v>
      </c>
      <c r="D356" s="161" t="s">
        <v>1063</v>
      </c>
      <c r="E356" s="136"/>
      <c r="F356" s="136"/>
      <c r="G356" s="136"/>
      <c r="H356" s="136"/>
      <c r="I356" s="136"/>
      <c r="J356" s="136"/>
      <c r="K356" s="136"/>
      <c r="L356" s="136"/>
      <c r="M356" s="136"/>
      <c r="N356" s="136"/>
      <c r="O356" s="136"/>
      <c r="P356" s="136"/>
      <c r="Q356" s="136"/>
      <c r="R356" s="136"/>
      <c r="S356" s="136" t="s">
        <v>275</v>
      </c>
      <c r="T356" s="135" t="s">
        <v>368</v>
      </c>
      <c r="U356" s="120">
        <f>П4ВСР!Z257</f>
        <v>0</v>
      </c>
      <c r="V356" s="120"/>
      <c r="W356" s="120"/>
      <c r="X356" s="118"/>
    </row>
    <row r="357" spans="1:24" ht="197.25" hidden="1" customHeight="1" x14ac:dyDescent="0.25">
      <c r="A357" s="118"/>
      <c r="B357" s="136" t="s">
        <v>138</v>
      </c>
      <c r="C357" s="136" t="s">
        <v>132</v>
      </c>
      <c r="D357" s="161" t="s">
        <v>1009</v>
      </c>
      <c r="E357" s="136"/>
      <c r="F357" s="136"/>
      <c r="G357" s="136"/>
      <c r="H357" s="136"/>
      <c r="I357" s="136"/>
      <c r="J357" s="136"/>
      <c r="K357" s="136"/>
      <c r="L357" s="136"/>
      <c r="M357" s="136"/>
      <c r="N357" s="136"/>
      <c r="O357" s="136"/>
      <c r="P357" s="136"/>
      <c r="Q357" s="136"/>
      <c r="R357" s="136"/>
      <c r="S357" s="136"/>
      <c r="T357" s="287" t="s">
        <v>1010</v>
      </c>
      <c r="U357" s="120">
        <f>U358</f>
        <v>0</v>
      </c>
      <c r="V357" s="120">
        <v>0</v>
      </c>
      <c r="W357" s="120">
        <v>0</v>
      </c>
      <c r="X357" s="118"/>
    </row>
    <row r="358" spans="1:24" ht="63.75" hidden="1" customHeight="1" x14ac:dyDescent="0.25">
      <c r="A358" s="118"/>
      <c r="B358" s="136" t="s">
        <v>138</v>
      </c>
      <c r="C358" s="136" t="s">
        <v>132</v>
      </c>
      <c r="D358" s="161" t="s">
        <v>1009</v>
      </c>
      <c r="E358" s="136"/>
      <c r="F358" s="136"/>
      <c r="G358" s="136"/>
      <c r="H358" s="136"/>
      <c r="I358" s="136"/>
      <c r="J358" s="136"/>
      <c r="K358" s="136"/>
      <c r="L358" s="136"/>
      <c r="M358" s="136"/>
      <c r="N358" s="136"/>
      <c r="O358" s="136"/>
      <c r="P358" s="136"/>
      <c r="Q358" s="136"/>
      <c r="R358" s="136"/>
      <c r="S358" s="136" t="s">
        <v>294</v>
      </c>
      <c r="T358" s="154" t="s">
        <v>711</v>
      </c>
      <c r="U358" s="120">
        <f>П4ВСР!Z581</f>
        <v>0</v>
      </c>
      <c r="V358" s="120">
        <v>0</v>
      </c>
      <c r="W358" s="120">
        <v>0</v>
      </c>
      <c r="X358" s="118"/>
    </row>
    <row r="359" spans="1:24" ht="312.75" customHeight="1" x14ac:dyDescent="0.25">
      <c r="A359" s="124" t="s">
        <v>233</v>
      </c>
      <c r="B359" s="161" t="s">
        <v>138</v>
      </c>
      <c r="C359" s="161" t="s">
        <v>132</v>
      </c>
      <c r="D359" s="161" t="s">
        <v>708</v>
      </c>
      <c r="E359" s="119"/>
      <c r="F359" s="119"/>
      <c r="G359" s="119"/>
      <c r="H359" s="119"/>
      <c r="I359" s="119"/>
      <c r="J359" s="119"/>
      <c r="K359" s="119"/>
      <c r="L359" s="119"/>
      <c r="M359" s="119"/>
      <c r="N359" s="119"/>
      <c r="O359" s="119"/>
      <c r="P359" s="119"/>
      <c r="Q359" s="119"/>
      <c r="R359" s="119"/>
      <c r="S359" s="119"/>
      <c r="T359" s="287" t="s">
        <v>1312</v>
      </c>
      <c r="U359" s="120">
        <f>U360</f>
        <v>171573816.5</v>
      </c>
      <c r="V359" s="120">
        <f>V360</f>
        <v>181110028.28999999</v>
      </c>
      <c r="W359" s="120">
        <f>W360</f>
        <v>184492583.13</v>
      </c>
      <c r="X359" s="124" t="s">
        <v>233</v>
      </c>
    </row>
    <row r="360" spans="1:24" ht="59.25" customHeight="1" x14ac:dyDescent="0.25">
      <c r="A360" s="124" t="s">
        <v>449</v>
      </c>
      <c r="B360" s="136" t="s">
        <v>138</v>
      </c>
      <c r="C360" s="136" t="s">
        <v>132</v>
      </c>
      <c r="D360" s="161" t="s">
        <v>708</v>
      </c>
      <c r="E360" s="136"/>
      <c r="F360" s="136"/>
      <c r="G360" s="136"/>
      <c r="H360" s="136"/>
      <c r="I360" s="136"/>
      <c r="J360" s="136"/>
      <c r="K360" s="136"/>
      <c r="L360" s="136"/>
      <c r="M360" s="136"/>
      <c r="N360" s="136"/>
      <c r="O360" s="136"/>
      <c r="P360" s="136"/>
      <c r="Q360" s="136"/>
      <c r="R360" s="136"/>
      <c r="S360" s="136" t="s">
        <v>294</v>
      </c>
      <c r="T360" s="154" t="s">
        <v>711</v>
      </c>
      <c r="U360" s="120">
        <f>П4ВСР!Z584</f>
        <v>171573816.5</v>
      </c>
      <c r="V360" s="120">
        <f>П4ВСР!AA584</f>
        <v>181110028.28999999</v>
      </c>
      <c r="W360" s="120">
        <f>П4ВСР!AB584</f>
        <v>184492583.13</v>
      </c>
      <c r="X360" s="124" t="s">
        <v>449</v>
      </c>
    </row>
    <row r="361" spans="1:24" ht="113.25" customHeight="1" x14ac:dyDescent="0.25">
      <c r="A361" s="118" t="s">
        <v>450</v>
      </c>
      <c r="B361" s="161" t="s">
        <v>138</v>
      </c>
      <c r="C361" s="161" t="s">
        <v>132</v>
      </c>
      <c r="D361" s="161" t="s">
        <v>631</v>
      </c>
      <c r="E361" s="161"/>
      <c r="F361" s="161"/>
      <c r="G361" s="161"/>
      <c r="H361" s="161"/>
      <c r="I361" s="161"/>
      <c r="J361" s="161"/>
      <c r="K361" s="161"/>
      <c r="L361" s="161"/>
      <c r="M361" s="161"/>
      <c r="N361" s="161"/>
      <c r="O361" s="161"/>
      <c r="P361" s="161"/>
      <c r="Q361" s="161"/>
      <c r="R361" s="161"/>
      <c r="S361" s="161"/>
      <c r="T361" s="153" t="s">
        <v>1273</v>
      </c>
      <c r="U361" s="120">
        <f>U362</f>
        <v>80000</v>
      </c>
      <c r="V361" s="120">
        <f>V362</f>
        <v>80000</v>
      </c>
      <c r="W361" s="120">
        <f>W362</f>
        <v>80000</v>
      </c>
      <c r="X361" s="118" t="s">
        <v>450</v>
      </c>
    </row>
    <row r="362" spans="1:24" ht="56.25" customHeight="1" x14ac:dyDescent="0.25">
      <c r="A362" s="118" t="s">
        <v>451</v>
      </c>
      <c r="B362" s="136" t="s">
        <v>138</v>
      </c>
      <c r="C362" s="136" t="s">
        <v>132</v>
      </c>
      <c r="D362" s="161" t="s">
        <v>631</v>
      </c>
      <c r="E362" s="136"/>
      <c r="F362" s="136"/>
      <c r="G362" s="136"/>
      <c r="H362" s="136"/>
      <c r="I362" s="136"/>
      <c r="J362" s="136"/>
      <c r="K362" s="136"/>
      <c r="L362" s="136"/>
      <c r="M362" s="136"/>
      <c r="N362" s="136"/>
      <c r="O362" s="136"/>
      <c r="P362" s="136"/>
      <c r="Q362" s="136"/>
      <c r="R362" s="136"/>
      <c r="S362" s="136" t="s">
        <v>294</v>
      </c>
      <c r="T362" s="135" t="s">
        <v>711</v>
      </c>
      <c r="U362" s="120">
        <f>П4ВСР!Z586</f>
        <v>80000</v>
      </c>
      <c r="V362" s="120">
        <f>П4ВСР!AA586</f>
        <v>80000</v>
      </c>
      <c r="W362" s="120">
        <f>П4ВСР!AB586</f>
        <v>80000</v>
      </c>
      <c r="X362" s="118" t="s">
        <v>451</v>
      </c>
    </row>
    <row r="363" spans="1:24" ht="117.75" customHeight="1" x14ac:dyDescent="0.25">
      <c r="A363" s="118" t="s">
        <v>452</v>
      </c>
      <c r="B363" s="161" t="s">
        <v>138</v>
      </c>
      <c r="C363" s="161" t="s">
        <v>132</v>
      </c>
      <c r="D363" s="161" t="s">
        <v>632</v>
      </c>
      <c r="E363" s="161"/>
      <c r="F363" s="161"/>
      <c r="G363" s="161"/>
      <c r="H363" s="161"/>
      <c r="I363" s="161"/>
      <c r="J363" s="161"/>
      <c r="K363" s="161"/>
      <c r="L363" s="161"/>
      <c r="M363" s="161"/>
      <c r="N363" s="161"/>
      <c r="O363" s="161"/>
      <c r="P363" s="161"/>
      <c r="Q363" s="161"/>
      <c r="R363" s="161"/>
      <c r="S363" s="161"/>
      <c r="T363" s="153" t="s">
        <v>1274</v>
      </c>
      <c r="U363" s="120">
        <f>U364</f>
        <v>50000</v>
      </c>
      <c r="V363" s="120">
        <f>V364</f>
        <v>10000</v>
      </c>
      <c r="W363" s="120">
        <f>W364</f>
        <v>10000</v>
      </c>
      <c r="X363" s="118" t="s">
        <v>452</v>
      </c>
    </row>
    <row r="364" spans="1:24" ht="65.25" customHeight="1" x14ac:dyDescent="0.25">
      <c r="A364" s="118" t="s">
        <v>453</v>
      </c>
      <c r="B364" s="136" t="s">
        <v>138</v>
      </c>
      <c r="C364" s="136" t="s">
        <v>132</v>
      </c>
      <c r="D364" s="161" t="s">
        <v>632</v>
      </c>
      <c r="E364" s="136"/>
      <c r="F364" s="136"/>
      <c r="G364" s="136"/>
      <c r="H364" s="136"/>
      <c r="I364" s="136"/>
      <c r="J364" s="136"/>
      <c r="K364" s="136"/>
      <c r="L364" s="136"/>
      <c r="M364" s="136"/>
      <c r="N364" s="136"/>
      <c r="O364" s="136"/>
      <c r="P364" s="136"/>
      <c r="Q364" s="136"/>
      <c r="R364" s="136"/>
      <c r="S364" s="136" t="s">
        <v>294</v>
      </c>
      <c r="T364" s="135" t="s">
        <v>711</v>
      </c>
      <c r="U364" s="120">
        <f>П4ВСР!Z588</f>
        <v>50000</v>
      </c>
      <c r="V364" s="120">
        <f>П4ВСР!AA588</f>
        <v>10000</v>
      </c>
      <c r="W364" s="120">
        <f>П4ВСР!AB588</f>
        <v>10000</v>
      </c>
      <c r="X364" s="118" t="s">
        <v>453</v>
      </c>
    </row>
    <row r="365" spans="1:24" ht="121.5" customHeight="1" x14ac:dyDescent="0.25">
      <c r="A365" s="118" t="s">
        <v>454</v>
      </c>
      <c r="B365" s="161" t="s">
        <v>138</v>
      </c>
      <c r="C365" s="161" t="s">
        <v>132</v>
      </c>
      <c r="D365" s="161" t="s">
        <v>633</v>
      </c>
      <c r="E365" s="161"/>
      <c r="F365" s="161"/>
      <c r="G365" s="161"/>
      <c r="H365" s="161"/>
      <c r="I365" s="161"/>
      <c r="J365" s="161"/>
      <c r="K365" s="161"/>
      <c r="L365" s="161"/>
      <c r="M365" s="161"/>
      <c r="N365" s="161"/>
      <c r="O365" s="161"/>
      <c r="P365" s="161"/>
      <c r="Q365" s="161"/>
      <c r="R365" s="161"/>
      <c r="S365" s="161"/>
      <c r="T365" s="153" t="s">
        <v>1275</v>
      </c>
      <c r="U365" s="120">
        <f>U366</f>
        <v>20000</v>
      </c>
      <c r="V365" s="120">
        <f>V366</f>
        <v>20000</v>
      </c>
      <c r="W365" s="120">
        <f>W366</f>
        <v>20000</v>
      </c>
      <c r="X365" s="118" t="s">
        <v>454</v>
      </c>
    </row>
    <row r="366" spans="1:24" ht="58.5" customHeight="1" thickBot="1" x14ac:dyDescent="0.3">
      <c r="A366" s="118" t="s">
        <v>455</v>
      </c>
      <c r="B366" s="136" t="s">
        <v>138</v>
      </c>
      <c r="C366" s="136" t="s">
        <v>132</v>
      </c>
      <c r="D366" s="161" t="s">
        <v>633</v>
      </c>
      <c r="E366" s="136"/>
      <c r="F366" s="136"/>
      <c r="G366" s="136"/>
      <c r="H366" s="136"/>
      <c r="I366" s="136"/>
      <c r="J366" s="136"/>
      <c r="K366" s="136"/>
      <c r="L366" s="136"/>
      <c r="M366" s="136"/>
      <c r="N366" s="136"/>
      <c r="O366" s="136"/>
      <c r="P366" s="136"/>
      <c r="Q366" s="136"/>
      <c r="R366" s="136"/>
      <c r="S366" s="136" t="s">
        <v>294</v>
      </c>
      <c r="T366" s="135" t="s">
        <v>711</v>
      </c>
      <c r="U366" s="120">
        <f>П4ВСР!Z590</f>
        <v>20000</v>
      </c>
      <c r="V366" s="120">
        <f>П4ВСР!AA590</f>
        <v>20000</v>
      </c>
      <c r="W366" s="120">
        <f>П4ВСР!AB590</f>
        <v>20000</v>
      </c>
      <c r="X366" s="118" t="s">
        <v>455</v>
      </c>
    </row>
    <row r="367" spans="1:24" ht="111.75" customHeight="1" thickBot="1" x14ac:dyDescent="0.3">
      <c r="A367" s="118"/>
      <c r="B367" s="136" t="s">
        <v>138</v>
      </c>
      <c r="C367" s="136" t="s">
        <v>132</v>
      </c>
      <c r="D367" s="161" t="s">
        <v>613</v>
      </c>
      <c r="E367" s="136"/>
      <c r="F367" s="136"/>
      <c r="G367" s="136"/>
      <c r="H367" s="136"/>
      <c r="I367" s="136"/>
      <c r="J367" s="136"/>
      <c r="K367" s="136"/>
      <c r="L367" s="136"/>
      <c r="M367" s="136"/>
      <c r="N367" s="136"/>
      <c r="O367" s="136"/>
      <c r="P367" s="136"/>
      <c r="Q367" s="136"/>
      <c r="R367" s="136"/>
      <c r="S367" s="136"/>
      <c r="T367" s="165" t="s">
        <v>612</v>
      </c>
      <c r="U367" s="120">
        <f>U368</f>
        <v>180000</v>
      </c>
      <c r="V367" s="120">
        <f>V368</f>
        <v>180000</v>
      </c>
      <c r="W367" s="120">
        <f>W368</f>
        <v>180000</v>
      </c>
      <c r="X367" s="118"/>
    </row>
    <row r="368" spans="1:24" ht="71.25" customHeight="1" x14ac:dyDescent="0.25">
      <c r="A368" s="118"/>
      <c r="B368" s="136" t="s">
        <v>138</v>
      </c>
      <c r="C368" s="136" t="s">
        <v>132</v>
      </c>
      <c r="D368" s="161" t="s">
        <v>613</v>
      </c>
      <c r="E368" s="136"/>
      <c r="F368" s="136"/>
      <c r="G368" s="136"/>
      <c r="H368" s="136"/>
      <c r="I368" s="136"/>
      <c r="J368" s="136"/>
      <c r="K368" s="136"/>
      <c r="L368" s="136"/>
      <c r="M368" s="136"/>
      <c r="N368" s="136"/>
      <c r="O368" s="136"/>
      <c r="P368" s="136"/>
      <c r="Q368" s="136"/>
      <c r="R368" s="136"/>
      <c r="S368" s="136" t="s">
        <v>294</v>
      </c>
      <c r="T368" s="226" t="s">
        <v>711</v>
      </c>
      <c r="U368" s="120">
        <f>П4ВСР!Z592</f>
        <v>180000</v>
      </c>
      <c r="V368" s="120">
        <f>П4ВСР!AA592</f>
        <v>180000</v>
      </c>
      <c r="W368" s="120">
        <f>П4ВСР!AB592</f>
        <v>180000</v>
      </c>
      <c r="X368" s="118"/>
    </row>
    <row r="369" spans="1:24" ht="82.5" customHeight="1" x14ac:dyDescent="0.25">
      <c r="A369" s="118" t="s">
        <v>456</v>
      </c>
      <c r="B369" s="161" t="s">
        <v>138</v>
      </c>
      <c r="C369" s="161" t="s">
        <v>132</v>
      </c>
      <c r="D369" s="161" t="s">
        <v>634</v>
      </c>
      <c r="E369" s="161"/>
      <c r="F369" s="161"/>
      <c r="G369" s="161"/>
      <c r="H369" s="161"/>
      <c r="I369" s="161"/>
      <c r="J369" s="161"/>
      <c r="K369" s="161"/>
      <c r="L369" s="161"/>
      <c r="M369" s="161"/>
      <c r="N369" s="161"/>
      <c r="O369" s="161"/>
      <c r="P369" s="161"/>
      <c r="Q369" s="161"/>
      <c r="R369" s="161"/>
      <c r="S369" s="161"/>
      <c r="T369" s="153" t="s">
        <v>456</v>
      </c>
      <c r="U369" s="120">
        <f>U370</f>
        <v>166500</v>
      </c>
      <c r="V369" s="120">
        <f>V370</f>
        <v>193500</v>
      </c>
      <c r="W369" s="120">
        <f>W370</f>
        <v>193500</v>
      </c>
      <c r="X369" s="118" t="s">
        <v>456</v>
      </c>
    </row>
    <row r="370" spans="1:24" ht="59.25" customHeight="1" x14ac:dyDescent="0.25">
      <c r="A370" s="118" t="s">
        <v>457</v>
      </c>
      <c r="B370" s="136" t="s">
        <v>138</v>
      </c>
      <c r="C370" s="136" t="s">
        <v>132</v>
      </c>
      <c r="D370" s="161" t="s">
        <v>634</v>
      </c>
      <c r="E370" s="136"/>
      <c r="F370" s="136"/>
      <c r="G370" s="136"/>
      <c r="H370" s="136"/>
      <c r="I370" s="136"/>
      <c r="J370" s="136"/>
      <c r="K370" s="136"/>
      <c r="L370" s="136"/>
      <c r="M370" s="136"/>
      <c r="N370" s="136"/>
      <c r="O370" s="136"/>
      <c r="P370" s="136"/>
      <c r="Q370" s="136"/>
      <c r="R370" s="136"/>
      <c r="S370" s="136" t="s">
        <v>294</v>
      </c>
      <c r="T370" s="135" t="s">
        <v>711</v>
      </c>
      <c r="U370" s="120">
        <f>П4ВСР!Z594</f>
        <v>166500</v>
      </c>
      <c r="V370" s="120">
        <f>П4ВСР!AA594</f>
        <v>193500</v>
      </c>
      <c r="W370" s="120">
        <f>П4ВСР!AB594</f>
        <v>193500</v>
      </c>
      <c r="X370" s="118" t="s">
        <v>457</v>
      </c>
    </row>
    <row r="371" spans="1:24" ht="39.75" customHeight="1" x14ac:dyDescent="0.25">
      <c r="A371" s="118"/>
      <c r="B371" s="136" t="s">
        <v>138</v>
      </c>
      <c r="C371" s="136" t="s">
        <v>123</v>
      </c>
      <c r="D371" s="161"/>
      <c r="E371" s="136"/>
      <c r="F371" s="136"/>
      <c r="G371" s="136"/>
      <c r="H371" s="136"/>
      <c r="I371" s="136"/>
      <c r="J371" s="136"/>
      <c r="K371" s="136"/>
      <c r="L371" s="136"/>
      <c r="M371" s="136"/>
      <c r="N371" s="136"/>
      <c r="O371" s="136"/>
      <c r="P371" s="136"/>
      <c r="Q371" s="136"/>
      <c r="R371" s="136"/>
      <c r="S371" s="136"/>
      <c r="T371" s="159" t="s">
        <v>748</v>
      </c>
      <c r="U371" s="120">
        <f>U376+U374+U372</f>
        <v>9132871.4399999995</v>
      </c>
      <c r="V371" s="120">
        <f>V376+V374</f>
        <v>8631387.4399999995</v>
      </c>
      <c r="W371" s="120">
        <f>W376+W374</f>
        <v>8631387.4399999995</v>
      </c>
      <c r="X371" s="118"/>
    </row>
    <row r="372" spans="1:24" ht="149.25" customHeight="1" x14ac:dyDescent="0.25">
      <c r="A372" s="118"/>
      <c r="B372" s="136" t="s">
        <v>138</v>
      </c>
      <c r="C372" s="136" t="s">
        <v>123</v>
      </c>
      <c r="D372" s="161" t="s">
        <v>646</v>
      </c>
      <c r="E372" s="136"/>
      <c r="F372" s="136"/>
      <c r="G372" s="136"/>
      <c r="H372" s="136"/>
      <c r="I372" s="136"/>
      <c r="J372" s="136"/>
      <c r="K372" s="136"/>
      <c r="L372" s="136"/>
      <c r="M372" s="136"/>
      <c r="N372" s="136"/>
      <c r="O372" s="136"/>
      <c r="P372" s="136"/>
      <c r="Q372" s="136"/>
      <c r="R372" s="136"/>
      <c r="S372" s="136"/>
      <c r="T372" s="153" t="s">
        <v>1353</v>
      </c>
      <c r="U372" s="120">
        <f>U373</f>
        <v>501484</v>
      </c>
      <c r="V372" s="120">
        <v>0</v>
      </c>
      <c r="W372" s="120">
        <v>0</v>
      </c>
      <c r="X372" s="118"/>
    </row>
    <row r="373" spans="1:24" ht="60" customHeight="1" x14ac:dyDescent="0.25">
      <c r="A373" s="118"/>
      <c r="B373" s="136" t="s">
        <v>138</v>
      </c>
      <c r="C373" s="136" t="s">
        <v>123</v>
      </c>
      <c r="D373" s="161" t="s">
        <v>646</v>
      </c>
      <c r="E373" s="136"/>
      <c r="F373" s="136"/>
      <c r="G373" s="136"/>
      <c r="H373" s="136"/>
      <c r="I373" s="136"/>
      <c r="J373" s="136"/>
      <c r="K373" s="136"/>
      <c r="L373" s="136"/>
      <c r="M373" s="136"/>
      <c r="N373" s="136"/>
      <c r="O373" s="136"/>
      <c r="P373" s="136"/>
      <c r="Q373" s="136"/>
      <c r="R373" s="136"/>
      <c r="S373" s="136" t="s">
        <v>294</v>
      </c>
      <c r="T373" s="135" t="s">
        <v>711</v>
      </c>
      <c r="U373" s="120">
        <f>П4ВСР!Z676</f>
        <v>501484</v>
      </c>
      <c r="V373" s="120">
        <v>0</v>
      </c>
      <c r="W373" s="120">
        <v>0</v>
      </c>
      <c r="X373" s="118"/>
    </row>
    <row r="374" spans="1:24" ht="149.25" customHeight="1" x14ac:dyDescent="0.25">
      <c r="A374" s="118"/>
      <c r="B374" s="136" t="s">
        <v>138</v>
      </c>
      <c r="C374" s="136" t="s">
        <v>123</v>
      </c>
      <c r="D374" s="161" t="s">
        <v>1112</v>
      </c>
      <c r="E374" s="136"/>
      <c r="F374" s="136"/>
      <c r="G374" s="136"/>
      <c r="H374" s="136"/>
      <c r="I374" s="136"/>
      <c r="J374" s="136"/>
      <c r="K374" s="136"/>
      <c r="L374" s="136"/>
      <c r="M374" s="136"/>
      <c r="N374" s="136"/>
      <c r="O374" s="136"/>
      <c r="P374" s="136"/>
      <c r="Q374" s="136"/>
      <c r="R374" s="136"/>
      <c r="S374" s="136"/>
      <c r="T374" s="155" t="s">
        <v>1344</v>
      </c>
      <c r="U374" s="120">
        <f>U375</f>
        <v>8631387.4399999995</v>
      </c>
      <c r="V374" s="120">
        <f>V375</f>
        <v>8631387.4399999995</v>
      </c>
      <c r="W374" s="120">
        <f>W375</f>
        <v>8631387.4399999995</v>
      </c>
      <c r="X374" s="118"/>
    </row>
    <row r="375" spans="1:24" ht="54.75" customHeight="1" x14ac:dyDescent="0.25">
      <c r="A375" s="118"/>
      <c r="B375" s="136" t="s">
        <v>138</v>
      </c>
      <c r="C375" s="136" t="s">
        <v>123</v>
      </c>
      <c r="D375" s="161" t="s">
        <v>1112</v>
      </c>
      <c r="E375" s="136"/>
      <c r="F375" s="136"/>
      <c r="G375" s="136"/>
      <c r="H375" s="136"/>
      <c r="I375" s="136"/>
      <c r="J375" s="136"/>
      <c r="K375" s="136"/>
      <c r="L375" s="136"/>
      <c r="M375" s="136"/>
      <c r="N375" s="136"/>
      <c r="O375" s="136"/>
      <c r="P375" s="136"/>
      <c r="Q375" s="136"/>
      <c r="R375" s="136"/>
      <c r="S375" s="136" t="s">
        <v>294</v>
      </c>
      <c r="T375" s="135" t="s">
        <v>1115</v>
      </c>
      <c r="U375" s="120">
        <f>П4ВСР!Z678</f>
        <v>8631387.4399999995</v>
      </c>
      <c r="V375" s="120">
        <f>П4ВСР!AA678</f>
        <v>8631387.4399999995</v>
      </c>
      <c r="W375" s="120">
        <f>П4ВСР!AB678</f>
        <v>8631387.4399999995</v>
      </c>
      <c r="X375" s="118"/>
    </row>
    <row r="376" spans="1:24" ht="0.75" customHeight="1" x14ac:dyDescent="0.25">
      <c r="A376" s="118"/>
      <c r="B376" s="136" t="s">
        <v>138</v>
      </c>
      <c r="C376" s="136" t="s">
        <v>123</v>
      </c>
      <c r="D376" s="161" t="s">
        <v>646</v>
      </c>
      <c r="E376" s="136"/>
      <c r="F376" s="136"/>
      <c r="G376" s="136"/>
      <c r="H376" s="136"/>
      <c r="I376" s="136"/>
      <c r="J376" s="136"/>
      <c r="K376" s="136"/>
      <c r="L376" s="136"/>
      <c r="M376" s="136"/>
      <c r="N376" s="136"/>
      <c r="O376" s="136"/>
      <c r="P376" s="136"/>
      <c r="Q376" s="136"/>
      <c r="R376" s="136"/>
      <c r="S376" s="136"/>
      <c r="T376" s="153" t="s">
        <v>645</v>
      </c>
      <c r="U376" s="120">
        <f t="shared" ref="U376:W376" si="11">U377</f>
        <v>0</v>
      </c>
      <c r="V376" s="120">
        <f t="shared" si="11"/>
        <v>0</v>
      </c>
      <c r="W376" s="120">
        <f t="shared" si="11"/>
        <v>0</v>
      </c>
      <c r="X376" s="118"/>
    </row>
    <row r="377" spans="1:24" ht="126.75" hidden="1" customHeight="1" x14ac:dyDescent="0.25">
      <c r="A377" s="118"/>
      <c r="B377" s="136" t="s">
        <v>138</v>
      </c>
      <c r="C377" s="136" t="s">
        <v>123</v>
      </c>
      <c r="D377" s="161" t="s">
        <v>646</v>
      </c>
      <c r="E377" s="136"/>
      <c r="F377" s="136"/>
      <c r="G377" s="136"/>
      <c r="H377" s="136"/>
      <c r="I377" s="136"/>
      <c r="J377" s="136"/>
      <c r="K377" s="136"/>
      <c r="L377" s="136"/>
      <c r="M377" s="136"/>
      <c r="N377" s="136"/>
      <c r="O377" s="136"/>
      <c r="P377" s="136"/>
      <c r="Q377" s="136"/>
      <c r="R377" s="136"/>
      <c r="S377" s="136" t="s">
        <v>294</v>
      </c>
      <c r="T377" s="135" t="s">
        <v>488</v>
      </c>
      <c r="U377" s="120">
        <f>П4ВСР!Z681</f>
        <v>0</v>
      </c>
      <c r="V377" s="120">
        <f>П4ВСР!AA681</f>
        <v>0</v>
      </c>
      <c r="W377" s="120">
        <f>П4ВСР!AB681</f>
        <v>0</v>
      </c>
      <c r="X377" s="118"/>
    </row>
    <row r="378" spans="1:24" ht="37.15" customHeight="1" x14ac:dyDescent="0.25">
      <c r="A378" s="118" t="s">
        <v>157</v>
      </c>
      <c r="B378" s="119" t="s">
        <v>138</v>
      </c>
      <c r="C378" s="119" t="s">
        <v>138</v>
      </c>
      <c r="D378" s="119"/>
      <c r="E378" s="119"/>
      <c r="F378" s="119"/>
      <c r="G378" s="119"/>
      <c r="H378" s="119"/>
      <c r="I378" s="119"/>
      <c r="J378" s="119"/>
      <c r="K378" s="119"/>
      <c r="L378" s="119"/>
      <c r="M378" s="119"/>
      <c r="N378" s="119"/>
      <c r="O378" s="119"/>
      <c r="P378" s="119"/>
      <c r="Q378" s="119"/>
      <c r="R378" s="119"/>
      <c r="S378" s="119"/>
      <c r="T378" s="227" t="s">
        <v>721</v>
      </c>
      <c r="U378" s="120">
        <f>U379+U381+U383+U385+U391+U393+U401+U396+U398+U387+U389</f>
        <v>4562332.0200000005</v>
      </c>
      <c r="V378" s="120">
        <f>V379+V381+V383+V385+V391+V393+V401+V396+V398+V387</f>
        <v>4147332.27</v>
      </c>
      <c r="W378" s="120">
        <f>W379+W381+W383+W385+W391+W393+W401+W396+W398+W387</f>
        <v>3164643.14</v>
      </c>
      <c r="X378" s="118" t="s">
        <v>157</v>
      </c>
    </row>
    <row r="379" spans="1:24" ht="118.5" customHeight="1" x14ac:dyDescent="0.25">
      <c r="A379" s="118" t="s">
        <v>369</v>
      </c>
      <c r="B379" s="134" t="s">
        <v>138</v>
      </c>
      <c r="C379" s="134" t="s">
        <v>138</v>
      </c>
      <c r="D379" s="134" t="s">
        <v>578</v>
      </c>
      <c r="E379" s="134"/>
      <c r="F379" s="134"/>
      <c r="G379" s="134"/>
      <c r="H379" s="134"/>
      <c r="I379" s="134"/>
      <c r="J379" s="134"/>
      <c r="K379" s="134"/>
      <c r="L379" s="134"/>
      <c r="M379" s="134"/>
      <c r="N379" s="134"/>
      <c r="O379" s="134"/>
      <c r="P379" s="134"/>
      <c r="Q379" s="134"/>
      <c r="R379" s="134"/>
      <c r="S379" s="134"/>
      <c r="T379" s="153" t="s">
        <v>1304</v>
      </c>
      <c r="U379" s="120">
        <f>U380</f>
        <v>50000</v>
      </c>
      <c r="V379" s="120">
        <f>V380</f>
        <v>50000</v>
      </c>
      <c r="W379" s="120">
        <f>W380</f>
        <v>50000</v>
      </c>
      <c r="X379" s="118" t="s">
        <v>369</v>
      </c>
    </row>
    <row r="380" spans="1:24" ht="45.75" customHeight="1" x14ac:dyDescent="0.25">
      <c r="A380" s="118" t="s">
        <v>370</v>
      </c>
      <c r="B380" s="140" t="s">
        <v>138</v>
      </c>
      <c r="C380" s="140" t="s">
        <v>138</v>
      </c>
      <c r="D380" s="134" t="s">
        <v>578</v>
      </c>
      <c r="E380" s="140"/>
      <c r="F380" s="140"/>
      <c r="G380" s="140"/>
      <c r="H380" s="140"/>
      <c r="I380" s="140"/>
      <c r="J380" s="140"/>
      <c r="K380" s="140"/>
      <c r="L380" s="140"/>
      <c r="M380" s="140"/>
      <c r="N380" s="140"/>
      <c r="O380" s="140"/>
      <c r="P380" s="140"/>
      <c r="Q380" s="140"/>
      <c r="R380" s="140"/>
      <c r="S380" s="140" t="s">
        <v>275</v>
      </c>
      <c r="T380" s="135" t="s">
        <v>565</v>
      </c>
      <c r="U380" s="120">
        <f>П4ВСР!Z261</f>
        <v>50000</v>
      </c>
      <c r="V380" s="120">
        <f>П4ВСР!AA261</f>
        <v>50000</v>
      </c>
      <c r="W380" s="120">
        <f>П4ВСР!AB261</f>
        <v>50000</v>
      </c>
      <c r="X380" s="118" t="s">
        <v>370</v>
      </c>
    </row>
    <row r="381" spans="1:24" ht="209.25" customHeight="1" x14ac:dyDescent="0.25">
      <c r="A381" s="118" t="s">
        <v>371</v>
      </c>
      <c r="B381" s="134" t="s">
        <v>138</v>
      </c>
      <c r="C381" s="134" t="s">
        <v>138</v>
      </c>
      <c r="D381" s="134" t="s">
        <v>579</v>
      </c>
      <c r="E381" s="134"/>
      <c r="F381" s="134"/>
      <c r="G381" s="134"/>
      <c r="H381" s="134"/>
      <c r="I381" s="134"/>
      <c r="J381" s="134"/>
      <c r="K381" s="134"/>
      <c r="L381" s="134"/>
      <c r="M381" s="134"/>
      <c r="N381" s="134"/>
      <c r="O381" s="134"/>
      <c r="P381" s="134"/>
      <c r="Q381" s="134"/>
      <c r="R381" s="134"/>
      <c r="S381" s="134"/>
      <c r="T381" s="153" t="s">
        <v>1305</v>
      </c>
      <c r="U381" s="120">
        <f>U382</f>
        <v>155000</v>
      </c>
      <c r="V381" s="120">
        <f>V382</f>
        <v>50000</v>
      </c>
      <c r="W381" s="120">
        <f>W382</f>
        <v>50000</v>
      </c>
      <c r="X381" s="118" t="s">
        <v>371</v>
      </c>
    </row>
    <row r="382" spans="1:24" ht="42.75" customHeight="1" x14ac:dyDescent="0.25">
      <c r="A382" s="118" t="s">
        <v>372</v>
      </c>
      <c r="B382" s="140" t="s">
        <v>138</v>
      </c>
      <c r="C382" s="140" t="s">
        <v>138</v>
      </c>
      <c r="D382" s="134" t="s">
        <v>579</v>
      </c>
      <c r="E382" s="140"/>
      <c r="F382" s="140"/>
      <c r="G382" s="140"/>
      <c r="H382" s="140"/>
      <c r="I382" s="140"/>
      <c r="J382" s="140"/>
      <c r="K382" s="140"/>
      <c r="L382" s="140"/>
      <c r="M382" s="140"/>
      <c r="N382" s="140"/>
      <c r="O382" s="140"/>
      <c r="P382" s="140"/>
      <c r="Q382" s="140"/>
      <c r="R382" s="140"/>
      <c r="S382" s="140" t="s">
        <v>275</v>
      </c>
      <c r="T382" s="135" t="s">
        <v>565</v>
      </c>
      <c r="U382" s="120">
        <f>П4ВСР!Z263</f>
        <v>155000</v>
      </c>
      <c r="V382" s="120">
        <f>П4ВСР!AA263</f>
        <v>50000</v>
      </c>
      <c r="W382" s="120">
        <f>П4ВСР!AB263</f>
        <v>50000</v>
      </c>
      <c r="X382" s="118" t="s">
        <v>372</v>
      </c>
    </row>
    <row r="383" spans="1:24" ht="182.25" customHeight="1" x14ac:dyDescent="0.25">
      <c r="A383" s="118" t="s">
        <v>373</v>
      </c>
      <c r="B383" s="134" t="s">
        <v>138</v>
      </c>
      <c r="C383" s="134" t="s">
        <v>138</v>
      </c>
      <c r="D383" s="134" t="s">
        <v>580</v>
      </c>
      <c r="E383" s="134"/>
      <c r="F383" s="134"/>
      <c r="G383" s="134"/>
      <c r="H383" s="134"/>
      <c r="I383" s="134"/>
      <c r="J383" s="134"/>
      <c r="K383" s="134"/>
      <c r="L383" s="134"/>
      <c r="M383" s="134"/>
      <c r="N383" s="134"/>
      <c r="O383" s="134"/>
      <c r="P383" s="134"/>
      <c r="Q383" s="134"/>
      <c r="R383" s="134"/>
      <c r="S383" s="134"/>
      <c r="T383" s="153" t="s">
        <v>1276</v>
      </c>
      <c r="U383" s="120">
        <f>U384</f>
        <v>53000</v>
      </c>
      <c r="V383" s="120">
        <f>V384</f>
        <v>53000</v>
      </c>
      <c r="W383" s="120">
        <f>W384</f>
        <v>53000</v>
      </c>
      <c r="X383" s="118" t="s">
        <v>373</v>
      </c>
    </row>
    <row r="384" spans="1:24" ht="48.75" customHeight="1" x14ac:dyDescent="0.25">
      <c r="A384" s="118" t="s">
        <v>374</v>
      </c>
      <c r="B384" s="140" t="s">
        <v>138</v>
      </c>
      <c r="C384" s="140" t="s">
        <v>138</v>
      </c>
      <c r="D384" s="134" t="s">
        <v>580</v>
      </c>
      <c r="E384" s="140"/>
      <c r="F384" s="140"/>
      <c r="G384" s="140"/>
      <c r="H384" s="140"/>
      <c r="I384" s="140"/>
      <c r="J384" s="140"/>
      <c r="K384" s="140"/>
      <c r="L384" s="140"/>
      <c r="M384" s="140"/>
      <c r="N384" s="140"/>
      <c r="O384" s="140"/>
      <c r="P384" s="140"/>
      <c r="Q384" s="140"/>
      <c r="R384" s="140"/>
      <c r="S384" s="140" t="s">
        <v>275</v>
      </c>
      <c r="T384" s="135" t="s">
        <v>565</v>
      </c>
      <c r="U384" s="120">
        <f>П4ВСР!Z265</f>
        <v>53000</v>
      </c>
      <c r="V384" s="120">
        <f>П4ВСР!AA265</f>
        <v>53000</v>
      </c>
      <c r="W384" s="120">
        <f>П4ВСР!AB265</f>
        <v>53000</v>
      </c>
      <c r="X384" s="118" t="s">
        <v>374</v>
      </c>
    </row>
    <row r="385" spans="1:24" ht="196.5" customHeight="1" x14ac:dyDescent="0.25">
      <c r="A385" s="118"/>
      <c r="B385" s="140" t="s">
        <v>138</v>
      </c>
      <c r="C385" s="140" t="s">
        <v>138</v>
      </c>
      <c r="D385" s="134" t="s">
        <v>581</v>
      </c>
      <c r="E385" s="140"/>
      <c r="F385" s="140"/>
      <c r="G385" s="140"/>
      <c r="H385" s="140"/>
      <c r="I385" s="140"/>
      <c r="J385" s="140"/>
      <c r="K385" s="140"/>
      <c r="L385" s="140"/>
      <c r="M385" s="140"/>
      <c r="N385" s="140"/>
      <c r="O385" s="140"/>
      <c r="P385" s="140"/>
      <c r="Q385" s="140"/>
      <c r="R385" s="140"/>
      <c r="S385" s="140"/>
      <c r="T385" s="153" t="s">
        <v>1306</v>
      </c>
      <c r="U385" s="120">
        <f>U386</f>
        <v>30000</v>
      </c>
      <c r="V385" s="120">
        <f>V386</f>
        <v>50000</v>
      </c>
      <c r="W385" s="120">
        <f>W386</f>
        <v>50000</v>
      </c>
      <c r="X385" s="118"/>
    </row>
    <row r="386" spans="1:24" ht="51" customHeight="1" x14ac:dyDescent="0.25">
      <c r="A386" s="118"/>
      <c r="B386" s="140" t="s">
        <v>138</v>
      </c>
      <c r="C386" s="140" t="s">
        <v>138</v>
      </c>
      <c r="D386" s="134" t="s">
        <v>581</v>
      </c>
      <c r="E386" s="140"/>
      <c r="F386" s="140"/>
      <c r="G386" s="140"/>
      <c r="H386" s="140"/>
      <c r="I386" s="140"/>
      <c r="J386" s="140"/>
      <c r="K386" s="140"/>
      <c r="L386" s="140"/>
      <c r="M386" s="140"/>
      <c r="N386" s="140"/>
      <c r="O386" s="140"/>
      <c r="P386" s="140"/>
      <c r="Q386" s="140"/>
      <c r="R386" s="140"/>
      <c r="S386" s="140" t="s">
        <v>275</v>
      </c>
      <c r="T386" s="135" t="s">
        <v>565</v>
      </c>
      <c r="U386" s="120">
        <f>П4ВСР!Z267</f>
        <v>30000</v>
      </c>
      <c r="V386" s="120">
        <f>П4ВСР!AA267</f>
        <v>50000</v>
      </c>
      <c r="W386" s="120">
        <f>П4ВСР!AB267</f>
        <v>50000</v>
      </c>
      <c r="X386" s="118"/>
    </row>
    <row r="387" spans="1:24" ht="195" hidden="1" customHeight="1" x14ac:dyDescent="0.25">
      <c r="A387" s="118"/>
      <c r="B387" s="140" t="s">
        <v>138</v>
      </c>
      <c r="C387" s="140" t="s">
        <v>138</v>
      </c>
      <c r="D387" s="234" t="s">
        <v>890</v>
      </c>
      <c r="E387" s="140"/>
      <c r="F387" s="140"/>
      <c r="G387" s="140"/>
      <c r="H387" s="140"/>
      <c r="I387" s="140"/>
      <c r="J387" s="140"/>
      <c r="K387" s="140"/>
      <c r="L387" s="140"/>
      <c r="M387" s="140"/>
      <c r="N387" s="140"/>
      <c r="O387" s="140"/>
      <c r="P387" s="140"/>
      <c r="Q387" s="140"/>
      <c r="R387" s="140"/>
      <c r="S387" s="140"/>
      <c r="T387" s="153" t="s">
        <v>888</v>
      </c>
      <c r="U387" s="120">
        <f>U388</f>
        <v>0</v>
      </c>
      <c r="V387" s="120">
        <v>0</v>
      </c>
      <c r="W387" s="120">
        <v>0</v>
      </c>
      <c r="X387" s="118"/>
    </row>
    <row r="388" spans="1:24" ht="108" hidden="1" customHeight="1" x14ac:dyDescent="0.25">
      <c r="A388" s="118"/>
      <c r="B388" s="140" t="s">
        <v>138</v>
      </c>
      <c r="C388" s="140" t="s">
        <v>138</v>
      </c>
      <c r="D388" s="234" t="s">
        <v>890</v>
      </c>
      <c r="E388" s="140"/>
      <c r="F388" s="140"/>
      <c r="G388" s="140"/>
      <c r="H388" s="140"/>
      <c r="I388" s="140"/>
      <c r="J388" s="140"/>
      <c r="K388" s="140"/>
      <c r="L388" s="140"/>
      <c r="M388" s="140"/>
      <c r="N388" s="140"/>
      <c r="O388" s="140"/>
      <c r="P388" s="140"/>
      <c r="Q388" s="140"/>
      <c r="R388" s="140"/>
      <c r="S388" s="140" t="s">
        <v>275</v>
      </c>
      <c r="T388" s="135" t="s">
        <v>889</v>
      </c>
      <c r="U388" s="120">
        <f>П4ВСР!Z269</f>
        <v>0</v>
      </c>
      <c r="V388" s="120">
        <v>0</v>
      </c>
      <c r="W388" s="120">
        <v>0</v>
      </c>
      <c r="X388" s="118"/>
    </row>
    <row r="389" spans="1:24" ht="108" customHeight="1" x14ac:dyDescent="0.25">
      <c r="A389" s="118"/>
      <c r="B389" s="140" t="s">
        <v>138</v>
      </c>
      <c r="C389" s="140" t="s">
        <v>138</v>
      </c>
      <c r="D389" s="234" t="s">
        <v>994</v>
      </c>
      <c r="E389" s="140"/>
      <c r="F389" s="140"/>
      <c r="G389" s="140"/>
      <c r="H389" s="140"/>
      <c r="I389" s="140"/>
      <c r="J389" s="140"/>
      <c r="K389" s="140"/>
      <c r="L389" s="140"/>
      <c r="M389" s="140"/>
      <c r="N389" s="140"/>
      <c r="O389" s="140"/>
      <c r="P389" s="140"/>
      <c r="Q389" s="140"/>
      <c r="R389" s="140"/>
      <c r="S389" s="140"/>
      <c r="T389" s="295" t="s">
        <v>1277</v>
      </c>
      <c r="U389" s="120">
        <f>U390</f>
        <v>130000</v>
      </c>
      <c r="V389" s="120">
        <v>0</v>
      </c>
      <c r="W389" s="120">
        <v>0</v>
      </c>
      <c r="X389" s="118"/>
    </row>
    <row r="390" spans="1:24" ht="34.5" customHeight="1" x14ac:dyDescent="0.25">
      <c r="A390" s="118"/>
      <c r="B390" s="140" t="s">
        <v>138</v>
      </c>
      <c r="C390" s="140" t="s">
        <v>138</v>
      </c>
      <c r="D390" s="234" t="s">
        <v>994</v>
      </c>
      <c r="E390" s="140"/>
      <c r="F390" s="140"/>
      <c r="G390" s="140"/>
      <c r="H390" s="140"/>
      <c r="I390" s="140"/>
      <c r="J390" s="140"/>
      <c r="K390" s="140"/>
      <c r="L390" s="140"/>
      <c r="M390" s="140"/>
      <c r="N390" s="140"/>
      <c r="O390" s="140"/>
      <c r="P390" s="140"/>
      <c r="Q390" s="140"/>
      <c r="R390" s="140"/>
      <c r="S390" s="140" t="s">
        <v>275</v>
      </c>
      <c r="T390" s="343" t="s">
        <v>565</v>
      </c>
      <c r="U390" s="120">
        <f>П4ВСР!Z271</f>
        <v>130000</v>
      </c>
      <c r="V390" s="120">
        <v>0</v>
      </c>
      <c r="W390" s="120">
        <v>0</v>
      </c>
      <c r="X390" s="118"/>
    </row>
    <row r="391" spans="1:24" ht="127.5" customHeight="1" x14ac:dyDescent="0.25">
      <c r="A391" s="118"/>
      <c r="B391" s="134" t="s">
        <v>138</v>
      </c>
      <c r="C391" s="134" t="s">
        <v>138</v>
      </c>
      <c r="D391" s="134" t="s">
        <v>582</v>
      </c>
      <c r="E391" s="134"/>
      <c r="F391" s="134"/>
      <c r="G391" s="134"/>
      <c r="H391" s="134"/>
      <c r="I391" s="134"/>
      <c r="J391" s="134"/>
      <c r="K391" s="134"/>
      <c r="L391" s="134"/>
      <c r="M391" s="134"/>
      <c r="N391" s="134"/>
      <c r="O391" s="134"/>
      <c r="P391" s="134"/>
      <c r="Q391" s="134"/>
      <c r="R391" s="134"/>
      <c r="S391" s="134"/>
      <c r="T391" s="153" t="s">
        <v>1278</v>
      </c>
      <c r="U391" s="120">
        <f>U392</f>
        <v>250000</v>
      </c>
      <c r="V391" s="120">
        <f>V392</f>
        <v>50000</v>
      </c>
      <c r="W391" s="120">
        <f>W392</f>
        <v>50000</v>
      </c>
      <c r="X391" s="118"/>
    </row>
    <row r="392" spans="1:24" ht="47.25" customHeight="1" x14ac:dyDescent="0.25">
      <c r="A392" s="118"/>
      <c r="B392" s="140" t="s">
        <v>138</v>
      </c>
      <c r="C392" s="140" t="s">
        <v>138</v>
      </c>
      <c r="D392" s="134" t="s">
        <v>582</v>
      </c>
      <c r="E392" s="140"/>
      <c r="F392" s="140"/>
      <c r="G392" s="140"/>
      <c r="H392" s="140"/>
      <c r="I392" s="140"/>
      <c r="J392" s="140"/>
      <c r="K392" s="140"/>
      <c r="L392" s="140"/>
      <c r="M392" s="140"/>
      <c r="N392" s="140"/>
      <c r="O392" s="140"/>
      <c r="P392" s="140"/>
      <c r="Q392" s="140"/>
      <c r="R392" s="140"/>
      <c r="S392" s="140" t="s">
        <v>275</v>
      </c>
      <c r="T392" s="135" t="s">
        <v>565</v>
      </c>
      <c r="U392" s="120">
        <f>П4ВСР!Z273</f>
        <v>250000</v>
      </c>
      <c r="V392" s="120">
        <f>П4ВСР!AA273</f>
        <v>50000</v>
      </c>
      <c r="W392" s="120">
        <f>П4ВСР!AB273</f>
        <v>50000</v>
      </c>
      <c r="X392" s="118"/>
    </row>
    <row r="393" spans="1:24" ht="136.5" customHeight="1" x14ac:dyDescent="0.25">
      <c r="A393" s="118" t="s">
        <v>458</v>
      </c>
      <c r="B393" s="161" t="s">
        <v>138</v>
      </c>
      <c r="C393" s="161" t="s">
        <v>138</v>
      </c>
      <c r="D393" s="161" t="s">
        <v>636</v>
      </c>
      <c r="E393" s="161"/>
      <c r="F393" s="161"/>
      <c r="G393" s="161"/>
      <c r="H393" s="161"/>
      <c r="I393" s="161"/>
      <c r="J393" s="161"/>
      <c r="K393" s="161"/>
      <c r="L393" s="161"/>
      <c r="M393" s="161"/>
      <c r="N393" s="161"/>
      <c r="O393" s="161"/>
      <c r="P393" s="161"/>
      <c r="Q393" s="161"/>
      <c r="R393" s="161"/>
      <c r="S393" s="161"/>
      <c r="T393" s="153" t="s">
        <v>1279</v>
      </c>
      <c r="U393" s="120">
        <f>U395+U394</f>
        <v>2345074.2200000002</v>
      </c>
      <c r="V393" s="120">
        <f>V395</f>
        <v>2500000</v>
      </c>
      <c r="W393" s="120">
        <f>W395</f>
        <v>2500000</v>
      </c>
      <c r="X393" s="118" t="s">
        <v>458</v>
      </c>
    </row>
    <row r="394" spans="1:24" ht="101.25" hidden="1" customHeight="1" x14ac:dyDescent="0.25">
      <c r="A394" s="118"/>
      <c r="B394" s="136" t="s">
        <v>138</v>
      </c>
      <c r="C394" s="136" t="s">
        <v>138</v>
      </c>
      <c r="D394" s="161" t="s">
        <v>636</v>
      </c>
      <c r="E394" s="136"/>
      <c r="F394" s="136"/>
      <c r="G394" s="136"/>
      <c r="H394" s="136"/>
      <c r="I394" s="136"/>
      <c r="J394" s="136"/>
      <c r="K394" s="136"/>
      <c r="L394" s="136"/>
      <c r="M394" s="136"/>
      <c r="N394" s="136"/>
      <c r="O394" s="136"/>
      <c r="P394" s="136"/>
      <c r="Q394" s="136"/>
      <c r="R394" s="136"/>
      <c r="S394" s="136" t="s">
        <v>275</v>
      </c>
      <c r="T394" s="153" t="s">
        <v>884</v>
      </c>
      <c r="U394" s="120">
        <f>П4ВСР!Z597</f>
        <v>0</v>
      </c>
      <c r="V394" s="120">
        <v>0</v>
      </c>
      <c r="W394" s="120">
        <v>0</v>
      </c>
      <c r="X394" s="118"/>
    </row>
    <row r="395" spans="1:24" ht="59.25" customHeight="1" x14ac:dyDescent="0.25">
      <c r="A395" s="118" t="s">
        <v>459</v>
      </c>
      <c r="B395" s="136" t="s">
        <v>138</v>
      </c>
      <c r="C395" s="136" t="s">
        <v>138</v>
      </c>
      <c r="D395" s="161" t="s">
        <v>636</v>
      </c>
      <c r="E395" s="136"/>
      <c r="F395" s="136"/>
      <c r="G395" s="136"/>
      <c r="H395" s="136"/>
      <c r="I395" s="136"/>
      <c r="J395" s="136"/>
      <c r="K395" s="136"/>
      <c r="L395" s="136"/>
      <c r="M395" s="136"/>
      <c r="N395" s="136"/>
      <c r="O395" s="136"/>
      <c r="P395" s="136"/>
      <c r="Q395" s="136"/>
      <c r="R395" s="136"/>
      <c r="S395" s="136" t="s">
        <v>294</v>
      </c>
      <c r="T395" s="135" t="s">
        <v>711</v>
      </c>
      <c r="U395" s="120">
        <f>П4ВСР!Z598</f>
        <v>2345074.2200000002</v>
      </c>
      <c r="V395" s="120">
        <f>П4ВСР!AA598</f>
        <v>2500000</v>
      </c>
      <c r="W395" s="120">
        <f>П4ВСР!AB598</f>
        <v>2500000</v>
      </c>
      <c r="X395" s="118" t="s">
        <v>459</v>
      </c>
    </row>
    <row r="396" spans="1:24" ht="130.5" hidden="1" customHeight="1" x14ac:dyDescent="0.25">
      <c r="A396" s="118"/>
      <c r="B396" s="136" t="s">
        <v>138</v>
      </c>
      <c r="C396" s="136" t="s">
        <v>138</v>
      </c>
      <c r="D396" s="161" t="s">
        <v>785</v>
      </c>
      <c r="E396" s="136"/>
      <c r="F396" s="136"/>
      <c r="G396" s="136"/>
      <c r="H396" s="136"/>
      <c r="I396" s="136"/>
      <c r="J396" s="136"/>
      <c r="K396" s="136"/>
      <c r="L396" s="136"/>
      <c r="M396" s="136"/>
      <c r="N396" s="136"/>
      <c r="O396" s="136"/>
      <c r="P396" s="136"/>
      <c r="Q396" s="136"/>
      <c r="R396" s="136"/>
      <c r="S396" s="136"/>
      <c r="T396" s="153" t="s">
        <v>635</v>
      </c>
      <c r="U396" s="120">
        <f>U397</f>
        <v>0</v>
      </c>
      <c r="V396" s="120">
        <f>V397</f>
        <v>0</v>
      </c>
      <c r="W396" s="120">
        <f>W397</f>
        <v>0</v>
      </c>
      <c r="X396" s="118"/>
    </row>
    <row r="397" spans="1:24" ht="130.5" hidden="1" customHeight="1" x14ac:dyDescent="0.25">
      <c r="A397" s="118"/>
      <c r="B397" s="136" t="s">
        <v>138</v>
      </c>
      <c r="C397" s="136" t="s">
        <v>138</v>
      </c>
      <c r="D397" s="161" t="s">
        <v>785</v>
      </c>
      <c r="E397" s="136"/>
      <c r="F397" s="136"/>
      <c r="G397" s="136"/>
      <c r="H397" s="136"/>
      <c r="I397" s="136"/>
      <c r="J397" s="136"/>
      <c r="K397" s="136"/>
      <c r="L397" s="136"/>
      <c r="M397" s="136"/>
      <c r="N397" s="136"/>
      <c r="O397" s="136"/>
      <c r="P397" s="136"/>
      <c r="Q397" s="136"/>
      <c r="R397" s="136"/>
      <c r="S397" s="136" t="s">
        <v>294</v>
      </c>
      <c r="T397" s="135" t="s">
        <v>459</v>
      </c>
      <c r="U397" s="120">
        <f>П4ВСР!Z600</f>
        <v>0</v>
      </c>
      <c r="V397" s="120">
        <f>П4ВСР!AA600</f>
        <v>0</v>
      </c>
      <c r="W397" s="120">
        <f>П4ВСР!AB600</f>
        <v>0</v>
      </c>
      <c r="X397" s="118"/>
    </row>
    <row r="398" spans="1:24" ht="140.25" customHeight="1" x14ac:dyDescent="0.25">
      <c r="A398" s="118"/>
      <c r="B398" s="136" t="s">
        <v>138</v>
      </c>
      <c r="C398" s="136" t="s">
        <v>138</v>
      </c>
      <c r="D398" s="161" t="s">
        <v>785</v>
      </c>
      <c r="E398" s="136"/>
      <c r="F398" s="136"/>
      <c r="G398" s="136"/>
      <c r="H398" s="136"/>
      <c r="I398" s="136"/>
      <c r="J398" s="136"/>
      <c r="K398" s="136"/>
      <c r="L398" s="136"/>
      <c r="M398" s="136"/>
      <c r="N398" s="136"/>
      <c r="O398" s="136"/>
      <c r="P398" s="136"/>
      <c r="Q398" s="136"/>
      <c r="R398" s="136"/>
      <c r="S398" s="136"/>
      <c r="T398" s="153" t="s">
        <v>1280</v>
      </c>
      <c r="U398" s="120">
        <f>U399+U400+U402</f>
        <v>1549257.8</v>
      </c>
      <c r="V398" s="120">
        <f>V399+V400</f>
        <v>1394332.27</v>
      </c>
      <c r="W398" s="120">
        <f>W399+W400</f>
        <v>411643.14</v>
      </c>
      <c r="X398" s="118"/>
    </row>
    <row r="399" spans="1:24" ht="1.5" hidden="1" customHeight="1" x14ac:dyDescent="0.25">
      <c r="A399" s="118"/>
      <c r="B399" s="136" t="s">
        <v>138</v>
      </c>
      <c r="C399" s="136" t="s">
        <v>138</v>
      </c>
      <c r="D399" s="161" t="s">
        <v>785</v>
      </c>
      <c r="E399" s="136"/>
      <c r="F399" s="136"/>
      <c r="G399" s="136"/>
      <c r="H399" s="136"/>
      <c r="I399" s="136"/>
      <c r="J399" s="136"/>
      <c r="K399" s="136"/>
      <c r="L399" s="136"/>
      <c r="M399" s="136"/>
      <c r="N399" s="136"/>
      <c r="O399" s="136"/>
      <c r="P399" s="136"/>
      <c r="Q399" s="136"/>
      <c r="R399" s="136"/>
      <c r="S399" s="136" t="s">
        <v>275</v>
      </c>
      <c r="T399" s="135" t="s">
        <v>565</v>
      </c>
      <c r="U399" s="120">
        <f>П4ВСР!Z602</f>
        <v>0</v>
      </c>
      <c r="V399" s="120">
        <f>П4ВСР!AA602</f>
        <v>0</v>
      </c>
      <c r="W399" s="120">
        <f>П4ВСР!AB602</f>
        <v>0</v>
      </c>
      <c r="X399" s="118"/>
    </row>
    <row r="400" spans="1:24" ht="60" customHeight="1" x14ac:dyDescent="0.25">
      <c r="A400" s="118"/>
      <c r="B400" s="136" t="s">
        <v>138</v>
      </c>
      <c r="C400" s="136" t="s">
        <v>138</v>
      </c>
      <c r="D400" s="161" t="s">
        <v>785</v>
      </c>
      <c r="E400" s="136"/>
      <c r="F400" s="136"/>
      <c r="G400" s="136"/>
      <c r="H400" s="136"/>
      <c r="I400" s="136"/>
      <c r="J400" s="136"/>
      <c r="K400" s="136"/>
      <c r="L400" s="136"/>
      <c r="M400" s="136"/>
      <c r="N400" s="136"/>
      <c r="O400" s="136"/>
      <c r="P400" s="136"/>
      <c r="Q400" s="136"/>
      <c r="R400" s="136"/>
      <c r="S400" s="136" t="s">
        <v>294</v>
      </c>
      <c r="T400" s="135" t="s">
        <v>711</v>
      </c>
      <c r="U400" s="120">
        <f>П4ВСР!Z603</f>
        <v>1549257.8</v>
      </c>
      <c r="V400" s="120">
        <f>П4ВСР!AA603</f>
        <v>1394332.27</v>
      </c>
      <c r="W400" s="120">
        <f>П4ВСР!AB603</f>
        <v>411643.14</v>
      </c>
      <c r="X400" s="118"/>
    </row>
    <row r="401" spans="1:24" ht="66" hidden="1" customHeight="1" x14ac:dyDescent="0.25">
      <c r="A401" s="118"/>
      <c r="B401" s="136" t="s">
        <v>138</v>
      </c>
      <c r="C401" s="136" t="s">
        <v>138</v>
      </c>
      <c r="D401" s="161" t="s">
        <v>712</v>
      </c>
      <c r="E401" s="136"/>
      <c r="F401" s="136"/>
      <c r="G401" s="136"/>
      <c r="H401" s="136"/>
      <c r="I401" s="136"/>
      <c r="J401" s="136"/>
      <c r="K401" s="136"/>
      <c r="L401" s="136"/>
      <c r="M401" s="136"/>
      <c r="N401" s="136"/>
      <c r="O401" s="136"/>
      <c r="P401" s="136"/>
      <c r="Q401" s="136"/>
      <c r="R401" s="136"/>
      <c r="S401" s="136"/>
      <c r="T401" s="135" t="s">
        <v>710</v>
      </c>
      <c r="U401" s="120">
        <v>0</v>
      </c>
      <c r="V401" s="120">
        <f>V402</f>
        <v>0</v>
      </c>
      <c r="W401" s="120">
        <f>W402</f>
        <v>0</v>
      </c>
      <c r="X401" s="118"/>
    </row>
    <row r="402" spans="1:24" ht="53.25" hidden="1" customHeight="1" x14ac:dyDescent="0.25">
      <c r="A402" s="118"/>
      <c r="B402" s="136" t="s">
        <v>138</v>
      </c>
      <c r="C402" s="136" t="s">
        <v>138</v>
      </c>
      <c r="D402" s="161" t="s">
        <v>785</v>
      </c>
      <c r="E402" s="136"/>
      <c r="F402" s="136"/>
      <c r="G402" s="136"/>
      <c r="H402" s="136"/>
      <c r="I402" s="136"/>
      <c r="J402" s="136"/>
      <c r="K402" s="136"/>
      <c r="L402" s="136"/>
      <c r="M402" s="136"/>
      <c r="N402" s="136"/>
      <c r="O402" s="136"/>
      <c r="P402" s="136"/>
      <c r="Q402" s="136"/>
      <c r="R402" s="136"/>
      <c r="S402" s="136" t="s">
        <v>275</v>
      </c>
      <c r="T402" s="135" t="s">
        <v>565</v>
      </c>
      <c r="U402" s="120">
        <f>П4ВСР!Z605</f>
        <v>0</v>
      </c>
      <c r="V402" s="120">
        <f>П4ВСР!AA605</f>
        <v>0</v>
      </c>
      <c r="W402" s="120">
        <f>П4ВСР!AB605</f>
        <v>0</v>
      </c>
      <c r="X402" s="118"/>
    </row>
    <row r="403" spans="1:24" ht="33.75" customHeight="1" x14ac:dyDescent="0.25">
      <c r="A403" s="118" t="s">
        <v>158</v>
      </c>
      <c r="B403" s="119" t="s">
        <v>138</v>
      </c>
      <c r="C403" s="119" t="s">
        <v>127</v>
      </c>
      <c r="D403" s="119"/>
      <c r="E403" s="119"/>
      <c r="F403" s="119"/>
      <c r="G403" s="119"/>
      <c r="H403" s="119"/>
      <c r="I403" s="119"/>
      <c r="J403" s="119"/>
      <c r="K403" s="119"/>
      <c r="L403" s="119"/>
      <c r="M403" s="119"/>
      <c r="N403" s="119"/>
      <c r="O403" s="119"/>
      <c r="P403" s="119"/>
      <c r="Q403" s="119"/>
      <c r="R403" s="119"/>
      <c r="S403" s="119"/>
      <c r="T403" s="118" t="s">
        <v>158</v>
      </c>
      <c r="U403" s="120">
        <f>U404+U409+U419+U425+U423+U415+U407+U427</f>
        <v>29466881.200000003</v>
      </c>
      <c r="V403" s="120">
        <f>V404+V409+V419+V425+V423+V415+V407</f>
        <v>25603435.960000001</v>
      </c>
      <c r="W403" s="120">
        <f>W404+W409+W419+W425+W423+W415+W407</f>
        <v>24394219.469999999</v>
      </c>
      <c r="X403" s="118" t="s">
        <v>158</v>
      </c>
    </row>
    <row r="404" spans="1:24" ht="47.25" hidden="1" customHeight="1" x14ac:dyDescent="0.25">
      <c r="A404" s="118" t="s">
        <v>235</v>
      </c>
      <c r="B404" s="134" t="s">
        <v>138</v>
      </c>
      <c r="C404" s="134" t="s">
        <v>127</v>
      </c>
      <c r="D404" s="134" t="s">
        <v>590</v>
      </c>
      <c r="E404" s="134"/>
      <c r="F404" s="134"/>
      <c r="G404" s="134"/>
      <c r="H404" s="134"/>
      <c r="I404" s="134"/>
      <c r="J404" s="134"/>
      <c r="K404" s="134"/>
      <c r="L404" s="134"/>
      <c r="M404" s="134"/>
      <c r="N404" s="134"/>
      <c r="O404" s="134"/>
      <c r="P404" s="134"/>
      <c r="Q404" s="134"/>
      <c r="R404" s="134"/>
      <c r="S404" s="134"/>
      <c r="T404" s="153" t="s">
        <v>235</v>
      </c>
      <c r="U404" s="120">
        <f>U405+U406</f>
        <v>0</v>
      </c>
      <c r="V404" s="120">
        <f>V405+V406</f>
        <v>0</v>
      </c>
      <c r="W404" s="120">
        <f>W405+W406</f>
        <v>0</v>
      </c>
      <c r="X404" s="118" t="s">
        <v>235</v>
      </c>
    </row>
    <row r="405" spans="1:24" ht="23.25" hidden="1" customHeight="1" x14ac:dyDescent="0.25">
      <c r="A405" s="124" t="s">
        <v>377</v>
      </c>
      <c r="B405" s="140" t="s">
        <v>138</v>
      </c>
      <c r="C405" s="140" t="s">
        <v>127</v>
      </c>
      <c r="D405" s="134" t="s">
        <v>590</v>
      </c>
      <c r="E405" s="140"/>
      <c r="F405" s="140"/>
      <c r="G405" s="140"/>
      <c r="H405" s="140"/>
      <c r="I405" s="140"/>
      <c r="J405" s="140"/>
      <c r="K405" s="140"/>
      <c r="L405" s="140"/>
      <c r="M405" s="140"/>
      <c r="N405" s="140"/>
      <c r="O405" s="140"/>
      <c r="P405" s="140"/>
      <c r="Q405" s="140"/>
      <c r="R405" s="140"/>
      <c r="S405" s="140" t="s">
        <v>38</v>
      </c>
      <c r="T405" s="154" t="s">
        <v>377</v>
      </c>
      <c r="U405" s="120">
        <v>0</v>
      </c>
      <c r="V405" s="120">
        <f>П4ВСР!AA276</f>
        <v>0</v>
      </c>
      <c r="W405" s="120">
        <f>П4ВСР!AB276</f>
        <v>0</v>
      </c>
      <c r="X405" s="124" t="s">
        <v>377</v>
      </c>
    </row>
    <row r="406" spans="1:24" ht="33.75" hidden="1" customHeight="1" x14ac:dyDescent="0.25">
      <c r="A406" s="124" t="s">
        <v>378</v>
      </c>
      <c r="B406" s="140" t="s">
        <v>138</v>
      </c>
      <c r="C406" s="140" t="s">
        <v>127</v>
      </c>
      <c r="D406" s="134" t="s">
        <v>590</v>
      </c>
      <c r="E406" s="140"/>
      <c r="F406" s="140"/>
      <c r="G406" s="140"/>
      <c r="H406" s="140"/>
      <c r="I406" s="140"/>
      <c r="J406" s="140"/>
      <c r="K406" s="140"/>
      <c r="L406" s="140"/>
      <c r="M406" s="140"/>
      <c r="N406" s="140"/>
      <c r="O406" s="140"/>
      <c r="P406" s="140"/>
      <c r="Q406" s="140"/>
      <c r="R406" s="140"/>
      <c r="S406" s="140" t="s">
        <v>275</v>
      </c>
      <c r="T406" s="154" t="s">
        <v>378</v>
      </c>
      <c r="U406" s="120">
        <f>П4ВСР!Z277</f>
        <v>0</v>
      </c>
      <c r="V406" s="120">
        <f>П4ВСР!AA277</f>
        <v>0</v>
      </c>
      <c r="W406" s="120">
        <f>П4ВСР!AB277</f>
        <v>0</v>
      </c>
      <c r="X406" s="124" t="s">
        <v>378</v>
      </c>
    </row>
    <row r="407" spans="1:24" ht="33" hidden="1" customHeight="1" x14ac:dyDescent="0.25">
      <c r="A407" s="124"/>
      <c r="B407" s="140" t="s">
        <v>138</v>
      </c>
      <c r="C407" s="140" t="s">
        <v>127</v>
      </c>
      <c r="D407" s="161" t="s">
        <v>1122</v>
      </c>
      <c r="E407" s="140"/>
      <c r="F407" s="140"/>
      <c r="G407" s="140"/>
      <c r="H407" s="140"/>
      <c r="I407" s="140"/>
      <c r="J407" s="140"/>
      <c r="K407" s="140"/>
      <c r="L407" s="140"/>
      <c r="M407" s="140"/>
      <c r="N407" s="140"/>
      <c r="O407" s="140"/>
      <c r="P407" s="140"/>
      <c r="Q407" s="140"/>
      <c r="R407" s="140"/>
      <c r="S407" s="140"/>
      <c r="T407" s="155" t="s">
        <v>1351</v>
      </c>
      <c r="U407" s="120">
        <f>U408</f>
        <v>0</v>
      </c>
      <c r="V407" s="120">
        <f>V408</f>
        <v>0</v>
      </c>
      <c r="W407" s="120">
        <f>W408</f>
        <v>0</v>
      </c>
      <c r="X407" s="124"/>
    </row>
    <row r="408" spans="1:24" ht="47.25" hidden="1" customHeight="1" x14ac:dyDescent="0.25">
      <c r="A408" s="124"/>
      <c r="B408" s="140" t="s">
        <v>138</v>
      </c>
      <c r="C408" s="140" t="s">
        <v>127</v>
      </c>
      <c r="D408" s="161" t="s">
        <v>1122</v>
      </c>
      <c r="E408" s="140"/>
      <c r="F408" s="140"/>
      <c r="G408" s="140"/>
      <c r="H408" s="140"/>
      <c r="I408" s="140"/>
      <c r="J408" s="140"/>
      <c r="K408" s="140"/>
      <c r="L408" s="140"/>
      <c r="M408" s="140"/>
      <c r="N408" s="140"/>
      <c r="O408" s="140"/>
      <c r="P408" s="140"/>
      <c r="Q408" s="140"/>
      <c r="R408" s="140"/>
      <c r="S408" s="140" t="s">
        <v>38</v>
      </c>
      <c r="T408" s="154" t="s">
        <v>726</v>
      </c>
      <c r="U408" s="120">
        <f>П4ВСР!Z607</f>
        <v>0</v>
      </c>
      <c r="V408" s="120">
        <f>П4ВСР!AA607</f>
        <v>0</v>
      </c>
      <c r="W408" s="120">
        <f>П4ВСР!AB607</f>
        <v>0</v>
      </c>
      <c r="X408" s="124"/>
    </row>
    <row r="409" spans="1:24" ht="164.25" customHeight="1" x14ac:dyDescent="0.25">
      <c r="A409" s="118" t="s">
        <v>460</v>
      </c>
      <c r="B409" s="161" t="s">
        <v>138</v>
      </c>
      <c r="C409" s="161" t="s">
        <v>127</v>
      </c>
      <c r="D409" s="161" t="s">
        <v>637</v>
      </c>
      <c r="E409" s="161"/>
      <c r="F409" s="161"/>
      <c r="G409" s="161"/>
      <c r="H409" s="161"/>
      <c r="I409" s="161"/>
      <c r="J409" s="161"/>
      <c r="K409" s="161"/>
      <c r="L409" s="161"/>
      <c r="M409" s="161"/>
      <c r="N409" s="161"/>
      <c r="O409" s="161"/>
      <c r="P409" s="161"/>
      <c r="Q409" s="161"/>
      <c r="R409" s="161"/>
      <c r="S409" s="161"/>
      <c r="T409" s="153" t="s">
        <v>1281</v>
      </c>
      <c r="U409" s="120">
        <f>U411+U412+U413+U414</f>
        <v>6974935.1100000003</v>
      </c>
      <c r="V409" s="120">
        <f>V411+V412+V413+V414</f>
        <v>6134313.7400000002</v>
      </c>
      <c r="W409" s="120">
        <f>W411+W412+W413+W414</f>
        <v>6134313.7400000002</v>
      </c>
      <c r="X409" s="118" t="s">
        <v>460</v>
      </c>
    </row>
    <row r="410" spans="1:24" ht="178.5" hidden="1" customHeight="1" x14ac:dyDescent="0.25">
      <c r="A410" s="118"/>
      <c r="B410" s="136"/>
      <c r="C410" s="136"/>
      <c r="D410" s="161"/>
      <c r="E410" s="161"/>
      <c r="F410" s="161"/>
      <c r="G410" s="161"/>
      <c r="H410" s="161"/>
      <c r="I410" s="161"/>
      <c r="J410" s="161"/>
      <c r="K410" s="161"/>
      <c r="L410" s="161"/>
      <c r="M410" s="161"/>
      <c r="N410" s="161"/>
      <c r="O410" s="161"/>
      <c r="P410" s="161"/>
      <c r="Q410" s="161"/>
      <c r="R410" s="161"/>
      <c r="S410" s="161"/>
      <c r="T410" s="155"/>
      <c r="U410" s="120"/>
      <c r="V410" s="120"/>
      <c r="W410" s="120"/>
      <c r="X410" s="118"/>
    </row>
    <row r="411" spans="1:24" ht="111" hidden="1" customHeight="1" x14ac:dyDescent="0.25">
      <c r="A411" s="118"/>
      <c r="B411" s="136"/>
      <c r="C411" s="136"/>
      <c r="D411" s="161"/>
      <c r="E411" s="161"/>
      <c r="F411" s="161"/>
      <c r="G411" s="161"/>
      <c r="H411" s="161"/>
      <c r="I411" s="161"/>
      <c r="J411" s="161"/>
      <c r="K411" s="161"/>
      <c r="L411" s="161"/>
      <c r="M411" s="161"/>
      <c r="N411" s="161"/>
      <c r="O411" s="161"/>
      <c r="P411" s="161"/>
      <c r="Q411" s="161"/>
      <c r="R411" s="161"/>
      <c r="S411" s="161"/>
      <c r="T411" s="154"/>
      <c r="U411" s="120"/>
      <c r="V411" s="120"/>
      <c r="W411" s="120"/>
      <c r="X411" s="118"/>
    </row>
    <row r="412" spans="1:24" ht="99.75" customHeight="1" x14ac:dyDescent="0.25">
      <c r="A412" s="124" t="s">
        <v>461</v>
      </c>
      <c r="B412" s="136" t="s">
        <v>138</v>
      </c>
      <c r="C412" s="136" t="s">
        <v>127</v>
      </c>
      <c r="D412" s="161" t="s">
        <v>637</v>
      </c>
      <c r="E412" s="136"/>
      <c r="F412" s="136"/>
      <c r="G412" s="136"/>
      <c r="H412" s="136"/>
      <c r="I412" s="136"/>
      <c r="J412" s="136"/>
      <c r="K412" s="136"/>
      <c r="L412" s="136"/>
      <c r="M412" s="136"/>
      <c r="N412" s="136"/>
      <c r="O412" s="136"/>
      <c r="P412" s="136"/>
      <c r="Q412" s="136"/>
      <c r="R412" s="136"/>
      <c r="S412" s="136" t="s">
        <v>38</v>
      </c>
      <c r="T412" s="154" t="s">
        <v>726</v>
      </c>
      <c r="U412" s="120">
        <f>П4ВСР!Z612</f>
        <v>6790423.1100000003</v>
      </c>
      <c r="V412" s="120">
        <f>П4ВСР!AA612</f>
        <v>5964113.7400000002</v>
      </c>
      <c r="W412" s="120">
        <f>П4ВСР!AB612</f>
        <v>5964113.7400000002</v>
      </c>
      <c r="X412" s="124" t="s">
        <v>461</v>
      </c>
    </row>
    <row r="413" spans="1:24" ht="45.75" customHeight="1" x14ac:dyDescent="0.25">
      <c r="A413" s="118" t="s">
        <v>462</v>
      </c>
      <c r="B413" s="136" t="s">
        <v>138</v>
      </c>
      <c r="C413" s="136" t="s">
        <v>127</v>
      </c>
      <c r="D413" s="161" t="s">
        <v>637</v>
      </c>
      <c r="E413" s="136"/>
      <c r="F413" s="136"/>
      <c r="G413" s="136"/>
      <c r="H413" s="136"/>
      <c r="I413" s="136"/>
      <c r="J413" s="136"/>
      <c r="K413" s="136"/>
      <c r="L413" s="136"/>
      <c r="M413" s="136"/>
      <c r="N413" s="136"/>
      <c r="O413" s="136"/>
      <c r="P413" s="136"/>
      <c r="Q413" s="136"/>
      <c r="R413" s="136"/>
      <c r="S413" s="136" t="s">
        <v>275</v>
      </c>
      <c r="T413" s="135" t="s">
        <v>565</v>
      </c>
      <c r="U413" s="120">
        <f>П4ВСР!Z613</f>
        <v>176012</v>
      </c>
      <c r="V413" s="120">
        <f>П4ВСР!AA613</f>
        <v>170200</v>
      </c>
      <c r="W413" s="120">
        <f>П4ВСР!AB613</f>
        <v>170200</v>
      </c>
      <c r="X413" s="118" t="s">
        <v>462</v>
      </c>
    </row>
    <row r="414" spans="1:24" ht="25.5" customHeight="1" x14ac:dyDescent="0.25">
      <c r="A414" s="118"/>
      <c r="B414" s="136" t="s">
        <v>138</v>
      </c>
      <c r="C414" s="136" t="s">
        <v>127</v>
      </c>
      <c r="D414" s="161" t="s">
        <v>637</v>
      </c>
      <c r="E414" s="136"/>
      <c r="F414" s="136"/>
      <c r="G414" s="136"/>
      <c r="H414" s="136"/>
      <c r="I414" s="136"/>
      <c r="J414" s="136"/>
      <c r="K414" s="136"/>
      <c r="L414" s="136"/>
      <c r="M414" s="136"/>
      <c r="N414" s="136"/>
      <c r="O414" s="136"/>
      <c r="P414" s="136"/>
      <c r="Q414" s="136"/>
      <c r="R414" s="136"/>
      <c r="S414" s="136" t="s">
        <v>243</v>
      </c>
      <c r="T414" s="135" t="s">
        <v>763</v>
      </c>
      <c r="U414" s="120">
        <f>П4ВСР!Z614</f>
        <v>8500</v>
      </c>
      <c r="V414" s="120">
        <f>П4ВСР!AA614</f>
        <v>0</v>
      </c>
      <c r="W414" s="120">
        <f>П4ВСР!AB614</f>
        <v>0</v>
      </c>
      <c r="X414" s="118"/>
    </row>
    <row r="415" spans="1:24" ht="176.25" hidden="1" customHeight="1" x14ac:dyDescent="0.25">
      <c r="A415" s="118"/>
      <c r="B415" s="136" t="s">
        <v>138</v>
      </c>
      <c r="C415" s="136" t="s">
        <v>127</v>
      </c>
      <c r="D415" s="161" t="s">
        <v>1122</v>
      </c>
      <c r="E415" s="136"/>
      <c r="F415" s="136"/>
      <c r="G415" s="136"/>
      <c r="H415" s="136"/>
      <c r="I415" s="136"/>
      <c r="J415" s="136"/>
      <c r="K415" s="136"/>
      <c r="L415" s="136"/>
      <c r="M415" s="136"/>
      <c r="N415" s="136"/>
      <c r="O415" s="136"/>
      <c r="P415" s="136"/>
      <c r="Q415" s="136"/>
      <c r="R415" s="136"/>
      <c r="S415" s="136"/>
      <c r="T415" s="155" t="s">
        <v>1351</v>
      </c>
      <c r="U415" s="120">
        <f>U416+U417+U418</f>
        <v>0</v>
      </c>
      <c r="V415" s="120">
        <f>V416+V417+V418</f>
        <v>0</v>
      </c>
      <c r="W415" s="120">
        <f>W416+W417+W418</f>
        <v>0</v>
      </c>
      <c r="X415" s="118"/>
    </row>
    <row r="416" spans="1:24" ht="103.5" hidden="1" customHeight="1" x14ac:dyDescent="0.25">
      <c r="A416" s="118"/>
      <c r="B416" s="136" t="s">
        <v>138</v>
      </c>
      <c r="C416" s="136" t="s">
        <v>127</v>
      </c>
      <c r="D416" s="161" t="s">
        <v>1122</v>
      </c>
      <c r="E416" s="136"/>
      <c r="F416" s="136"/>
      <c r="G416" s="136"/>
      <c r="H416" s="136"/>
      <c r="I416" s="136"/>
      <c r="J416" s="136"/>
      <c r="K416" s="136"/>
      <c r="L416" s="136"/>
      <c r="M416" s="136"/>
      <c r="N416" s="136"/>
      <c r="O416" s="136"/>
      <c r="P416" s="136"/>
      <c r="Q416" s="136"/>
      <c r="R416" s="136"/>
      <c r="S416" s="136" t="s">
        <v>38</v>
      </c>
      <c r="T416" s="135" t="s">
        <v>726</v>
      </c>
      <c r="U416" s="120">
        <f>П4ВСР!Z616</f>
        <v>0</v>
      </c>
      <c r="V416" s="120">
        <f>П4ВСР!AA616</f>
        <v>0</v>
      </c>
      <c r="W416" s="120">
        <f>П4ВСР!AB616</f>
        <v>0</v>
      </c>
      <c r="X416" s="118"/>
    </row>
    <row r="417" spans="1:27" ht="54.75" hidden="1" customHeight="1" x14ac:dyDescent="0.25">
      <c r="A417" s="118"/>
      <c r="B417" s="136" t="s">
        <v>138</v>
      </c>
      <c r="C417" s="136" t="s">
        <v>127</v>
      </c>
      <c r="D417" s="161" t="s">
        <v>1122</v>
      </c>
      <c r="E417" s="136"/>
      <c r="F417" s="136"/>
      <c r="G417" s="136"/>
      <c r="H417" s="136"/>
      <c r="I417" s="136"/>
      <c r="J417" s="136"/>
      <c r="K417" s="136"/>
      <c r="L417" s="136"/>
      <c r="M417" s="136"/>
      <c r="N417" s="136"/>
      <c r="O417" s="136"/>
      <c r="P417" s="136"/>
      <c r="Q417" s="136"/>
      <c r="R417" s="136"/>
      <c r="S417" s="136" t="s">
        <v>275</v>
      </c>
      <c r="T417" s="135" t="s">
        <v>565</v>
      </c>
      <c r="U417" s="120">
        <f>П4ВСР!Z617</f>
        <v>0</v>
      </c>
      <c r="V417" s="120">
        <f>П4ВСР!AA617</f>
        <v>0</v>
      </c>
      <c r="W417" s="120">
        <f>П4ВСР!AB617</f>
        <v>0</v>
      </c>
      <c r="X417" s="118"/>
    </row>
    <row r="418" spans="1:27" ht="22.5" hidden="1" customHeight="1" x14ac:dyDescent="0.25">
      <c r="A418" s="118"/>
      <c r="B418" s="136" t="s">
        <v>138</v>
      </c>
      <c r="C418" s="136" t="s">
        <v>127</v>
      </c>
      <c r="D418" s="161" t="s">
        <v>1122</v>
      </c>
      <c r="E418" s="136"/>
      <c r="F418" s="136"/>
      <c r="G418" s="136"/>
      <c r="H418" s="136"/>
      <c r="I418" s="136"/>
      <c r="J418" s="136"/>
      <c r="K418" s="136"/>
      <c r="L418" s="136"/>
      <c r="M418" s="136"/>
      <c r="N418" s="136"/>
      <c r="O418" s="136"/>
      <c r="P418" s="136"/>
      <c r="Q418" s="136"/>
      <c r="R418" s="136"/>
      <c r="S418" s="136" t="s">
        <v>243</v>
      </c>
      <c r="T418" s="135" t="s">
        <v>763</v>
      </c>
      <c r="U418" s="120">
        <f>П4ВСР!Z618</f>
        <v>0</v>
      </c>
      <c r="V418" s="120">
        <f>П4ВСР!AA618</f>
        <v>0</v>
      </c>
      <c r="W418" s="120">
        <f>П4ВСР!AB618</f>
        <v>0</v>
      </c>
      <c r="X418" s="118"/>
    </row>
    <row r="419" spans="1:27" ht="170.25" customHeight="1" x14ac:dyDescent="0.25">
      <c r="A419" s="118" t="s">
        <v>463</v>
      </c>
      <c r="B419" s="161" t="s">
        <v>138</v>
      </c>
      <c r="C419" s="161" t="s">
        <v>127</v>
      </c>
      <c r="D419" s="161" t="s">
        <v>638</v>
      </c>
      <c r="E419" s="161"/>
      <c r="F419" s="161"/>
      <c r="G419" s="161"/>
      <c r="H419" s="161"/>
      <c r="I419" s="161"/>
      <c r="J419" s="161"/>
      <c r="K419" s="161"/>
      <c r="L419" s="161"/>
      <c r="M419" s="161"/>
      <c r="N419" s="161"/>
      <c r="O419" s="161"/>
      <c r="P419" s="161"/>
      <c r="Q419" s="161"/>
      <c r="R419" s="161"/>
      <c r="S419" s="161"/>
      <c r="T419" s="153" t="s">
        <v>1282</v>
      </c>
      <c r="U419" s="120">
        <f>U420+U421+U422</f>
        <v>18455753.990000002</v>
      </c>
      <c r="V419" s="120">
        <f>V420+V421+V422</f>
        <v>15522336.060000001</v>
      </c>
      <c r="W419" s="120">
        <f>W420+W421+W422</f>
        <v>15522587.060000001</v>
      </c>
      <c r="X419" s="118" t="s">
        <v>463</v>
      </c>
    </row>
    <row r="420" spans="1:27" ht="100.5" customHeight="1" x14ac:dyDescent="0.25">
      <c r="A420" s="124" t="s">
        <v>464</v>
      </c>
      <c r="B420" s="136" t="s">
        <v>138</v>
      </c>
      <c r="C420" s="136" t="s">
        <v>127</v>
      </c>
      <c r="D420" s="161" t="s">
        <v>638</v>
      </c>
      <c r="E420" s="136"/>
      <c r="F420" s="136"/>
      <c r="G420" s="136"/>
      <c r="H420" s="136"/>
      <c r="I420" s="136"/>
      <c r="J420" s="136"/>
      <c r="K420" s="136"/>
      <c r="L420" s="136"/>
      <c r="M420" s="136"/>
      <c r="N420" s="136"/>
      <c r="O420" s="136"/>
      <c r="P420" s="136"/>
      <c r="Q420" s="136"/>
      <c r="R420" s="136"/>
      <c r="S420" s="136" t="s">
        <v>38</v>
      </c>
      <c r="T420" s="154" t="s">
        <v>726</v>
      </c>
      <c r="U420" s="120">
        <f>П4ВСР!Z620</f>
        <v>15754966.5</v>
      </c>
      <c r="V420" s="120">
        <f>П4ВСР!AA620</f>
        <v>12772043.65</v>
      </c>
      <c r="W420" s="120">
        <f>П4ВСР!AB620</f>
        <v>12772043.65</v>
      </c>
      <c r="X420" s="124" t="s">
        <v>464</v>
      </c>
    </row>
    <row r="421" spans="1:27" ht="50.25" customHeight="1" x14ac:dyDescent="0.25">
      <c r="A421" s="118" t="s">
        <v>465</v>
      </c>
      <c r="B421" s="136" t="s">
        <v>138</v>
      </c>
      <c r="C421" s="136" t="s">
        <v>127</v>
      </c>
      <c r="D421" s="161" t="s">
        <v>638</v>
      </c>
      <c r="E421" s="136"/>
      <c r="F421" s="136"/>
      <c r="G421" s="136"/>
      <c r="H421" s="136"/>
      <c r="I421" s="136"/>
      <c r="J421" s="136"/>
      <c r="K421" s="136"/>
      <c r="L421" s="136"/>
      <c r="M421" s="136"/>
      <c r="N421" s="136"/>
      <c r="O421" s="136"/>
      <c r="P421" s="136"/>
      <c r="Q421" s="136"/>
      <c r="R421" s="136"/>
      <c r="S421" s="136" t="s">
        <v>275</v>
      </c>
      <c r="T421" s="135" t="s">
        <v>565</v>
      </c>
      <c r="U421" s="120">
        <f>П4ВСР!Z621</f>
        <v>2698787.49</v>
      </c>
      <c r="V421" s="120">
        <f>П4ВСР!AA621</f>
        <v>2748292.41</v>
      </c>
      <c r="W421" s="120">
        <f>П4ВСР!AB621</f>
        <v>2748292.41</v>
      </c>
      <c r="X421" s="118" t="s">
        <v>465</v>
      </c>
    </row>
    <row r="422" spans="1:27" ht="44.25" customHeight="1" x14ac:dyDescent="0.25">
      <c r="A422" s="118" t="s">
        <v>466</v>
      </c>
      <c r="B422" s="136" t="s">
        <v>138</v>
      </c>
      <c r="C422" s="136" t="s">
        <v>127</v>
      </c>
      <c r="D422" s="161" t="s">
        <v>638</v>
      </c>
      <c r="E422" s="136"/>
      <c r="F422" s="136"/>
      <c r="G422" s="136"/>
      <c r="H422" s="136"/>
      <c r="I422" s="136"/>
      <c r="J422" s="136"/>
      <c r="K422" s="136"/>
      <c r="L422" s="136"/>
      <c r="M422" s="136"/>
      <c r="N422" s="136"/>
      <c r="O422" s="136"/>
      <c r="P422" s="136"/>
      <c r="Q422" s="136"/>
      <c r="R422" s="136"/>
      <c r="S422" s="136" t="s">
        <v>243</v>
      </c>
      <c r="T422" s="135" t="s">
        <v>763</v>
      </c>
      <c r="U422" s="120">
        <f>П4ВСР!Z622</f>
        <v>2000</v>
      </c>
      <c r="V422" s="120">
        <f>П4ВСР!AA622</f>
        <v>2000</v>
      </c>
      <c r="W422" s="120">
        <f>П4ВСР!AB622</f>
        <v>2251</v>
      </c>
      <c r="X422" s="118" t="s">
        <v>466</v>
      </c>
    </row>
    <row r="423" spans="1:27" ht="178.5" customHeight="1" x14ac:dyDescent="0.25">
      <c r="A423" s="118"/>
      <c r="B423" s="136" t="s">
        <v>138</v>
      </c>
      <c r="C423" s="136" t="s">
        <v>127</v>
      </c>
      <c r="D423" s="161" t="s">
        <v>1112</v>
      </c>
      <c r="E423" s="136"/>
      <c r="F423" s="136"/>
      <c r="G423" s="136"/>
      <c r="H423" s="136"/>
      <c r="I423" s="136"/>
      <c r="J423" s="136"/>
      <c r="K423" s="136"/>
      <c r="L423" s="136"/>
      <c r="M423" s="136"/>
      <c r="N423" s="136"/>
      <c r="O423" s="136"/>
      <c r="P423" s="136"/>
      <c r="Q423" s="136"/>
      <c r="R423" s="136"/>
      <c r="S423" s="136"/>
      <c r="T423" s="155" t="s">
        <v>1352</v>
      </c>
      <c r="U423" s="120">
        <f>U424</f>
        <v>3946786.16</v>
      </c>
      <c r="V423" s="120">
        <f>V424</f>
        <v>3946786.16</v>
      </c>
      <c r="W423" s="120">
        <f>W424</f>
        <v>2737318.67</v>
      </c>
      <c r="X423" s="118"/>
    </row>
    <row r="424" spans="1:27" ht="72" customHeight="1" x14ac:dyDescent="0.25">
      <c r="A424" s="118"/>
      <c r="B424" s="136" t="s">
        <v>138</v>
      </c>
      <c r="C424" s="136" t="s">
        <v>127</v>
      </c>
      <c r="D424" s="161" t="s">
        <v>1112</v>
      </c>
      <c r="E424" s="136"/>
      <c r="F424" s="136"/>
      <c r="G424" s="136"/>
      <c r="H424" s="136"/>
      <c r="I424" s="136"/>
      <c r="J424" s="136"/>
      <c r="K424" s="136"/>
      <c r="L424" s="136"/>
      <c r="M424" s="136"/>
      <c r="N424" s="136"/>
      <c r="O424" s="136"/>
      <c r="P424" s="136"/>
      <c r="Q424" s="136"/>
      <c r="R424" s="136"/>
      <c r="S424" s="136" t="s">
        <v>294</v>
      </c>
      <c r="T424" s="135" t="s">
        <v>1115</v>
      </c>
      <c r="U424" s="120">
        <f>П4ВСР!Z623</f>
        <v>3946786.16</v>
      </c>
      <c r="V424" s="120">
        <f>П4ВСР!AA623</f>
        <v>3946786.16</v>
      </c>
      <c r="W424" s="120">
        <f>П4ВСР!AB623</f>
        <v>2737318.67</v>
      </c>
      <c r="X424" s="118"/>
    </row>
    <row r="425" spans="1:27" ht="48" hidden="1" customHeight="1" x14ac:dyDescent="0.25">
      <c r="A425" s="118" t="s">
        <v>467</v>
      </c>
      <c r="B425" s="161" t="s">
        <v>138</v>
      </c>
      <c r="C425" s="161" t="s">
        <v>127</v>
      </c>
      <c r="D425" s="161" t="s">
        <v>640</v>
      </c>
      <c r="E425" s="161"/>
      <c r="F425" s="161"/>
      <c r="G425" s="161"/>
      <c r="H425" s="161"/>
      <c r="I425" s="161"/>
      <c r="J425" s="161"/>
      <c r="K425" s="161"/>
      <c r="L425" s="161"/>
      <c r="M425" s="161"/>
      <c r="N425" s="161"/>
      <c r="O425" s="161"/>
      <c r="P425" s="161"/>
      <c r="Q425" s="161"/>
      <c r="R425" s="161"/>
      <c r="S425" s="161"/>
      <c r="T425" s="153" t="s">
        <v>639</v>
      </c>
      <c r="U425" s="120">
        <f>U426</f>
        <v>0</v>
      </c>
      <c r="V425" s="120">
        <f>V426</f>
        <v>0</v>
      </c>
      <c r="W425" s="120">
        <f>W426</f>
        <v>0</v>
      </c>
      <c r="X425" s="118" t="s">
        <v>467</v>
      </c>
    </row>
    <row r="426" spans="1:27" ht="66" hidden="1" customHeight="1" x14ac:dyDescent="0.25">
      <c r="A426" s="118" t="s">
        <v>468</v>
      </c>
      <c r="B426" s="136" t="s">
        <v>138</v>
      </c>
      <c r="C426" s="136" t="s">
        <v>127</v>
      </c>
      <c r="D426" s="161" t="s">
        <v>640</v>
      </c>
      <c r="E426" s="136"/>
      <c r="F426" s="136"/>
      <c r="G426" s="136"/>
      <c r="H426" s="136"/>
      <c r="I426" s="136"/>
      <c r="J426" s="136"/>
      <c r="K426" s="136"/>
      <c r="L426" s="136"/>
      <c r="M426" s="136"/>
      <c r="N426" s="136"/>
      <c r="O426" s="136"/>
      <c r="P426" s="136"/>
      <c r="Q426" s="136"/>
      <c r="R426" s="136"/>
      <c r="S426" s="136" t="s">
        <v>294</v>
      </c>
      <c r="T426" s="135" t="s">
        <v>468</v>
      </c>
      <c r="U426" s="120">
        <f>П4ВСР!Z626</f>
        <v>0</v>
      </c>
      <c r="V426" s="120">
        <f>П4ВСР!AA626</f>
        <v>0</v>
      </c>
      <c r="W426" s="120">
        <f>П4ВСР!AB626</f>
        <v>0</v>
      </c>
      <c r="X426" s="118" t="s">
        <v>468</v>
      </c>
    </row>
    <row r="427" spans="1:27" ht="81" customHeight="1" x14ac:dyDescent="0.25">
      <c r="A427" s="118"/>
      <c r="B427" s="136" t="s">
        <v>138</v>
      </c>
      <c r="C427" s="136" t="s">
        <v>127</v>
      </c>
      <c r="D427" s="161" t="s">
        <v>1427</v>
      </c>
      <c r="E427" s="136"/>
      <c r="F427" s="136"/>
      <c r="G427" s="136"/>
      <c r="H427" s="136"/>
      <c r="I427" s="136"/>
      <c r="J427" s="136"/>
      <c r="K427" s="136"/>
      <c r="L427" s="136"/>
      <c r="M427" s="136"/>
      <c r="N427" s="136"/>
      <c r="O427" s="136"/>
      <c r="P427" s="136"/>
      <c r="Q427" s="136"/>
      <c r="R427" s="136"/>
      <c r="S427" s="136"/>
      <c r="T427" s="153" t="s">
        <v>1426</v>
      </c>
      <c r="U427" s="120">
        <f>U428</f>
        <v>89405.94</v>
      </c>
      <c r="V427" s="120">
        <v>0</v>
      </c>
      <c r="W427" s="120">
        <v>0</v>
      </c>
      <c r="X427" s="118"/>
    </row>
    <row r="428" spans="1:27" ht="44.25" customHeight="1" x14ac:dyDescent="0.25">
      <c r="A428" s="118"/>
      <c r="B428" s="136" t="s">
        <v>138</v>
      </c>
      <c r="C428" s="136" t="s">
        <v>127</v>
      </c>
      <c r="D428" s="161" t="s">
        <v>1427</v>
      </c>
      <c r="E428" s="136"/>
      <c r="F428" s="136"/>
      <c r="G428" s="136"/>
      <c r="H428" s="136"/>
      <c r="I428" s="136"/>
      <c r="J428" s="136"/>
      <c r="K428" s="136"/>
      <c r="L428" s="136"/>
      <c r="M428" s="136"/>
      <c r="N428" s="136"/>
      <c r="O428" s="136"/>
      <c r="P428" s="136"/>
      <c r="Q428" s="136"/>
      <c r="R428" s="136"/>
      <c r="S428" s="136" t="s">
        <v>275</v>
      </c>
      <c r="T428" s="154" t="s">
        <v>565</v>
      </c>
      <c r="U428" s="120">
        <f>П4ВСР!Z275</f>
        <v>89405.94</v>
      </c>
      <c r="V428" s="120">
        <v>0</v>
      </c>
      <c r="W428" s="120">
        <v>0</v>
      </c>
      <c r="X428" s="118"/>
    </row>
    <row r="429" spans="1:27" ht="18.600000000000001" customHeight="1" x14ac:dyDescent="0.25">
      <c r="A429" s="116" t="s">
        <v>379</v>
      </c>
      <c r="B429" s="126" t="s">
        <v>126</v>
      </c>
      <c r="C429" s="126" t="s">
        <v>133</v>
      </c>
      <c r="D429" s="126"/>
      <c r="E429" s="126"/>
      <c r="F429" s="126"/>
      <c r="G429" s="126"/>
      <c r="H429" s="126"/>
      <c r="I429" s="126"/>
      <c r="J429" s="126"/>
      <c r="K429" s="126"/>
      <c r="L429" s="126"/>
      <c r="M429" s="126"/>
      <c r="N429" s="126"/>
      <c r="O429" s="126"/>
      <c r="P429" s="126"/>
      <c r="Q429" s="126"/>
      <c r="R429" s="126"/>
      <c r="S429" s="126"/>
      <c r="T429" s="116" t="s">
        <v>379</v>
      </c>
      <c r="U429" s="117">
        <f>U430</f>
        <v>32020195.5</v>
      </c>
      <c r="V429" s="117">
        <f>V430</f>
        <v>21165368.469999999</v>
      </c>
      <c r="W429" s="117">
        <f>W430</f>
        <v>21375468.469999999</v>
      </c>
      <c r="X429" s="116" t="s">
        <v>379</v>
      </c>
    </row>
    <row r="430" spans="1:27" ht="18.600000000000001" customHeight="1" x14ac:dyDescent="0.25">
      <c r="A430" s="118" t="s">
        <v>159</v>
      </c>
      <c r="B430" s="119" t="s">
        <v>126</v>
      </c>
      <c r="C430" s="119" t="s">
        <v>122</v>
      </c>
      <c r="D430" s="119"/>
      <c r="E430" s="119"/>
      <c r="F430" s="119"/>
      <c r="G430" s="119"/>
      <c r="H430" s="119"/>
      <c r="I430" s="119"/>
      <c r="J430" s="119"/>
      <c r="K430" s="119"/>
      <c r="L430" s="119"/>
      <c r="M430" s="119"/>
      <c r="N430" s="119"/>
      <c r="O430" s="119"/>
      <c r="P430" s="119"/>
      <c r="Q430" s="119"/>
      <c r="R430" s="119"/>
      <c r="S430" s="119"/>
      <c r="T430" s="118" t="s">
        <v>159</v>
      </c>
      <c r="U430" s="120">
        <f>U433+U437+U441+U443+U449+U453+U457+U461+U455+U459+U447+U445+U431+U435+U439+U451</f>
        <v>32020195.5</v>
      </c>
      <c r="V430" s="120">
        <f>V433+V437+V441+V443+V449+V453+V457+V461+V455+V445+V451</f>
        <v>21165368.469999999</v>
      </c>
      <c r="W430" s="120">
        <f>W433+W437+W441+W443+W449+W453+W457+W461+W455+W445+W451</f>
        <v>21375468.469999999</v>
      </c>
      <c r="X430" s="118" t="s">
        <v>159</v>
      </c>
    </row>
    <row r="431" spans="1:27" ht="115.5" customHeight="1" x14ac:dyDescent="0.25">
      <c r="A431" s="118"/>
      <c r="B431" s="119" t="s">
        <v>126</v>
      </c>
      <c r="C431" s="119" t="s">
        <v>122</v>
      </c>
      <c r="D431" s="161" t="s">
        <v>1354</v>
      </c>
      <c r="E431" s="119"/>
      <c r="F431" s="119"/>
      <c r="G431" s="119"/>
      <c r="H431" s="119"/>
      <c r="I431" s="119"/>
      <c r="J431" s="119"/>
      <c r="K431" s="119"/>
      <c r="L431" s="119"/>
      <c r="M431" s="119"/>
      <c r="N431" s="119"/>
      <c r="O431" s="119"/>
      <c r="P431" s="119"/>
      <c r="Q431" s="119"/>
      <c r="R431" s="119"/>
      <c r="S431" s="119"/>
      <c r="T431" s="153" t="s">
        <v>1355</v>
      </c>
      <c r="U431" s="120">
        <f>U432</f>
        <v>238657</v>
      </c>
      <c r="V431" s="120">
        <v>0</v>
      </c>
      <c r="W431" s="120">
        <v>0</v>
      </c>
      <c r="X431" s="118"/>
      <c r="AA431" s="127"/>
    </row>
    <row r="432" spans="1:27" ht="65.25" customHeight="1" x14ac:dyDescent="0.25">
      <c r="A432" s="118"/>
      <c r="B432" s="119" t="s">
        <v>126</v>
      </c>
      <c r="C432" s="119" t="s">
        <v>122</v>
      </c>
      <c r="D432" s="161" t="s">
        <v>1354</v>
      </c>
      <c r="E432" s="119"/>
      <c r="F432" s="119"/>
      <c r="G432" s="119"/>
      <c r="H432" s="119"/>
      <c r="I432" s="119"/>
      <c r="J432" s="119"/>
      <c r="K432" s="119"/>
      <c r="L432" s="119"/>
      <c r="M432" s="119"/>
      <c r="N432" s="119"/>
      <c r="O432" s="119"/>
      <c r="P432" s="119"/>
      <c r="Q432" s="119"/>
      <c r="R432" s="119"/>
      <c r="S432" s="119" t="s">
        <v>294</v>
      </c>
      <c r="T432" s="135" t="s">
        <v>711</v>
      </c>
      <c r="U432" s="120">
        <f>П4ВСР!Z684</f>
        <v>238657</v>
      </c>
      <c r="V432" s="120">
        <v>0</v>
      </c>
      <c r="W432" s="120">
        <v>0</v>
      </c>
      <c r="X432" s="118"/>
      <c r="AA432" s="127"/>
    </row>
    <row r="433" spans="1:24" ht="142.5" customHeight="1" x14ac:dyDescent="0.25">
      <c r="A433" s="118" t="s">
        <v>489</v>
      </c>
      <c r="B433" s="161" t="s">
        <v>126</v>
      </c>
      <c r="C433" s="161" t="s">
        <v>122</v>
      </c>
      <c r="D433" s="161" t="s">
        <v>1116</v>
      </c>
      <c r="E433" s="161"/>
      <c r="F433" s="161"/>
      <c r="G433" s="161"/>
      <c r="H433" s="161"/>
      <c r="I433" s="161"/>
      <c r="J433" s="161"/>
      <c r="K433" s="161"/>
      <c r="L433" s="161"/>
      <c r="M433" s="161"/>
      <c r="N433" s="161"/>
      <c r="O433" s="161"/>
      <c r="P433" s="161"/>
      <c r="Q433" s="161"/>
      <c r="R433" s="161"/>
      <c r="S433" s="161"/>
      <c r="T433" s="155" t="s">
        <v>1333</v>
      </c>
      <c r="U433" s="120">
        <f>U434</f>
        <v>6836053.7699999996</v>
      </c>
      <c r="V433" s="120">
        <f>V434</f>
        <v>6836053.7699999996</v>
      </c>
      <c r="W433" s="120">
        <f>W434</f>
        <v>6836053.7699999996</v>
      </c>
      <c r="X433" s="118" t="s">
        <v>489</v>
      </c>
    </row>
    <row r="434" spans="1:24" ht="63" customHeight="1" x14ac:dyDescent="0.25">
      <c r="A434" s="118" t="s">
        <v>490</v>
      </c>
      <c r="B434" s="136" t="s">
        <v>126</v>
      </c>
      <c r="C434" s="136" t="s">
        <v>122</v>
      </c>
      <c r="D434" s="161" t="s">
        <v>1116</v>
      </c>
      <c r="E434" s="136"/>
      <c r="F434" s="136"/>
      <c r="G434" s="136"/>
      <c r="H434" s="136"/>
      <c r="I434" s="136"/>
      <c r="J434" s="136"/>
      <c r="K434" s="136"/>
      <c r="L434" s="136"/>
      <c r="M434" s="136"/>
      <c r="N434" s="136"/>
      <c r="O434" s="136"/>
      <c r="P434" s="136"/>
      <c r="Q434" s="136"/>
      <c r="R434" s="136"/>
      <c r="S434" s="136" t="s">
        <v>294</v>
      </c>
      <c r="T434" s="135" t="s">
        <v>711</v>
      </c>
      <c r="U434" s="120">
        <f>П4ВСР!Z687</f>
        <v>6836053.7699999996</v>
      </c>
      <c r="V434" s="120">
        <f>П4ВСР!AA687</f>
        <v>6836053.7699999996</v>
      </c>
      <c r="W434" s="120">
        <f>П4ВСР!AB687</f>
        <v>6836053.7699999996</v>
      </c>
      <c r="X434" s="118" t="s">
        <v>490</v>
      </c>
    </row>
    <row r="435" spans="1:24" ht="102" customHeight="1" x14ac:dyDescent="0.25">
      <c r="A435" s="118"/>
      <c r="B435" s="136" t="s">
        <v>126</v>
      </c>
      <c r="C435" s="136" t="s">
        <v>122</v>
      </c>
      <c r="D435" s="161" t="s">
        <v>1356</v>
      </c>
      <c r="E435" s="136"/>
      <c r="F435" s="136"/>
      <c r="G435" s="136"/>
      <c r="H435" s="136"/>
      <c r="I435" s="136"/>
      <c r="J435" s="136"/>
      <c r="K435" s="136"/>
      <c r="L435" s="136"/>
      <c r="M435" s="136"/>
      <c r="N435" s="136"/>
      <c r="O435" s="136"/>
      <c r="P435" s="136"/>
      <c r="Q435" s="136"/>
      <c r="R435" s="136"/>
      <c r="S435" s="136"/>
      <c r="T435" s="153" t="s">
        <v>1357</v>
      </c>
      <c r="U435" s="120">
        <f>U436</f>
        <v>286388</v>
      </c>
      <c r="V435" s="120">
        <v>0</v>
      </c>
      <c r="W435" s="120"/>
      <c r="X435" s="118"/>
    </row>
    <row r="436" spans="1:24" ht="63" customHeight="1" x14ac:dyDescent="0.25">
      <c r="A436" s="118"/>
      <c r="B436" s="136" t="s">
        <v>126</v>
      </c>
      <c r="C436" s="136" t="s">
        <v>122</v>
      </c>
      <c r="D436" s="161" t="s">
        <v>1356</v>
      </c>
      <c r="E436" s="136"/>
      <c r="F436" s="136"/>
      <c r="G436" s="136"/>
      <c r="H436" s="136"/>
      <c r="I436" s="136"/>
      <c r="J436" s="136"/>
      <c r="K436" s="136"/>
      <c r="L436" s="136"/>
      <c r="M436" s="136"/>
      <c r="N436" s="136"/>
      <c r="O436" s="136"/>
      <c r="P436" s="136"/>
      <c r="Q436" s="136"/>
      <c r="R436" s="136"/>
      <c r="S436" s="136" t="s">
        <v>294</v>
      </c>
      <c r="T436" s="135" t="s">
        <v>711</v>
      </c>
      <c r="U436" s="120">
        <f>П4ВСР!Z688</f>
        <v>286388</v>
      </c>
      <c r="V436" s="120">
        <v>0</v>
      </c>
      <c r="W436" s="120">
        <v>0</v>
      </c>
      <c r="X436" s="118"/>
    </row>
    <row r="437" spans="1:24" ht="132" customHeight="1" x14ac:dyDescent="0.25">
      <c r="A437" s="118" t="s">
        <v>491</v>
      </c>
      <c r="B437" s="161" t="s">
        <v>126</v>
      </c>
      <c r="C437" s="161" t="s">
        <v>122</v>
      </c>
      <c r="D437" s="161" t="s">
        <v>1117</v>
      </c>
      <c r="E437" s="161"/>
      <c r="F437" s="161"/>
      <c r="G437" s="161"/>
      <c r="H437" s="161"/>
      <c r="I437" s="161"/>
      <c r="J437" s="161"/>
      <c r="K437" s="161"/>
      <c r="L437" s="161"/>
      <c r="M437" s="161"/>
      <c r="N437" s="161"/>
      <c r="O437" s="161"/>
      <c r="P437" s="161"/>
      <c r="Q437" s="161"/>
      <c r="R437" s="161"/>
      <c r="S437" s="161"/>
      <c r="T437" s="155" t="s">
        <v>1334</v>
      </c>
      <c r="U437" s="120">
        <f>U438</f>
        <v>5068123.9000000004</v>
      </c>
      <c r="V437" s="120">
        <f>V438</f>
        <v>5068123.9000000004</v>
      </c>
      <c r="W437" s="120">
        <f>W438</f>
        <v>5068123.9000000004</v>
      </c>
      <c r="X437" s="118" t="s">
        <v>491</v>
      </c>
    </row>
    <row r="438" spans="1:24" ht="81" customHeight="1" x14ac:dyDescent="0.25">
      <c r="A438" s="118" t="s">
        <v>492</v>
      </c>
      <c r="B438" s="136" t="s">
        <v>126</v>
      </c>
      <c r="C438" s="136" t="s">
        <v>122</v>
      </c>
      <c r="D438" s="161" t="s">
        <v>1117</v>
      </c>
      <c r="E438" s="136"/>
      <c r="F438" s="136"/>
      <c r="G438" s="136"/>
      <c r="H438" s="136"/>
      <c r="I438" s="136"/>
      <c r="J438" s="136"/>
      <c r="K438" s="136"/>
      <c r="L438" s="136"/>
      <c r="M438" s="136"/>
      <c r="N438" s="136"/>
      <c r="O438" s="136"/>
      <c r="P438" s="136"/>
      <c r="Q438" s="136"/>
      <c r="R438" s="136"/>
      <c r="S438" s="136" t="s">
        <v>294</v>
      </c>
      <c r="T438" s="135" t="s">
        <v>711</v>
      </c>
      <c r="U438" s="120">
        <f>П4ВСР!Z691</f>
        <v>5068123.9000000004</v>
      </c>
      <c r="V438" s="120">
        <f>П4ВСР!AA691</f>
        <v>5068123.9000000004</v>
      </c>
      <c r="W438" s="120">
        <f>П4ВСР!AB691</f>
        <v>5068123.9000000004</v>
      </c>
      <c r="X438" s="118" t="s">
        <v>492</v>
      </c>
    </row>
    <row r="439" spans="1:24" ht="111.75" customHeight="1" x14ac:dyDescent="0.25">
      <c r="A439" s="118"/>
      <c r="B439" s="136" t="s">
        <v>126</v>
      </c>
      <c r="C439" s="136" t="s">
        <v>122</v>
      </c>
      <c r="D439" s="161" t="s">
        <v>1358</v>
      </c>
      <c r="E439" s="136"/>
      <c r="F439" s="136"/>
      <c r="G439" s="136"/>
      <c r="H439" s="136"/>
      <c r="I439" s="136"/>
      <c r="J439" s="136"/>
      <c r="K439" s="136"/>
      <c r="L439" s="136"/>
      <c r="M439" s="136"/>
      <c r="N439" s="136"/>
      <c r="O439" s="136"/>
      <c r="P439" s="136"/>
      <c r="Q439" s="136"/>
      <c r="R439" s="136"/>
      <c r="S439" s="136"/>
      <c r="T439" s="153" t="s">
        <v>1359</v>
      </c>
      <c r="U439" s="120">
        <f>U440</f>
        <v>620507</v>
      </c>
      <c r="V439" s="120">
        <v>0</v>
      </c>
      <c r="W439" s="120">
        <v>0</v>
      </c>
      <c r="X439" s="118"/>
    </row>
    <row r="440" spans="1:24" ht="61.5" customHeight="1" x14ac:dyDescent="0.25">
      <c r="A440" s="118"/>
      <c r="B440" s="136" t="s">
        <v>126</v>
      </c>
      <c r="C440" s="136" t="s">
        <v>122</v>
      </c>
      <c r="D440" s="161" t="s">
        <v>1358</v>
      </c>
      <c r="E440" s="136"/>
      <c r="F440" s="136"/>
      <c r="G440" s="136"/>
      <c r="H440" s="136"/>
      <c r="I440" s="136"/>
      <c r="J440" s="136"/>
      <c r="K440" s="136"/>
      <c r="L440" s="136"/>
      <c r="M440" s="136"/>
      <c r="N440" s="136"/>
      <c r="O440" s="136"/>
      <c r="P440" s="136"/>
      <c r="Q440" s="136"/>
      <c r="R440" s="136"/>
      <c r="S440" s="136" t="s">
        <v>294</v>
      </c>
      <c r="T440" s="135" t="s">
        <v>711</v>
      </c>
      <c r="U440" s="120">
        <f>П4ВСР!Z692</f>
        <v>620507</v>
      </c>
      <c r="V440" s="120">
        <v>0</v>
      </c>
      <c r="W440" s="120">
        <v>0</v>
      </c>
      <c r="X440" s="118"/>
    </row>
    <row r="441" spans="1:24" ht="148.5" customHeight="1" x14ac:dyDescent="0.25">
      <c r="A441" s="118" t="s">
        <v>493</v>
      </c>
      <c r="B441" s="161" t="s">
        <v>126</v>
      </c>
      <c r="C441" s="161" t="s">
        <v>122</v>
      </c>
      <c r="D441" s="161" t="s">
        <v>1118</v>
      </c>
      <c r="E441" s="161"/>
      <c r="F441" s="161"/>
      <c r="G441" s="161"/>
      <c r="H441" s="161"/>
      <c r="I441" s="161"/>
      <c r="J441" s="161"/>
      <c r="K441" s="161"/>
      <c r="L441" s="161"/>
      <c r="M441" s="161"/>
      <c r="N441" s="161"/>
      <c r="O441" s="161"/>
      <c r="P441" s="161"/>
      <c r="Q441" s="161"/>
      <c r="R441" s="161"/>
      <c r="S441" s="161"/>
      <c r="T441" s="155" t="s">
        <v>1335</v>
      </c>
      <c r="U441" s="120">
        <f>U442</f>
        <v>8079890.7999999998</v>
      </c>
      <c r="V441" s="120">
        <f>V442</f>
        <v>8079890.7999999998</v>
      </c>
      <c r="W441" s="120">
        <f>W442</f>
        <v>8079890.7999999998</v>
      </c>
      <c r="X441" s="118" t="s">
        <v>493</v>
      </c>
    </row>
    <row r="442" spans="1:24" ht="64.5" customHeight="1" x14ac:dyDescent="0.25">
      <c r="A442" s="118" t="s">
        <v>494</v>
      </c>
      <c r="B442" s="136" t="s">
        <v>126</v>
      </c>
      <c r="C442" s="166" t="s">
        <v>122</v>
      </c>
      <c r="D442" s="161" t="s">
        <v>1118</v>
      </c>
      <c r="E442" s="136"/>
      <c r="F442" s="136"/>
      <c r="G442" s="136"/>
      <c r="H442" s="136"/>
      <c r="I442" s="136"/>
      <c r="J442" s="136"/>
      <c r="K442" s="136"/>
      <c r="L442" s="136"/>
      <c r="M442" s="136"/>
      <c r="N442" s="136"/>
      <c r="O442" s="136"/>
      <c r="P442" s="136"/>
      <c r="Q442" s="136"/>
      <c r="R442" s="136"/>
      <c r="S442" s="136" t="s">
        <v>294</v>
      </c>
      <c r="T442" s="135" t="s">
        <v>711</v>
      </c>
      <c r="U442" s="120">
        <f>П4ВСР!Z695</f>
        <v>8079890.7999999998</v>
      </c>
      <c r="V442" s="120">
        <f>П4ВСР!AA695</f>
        <v>8079890.7999999998</v>
      </c>
      <c r="W442" s="120">
        <f>П4ВСР!AB695</f>
        <v>8079890.7999999998</v>
      </c>
      <c r="X442" s="118" t="s">
        <v>494</v>
      </c>
    </row>
    <row r="443" spans="1:24" ht="121.5" hidden="1" customHeight="1" x14ac:dyDescent="0.25">
      <c r="A443" s="118"/>
      <c r="B443" s="134" t="s">
        <v>126</v>
      </c>
      <c r="C443" s="134" t="s">
        <v>122</v>
      </c>
      <c r="D443" s="134" t="s">
        <v>584</v>
      </c>
      <c r="E443" s="134"/>
      <c r="F443" s="134"/>
      <c r="G443" s="134"/>
      <c r="H443" s="134"/>
      <c r="I443" s="134"/>
      <c r="J443" s="134"/>
      <c r="K443" s="134"/>
      <c r="L443" s="134"/>
      <c r="M443" s="134"/>
      <c r="N443" s="134"/>
      <c r="O443" s="134"/>
      <c r="P443" s="134"/>
      <c r="Q443" s="134"/>
      <c r="R443" s="134"/>
      <c r="S443" s="134"/>
      <c r="T443" s="153" t="s">
        <v>583</v>
      </c>
      <c r="U443" s="120">
        <f>U444</f>
        <v>0</v>
      </c>
      <c r="V443" s="120">
        <f>V444</f>
        <v>0</v>
      </c>
      <c r="W443" s="120">
        <f>W444</f>
        <v>0</v>
      </c>
      <c r="X443" s="118"/>
    </row>
    <row r="444" spans="1:24" ht="85.5" hidden="1" customHeight="1" x14ac:dyDescent="0.25">
      <c r="A444" s="118"/>
      <c r="B444" s="140" t="s">
        <v>126</v>
      </c>
      <c r="C444" s="140" t="s">
        <v>122</v>
      </c>
      <c r="D444" s="134" t="s">
        <v>584</v>
      </c>
      <c r="E444" s="140"/>
      <c r="F444" s="140"/>
      <c r="G444" s="140"/>
      <c r="H444" s="140"/>
      <c r="I444" s="140"/>
      <c r="J444" s="140"/>
      <c r="K444" s="140"/>
      <c r="L444" s="140"/>
      <c r="M444" s="140"/>
      <c r="N444" s="140"/>
      <c r="O444" s="140"/>
      <c r="P444" s="140"/>
      <c r="Q444" s="140"/>
      <c r="R444" s="140"/>
      <c r="S444" s="140" t="s">
        <v>275</v>
      </c>
      <c r="T444" s="162" t="s">
        <v>381</v>
      </c>
      <c r="U444" s="221">
        <f>П4ВСР!Z281</f>
        <v>0</v>
      </c>
      <c r="V444" s="120">
        <f>П4ВСР!AA281</f>
        <v>0</v>
      </c>
      <c r="W444" s="120">
        <f>П4ВСР!AB281</f>
        <v>0</v>
      </c>
      <c r="X444" s="118"/>
    </row>
    <row r="445" spans="1:24" ht="85.5" hidden="1" customHeight="1" x14ac:dyDescent="0.25">
      <c r="A445" s="118"/>
      <c r="B445" s="140" t="s">
        <v>126</v>
      </c>
      <c r="C445" s="140" t="s">
        <v>122</v>
      </c>
      <c r="D445" s="161" t="s">
        <v>1112</v>
      </c>
      <c r="E445" s="140"/>
      <c r="F445" s="140"/>
      <c r="G445" s="140"/>
      <c r="H445" s="140"/>
      <c r="I445" s="140"/>
      <c r="J445" s="140"/>
      <c r="K445" s="140"/>
      <c r="L445" s="140"/>
      <c r="M445" s="140"/>
      <c r="N445" s="140"/>
      <c r="O445" s="140"/>
      <c r="P445" s="140"/>
      <c r="Q445" s="140"/>
      <c r="R445" s="140"/>
      <c r="S445" s="592"/>
      <c r="T445" s="593"/>
      <c r="U445" s="491">
        <f>U446</f>
        <v>0</v>
      </c>
      <c r="V445" s="120">
        <f>V446</f>
        <v>0</v>
      </c>
      <c r="W445" s="120">
        <f>W446</f>
        <v>0</v>
      </c>
      <c r="X445" s="118"/>
    </row>
    <row r="446" spans="1:24" ht="85.5" hidden="1" customHeight="1" x14ac:dyDescent="0.25">
      <c r="A446" s="118"/>
      <c r="B446" s="140" t="s">
        <v>126</v>
      </c>
      <c r="C446" s="140" t="s">
        <v>122</v>
      </c>
      <c r="D446" s="161" t="s">
        <v>1112</v>
      </c>
      <c r="E446" s="140"/>
      <c r="F446" s="140"/>
      <c r="G446" s="140"/>
      <c r="H446" s="140"/>
      <c r="I446" s="140"/>
      <c r="J446" s="140"/>
      <c r="K446" s="140"/>
      <c r="L446" s="140"/>
      <c r="M446" s="140"/>
      <c r="N446" s="140"/>
      <c r="O446" s="140"/>
      <c r="P446" s="140"/>
      <c r="Q446" s="140"/>
      <c r="R446" s="140"/>
      <c r="S446" s="592" t="s">
        <v>294</v>
      </c>
      <c r="T446" s="593"/>
      <c r="U446" s="491">
        <f>П4ВСР!Z696</f>
        <v>0</v>
      </c>
      <c r="V446" s="120">
        <f>П4ВСР!AA696</f>
        <v>0</v>
      </c>
      <c r="W446" s="120">
        <f>П4ВСР!AB696</f>
        <v>0</v>
      </c>
      <c r="X446" s="118"/>
    </row>
    <row r="447" spans="1:24" ht="139.5" hidden="1" customHeight="1" x14ac:dyDescent="0.25">
      <c r="A447" s="118"/>
      <c r="B447" s="140" t="s">
        <v>126</v>
      </c>
      <c r="C447" s="140" t="s">
        <v>122</v>
      </c>
      <c r="D447" s="234" t="s">
        <v>1043</v>
      </c>
      <c r="E447" s="140"/>
      <c r="F447" s="140"/>
      <c r="G447" s="140"/>
      <c r="H447" s="140"/>
      <c r="I447" s="140"/>
      <c r="J447" s="140"/>
      <c r="K447" s="140"/>
      <c r="L447" s="140"/>
      <c r="M447" s="140"/>
      <c r="N447" s="140"/>
      <c r="O447" s="140"/>
      <c r="P447" s="140"/>
      <c r="Q447" s="140"/>
      <c r="R447" s="140"/>
      <c r="S447" s="140"/>
      <c r="T447" s="492" t="s">
        <v>1283</v>
      </c>
      <c r="U447" s="221">
        <f>U448</f>
        <v>0</v>
      </c>
      <c r="V447" s="120">
        <v>0</v>
      </c>
      <c r="W447" s="120">
        <v>0</v>
      </c>
      <c r="X447" s="118"/>
    </row>
    <row r="448" spans="1:24" ht="52.5" hidden="1" customHeight="1" x14ac:dyDescent="0.25">
      <c r="A448" s="118"/>
      <c r="B448" s="140" t="s">
        <v>126</v>
      </c>
      <c r="C448" s="140" t="s">
        <v>122</v>
      </c>
      <c r="D448" s="234" t="s">
        <v>1043</v>
      </c>
      <c r="E448" s="140"/>
      <c r="F448" s="140"/>
      <c r="G448" s="140"/>
      <c r="H448" s="140"/>
      <c r="I448" s="140"/>
      <c r="J448" s="140"/>
      <c r="K448" s="140"/>
      <c r="L448" s="140"/>
      <c r="M448" s="140"/>
      <c r="N448" s="140"/>
      <c r="O448" s="140"/>
      <c r="P448" s="140"/>
      <c r="Q448" s="140"/>
      <c r="R448" s="140"/>
      <c r="S448" s="140" t="s">
        <v>275</v>
      </c>
      <c r="T448" s="135" t="s">
        <v>565</v>
      </c>
      <c r="U448" s="221">
        <f>П4ВСР!Z282</f>
        <v>0</v>
      </c>
      <c r="V448" s="120">
        <v>0</v>
      </c>
      <c r="W448" s="120">
        <v>0</v>
      </c>
      <c r="X448" s="118"/>
    </row>
    <row r="449" spans="1:24" ht="122.25" customHeight="1" x14ac:dyDescent="0.25">
      <c r="A449" s="118" t="s">
        <v>380</v>
      </c>
      <c r="B449" s="134" t="s">
        <v>126</v>
      </c>
      <c r="C449" s="134" t="s">
        <v>122</v>
      </c>
      <c r="D449" s="134" t="s">
        <v>585</v>
      </c>
      <c r="E449" s="134"/>
      <c r="F449" s="134"/>
      <c r="G449" s="134"/>
      <c r="H449" s="134"/>
      <c r="I449" s="134"/>
      <c r="J449" s="134"/>
      <c r="K449" s="134"/>
      <c r="L449" s="134"/>
      <c r="M449" s="134"/>
      <c r="N449" s="134"/>
      <c r="O449" s="134"/>
      <c r="P449" s="134"/>
      <c r="Q449" s="134"/>
      <c r="R449" s="134"/>
      <c r="S449" s="134"/>
      <c r="T449" s="153" t="s">
        <v>1284</v>
      </c>
      <c r="U449" s="221">
        <f>U450</f>
        <v>600000</v>
      </c>
      <c r="V449" s="120">
        <f>V450</f>
        <v>50000</v>
      </c>
      <c r="W449" s="120">
        <f>W450</f>
        <v>50000</v>
      </c>
      <c r="X449" s="118" t="s">
        <v>380</v>
      </c>
    </row>
    <row r="450" spans="1:24" ht="48.75" customHeight="1" x14ac:dyDescent="0.25">
      <c r="A450" s="118" t="s">
        <v>381</v>
      </c>
      <c r="B450" s="140" t="s">
        <v>126</v>
      </c>
      <c r="C450" s="140" t="s">
        <v>122</v>
      </c>
      <c r="D450" s="134" t="s">
        <v>585</v>
      </c>
      <c r="E450" s="140"/>
      <c r="F450" s="140"/>
      <c r="G450" s="140"/>
      <c r="H450" s="140"/>
      <c r="I450" s="140"/>
      <c r="J450" s="140"/>
      <c r="K450" s="140"/>
      <c r="L450" s="140"/>
      <c r="M450" s="140"/>
      <c r="N450" s="140"/>
      <c r="O450" s="140"/>
      <c r="P450" s="140"/>
      <c r="Q450" s="140"/>
      <c r="R450" s="140"/>
      <c r="S450" s="140" t="s">
        <v>275</v>
      </c>
      <c r="T450" s="135" t="s">
        <v>565</v>
      </c>
      <c r="U450" s="221">
        <f>П4ВСР!Z285</f>
        <v>600000</v>
      </c>
      <c r="V450" s="221">
        <f>П4ВСР!AA285</f>
        <v>50000</v>
      </c>
      <c r="W450" s="221">
        <f>П4ВСР!AB285</f>
        <v>50000</v>
      </c>
      <c r="X450" s="118" t="s">
        <v>381</v>
      </c>
    </row>
    <row r="451" spans="1:24" ht="130.5" customHeight="1" x14ac:dyDescent="0.25">
      <c r="A451" s="118"/>
      <c r="B451" s="140" t="s">
        <v>126</v>
      </c>
      <c r="C451" s="140" t="s">
        <v>122</v>
      </c>
      <c r="D451" s="234" t="s">
        <v>1385</v>
      </c>
      <c r="E451" s="140"/>
      <c r="F451" s="140"/>
      <c r="G451" s="140"/>
      <c r="H451" s="140"/>
      <c r="I451" s="140"/>
      <c r="J451" s="140"/>
      <c r="K451" s="140"/>
      <c r="L451" s="140"/>
      <c r="M451" s="140"/>
      <c r="N451" s="140"/>
      <c r="O451" s="140"/>
      <c r="P451" s="140"/>
      <c r="Q451" s="140"/>
      <c r="R451" s="140"/>
      <c r="S451" s="140"/>
      <c r="T451" s="153" t="s">
        <v>1384</v>
      </c>
      <c r="U451" s="221">
        <f>U452</f>
        <v>5900000</v>
      </c>
      <c r="V451" s="221">
        <f>V452</f>
        <v>631300</v>
      </c>
      <c r="W451" s="221">
        <f>W452</f>
        <v>841400</v>
      </c>
      <c r="X451" s="118"/>
    </row>
    <row r="452" spans="1:24" ht="48.75" customHeight="1" x14ac:dyDescent="0.25">
      <c r="A452" s="118"/>
      <c r="B452" s="140" t="s">
        <v>126</v>
      </c>
      <c r="C452" s="140" t="s">
        <v>122</v>
      </c>
      <c r="D452" s="234" t="s">
        <v>1385</v>
      </c>
      <c r="E452" s="140"/>
      <c r="F452" s="140"/>
      <c r="G452" s="140"/>
      <c r="H452" s="140"/>
      <c r="I452" s="140"/>
      <c r="J452" s="140"/>
      <c r="K452" s="140"/>
      <c r="L452" s="140"/>
      <c r="M452" s="140"/>
      <c r="N452" s="140"/>
      <c r="O452" s="140"/>
      <c r="P452" s="140"/>
      <c r="Q452" s="140"/>
      <c r="R452" s="140"/>
      <c r="S452" s="140" t="s">
        <v>275</v>
      </c>
      <c r="T452" s="135" t="s">
        <v>565</v>
      </c>
      <c r="U452" s="221">
        <f>П4ВСР!Z287</f>
        <v>5900000</v>
      </c>
      <c r="V452" s="221">
        <f>П4ВСР!AA287</f>
        <v>631300</v>
      </c>
      <c r="W452" s="221">
        <f>П4ВСР!AB287</f>
        <v>841400</v>
      </c>
      <c r="X452" s="118"/>
    </row>
    <row r="453" spans="1:24" ht="178.5" customHeight="1" x14ac:dyDescent="0.25">
      <c r="A453" s="118" t="s">
        <v>382</v>
      </c>
      <c r="B453" s="134" t="s">
        <v>126</v>
      </c>
      <c r="C453" s="134" t="s">
        <v>122</v>
      </c>
      <c r="D453" s="134" t="s">
        <v>586</v>
      </c>
      <c r="E453" s="134"/>
      <c r="F453" s="134"/>
      <c r="G453" s="134"/>
      <c r="H453" s="134"/>
      <c r="I453" s="134"/>
      <c r="J453" s="134"/>
      <c r="K453" s="134"/>
      <c r="L453" s="134"/>
      <c r="M453" s="134"/>
      <c r="N453" s="134"/>
      <c r="O453" s="134"/>
      <c r="P453" s="134"/>
      <c r="Q453" s="134"/>
      <c r="R453" s="134"/>
      <c r="S453" s="134"/>
      <c r="T453" s="153" t="s">
        <v>1285</v>
      </c>
      <c r="U453" s="120">
        <f>U454</f>
        <v>533183.68999999994</v>
      </c>
      <c r="V453" s="120">
        <f>V454</f>
        <v>100000</v>
      </c>
      <c r="W453" s="120">
        <f>W454</f>
        <v>100000</v>
      </c>
      <c r="X453" s="118" t="s">
        <v>382</v>
      </c>
    </row>
    <row r="454" spans="1:24" ht="46.5" customHeight="1" x14ac:dyDescent="0.25">
      <c r="A454" s="118" t="s">
        <v>383</v>
      </c>
      <c r="B454" s="140" t="s">
        <v>126</v>
      </c>
      <c r="C454" s="140" t="s">
        <v>122</v>
      </c>
      <c r="D454" s="134" t="s">
        <v>586</v>
      </c>
      <c r="E454" s="140"/>
      <c r="F454" s="140"/>
      <c r="G454" s="140"/>
      <c r="H454" s="140"/>
      <c r="I454" s="140"/>
      <c r="J454" s="140"/>
      <c r="K454" s="140"/>
      <c r="L454" s="140"/>
      <c r="M454" s="140"/>
      <c r="N454" s="140"/>
      <c r="O454" s="140"/>
      <c r="P454" s="140"/>
      <c r="Q454" s="140"/>
      <c r="R454" s="140"/>
      <c r="S454" s="140" t="s">
        <v>275</v>
      </c>
      <c r="T454" s="135" t="s">
        <v>565</v>
      </c>
      <c r="U454" s="120">
        <f>П4ВСР!Z289</f>
        <v>533183.68999999994</v>
      </c>
      <c r="V454" s="120">
        <f>П4ВСР!AA289</f>
        <v>100000</v>
      </c>
      <c r="W454" s="120">
        <f>П4ВСР!AB289</f>
        <v>100000</v>
      </c>
      <c r="X454" s="118" t="s">
        <v>383</v>
      </c>
    </row>
    <row r="455" spans="1:24" ht="117" customHeight="1" x14ac:dyDescent="0.25">
      <c r="A455" s="118"/>
      <c r="B455" s="140" t="s">
        <v>126</v>
      </c>
      <c r="C455" s="140" t="s">
        <v>122</v>
      </c>
      <c r="D455" s="234" t="s">
        <v>586</v>
      </c>
      <c r="E455" s="140"/>
      <c r="F455" s="140"/>
      <c r="G455" s="140"/>
      <c r="H455" s="140"/>
      <c r="I455" s="140"/>
      <c r="J455" s="140"/>
      <c r="K455" s="140"/>
      <c r="L455" s="140"/>
      <c r="M455" s="140"/>
      <c r="N455" s="140"/>
      <c r="O455" s="140"/>
      <c r="P455" s="140"/>
      <c r="Q455" s="140"/>
      <c r="R455" s="140"/>
      <c r="S455" s="140"/>
      <c r="T455" s="153" t="s">
        <v>1423</v>
      </c>
      <c r="U455" s="120">
        <f>U456</f>
        <v>3607391.34</v>
      </c>
      <c r="V455" s="120">
        <v>0</v>
      </c>
      <c r="W455" s="120">
        <v>0</v>
      </c>
      <c r="X455" s="118"/>
    </row>
    <row r="456" spans="1:24" ht="33.75" customHeight="1" x14ac:dyDescent="0.25">
      <c r="A456" s="118"/>
      <c r="B456" s="140" t="s">
        <v>126</v>
      </c>
      <c r="C456" s="140" t="s">
        <v>122</v>
      </c>
      <c r="D456" s="234" t="s">
        <v>586</v>
      </c>
      <c r="E456" s="140"/>
      <c r="F456" s="140"/>
      <c r="G456" s="140"/>
      <c r="H456" s="140"/>
      <c r="I456" s="140"/>
      <c r="J456" s="140"/>
      <c r="K456" s="140"/>
      <c r="L456" s="140"/>
      <c r="M456" s="140"/>
      <c r="N456" s="140"/>
      <c r="O456" s="140"/>
      <c r="P456" s="140"/>
      <c r="Q456" s="140"/>
      <c r="R456" s="140"/>
      <c r="S456" s="140" t="s">
        <v>427</v>
      </c>
      <c r="T456" s="153" t="s">
        <v>773</v>
      </c>
      <c r="U456" s="120">
        <f>П4ВСР!Z518</f>
        <v>3607391.34</v>
      </c>
      <c r="V456" s="120">
        <v>0</v>
      </c>
      <c r="W456" s="120">
        <v>0</v>
      </c>
      <c r="X456" s="118"/>
    </row>
    <row r="457" spans="1:24" ht="39.75" hidden="1" customHeight="1" x14ac:dyDescent="0.25">
      <c r="A457" s="118" t="s">
        <v>384</v>
      </c>
      <c r="B457" s="134" t="s">
        <v>126</v>
      </c>
      <c r="C457" s="134" t="s">
        <v>122</v>
      </c>
      <c r="D457" s="134" t="s">
        <v>588</v>
      </c>
      <c r="E457" s="134"/>
      <c r="F457" s="134"/>
      <c r="G457" s="134"/>
      <c r="H457" s="134"/>
      <c r="I457" s="134"/>
      <c r="J457" s="134"/>
      <c r="K457" s="134"/>
      <c r="L457" s="134"/>
      <c r="M457" s="134"/>
      <c r="N457" s="134"/>
      <c r="O457" s="134"/>
      <c r="P457" s="134"/>
      <c r="Q457" s="134"/>
      <c r="R457" s="134"/>
      <c r="S457" s="134"/>
      <c r="T457" s="153" t="s">
        <v>587</v>
      </c>
      <c r="U457" s="120">
        <f>U458</f>
        <v>0</v>
      </c>
      <c r="V457" s="120">
        <f>V458</f>
        <v>0</v>
      </c>
      <c r="W457" s="120">
        <f>W458</f>
        <v>0</v>
      </c>
      <c r="X457" s="118" t="s">
        <v>384</v>
      </c>
    </row>
    <row r="458" spans="1:24" ht="45.75" hidden="1" customHeight="1" x14ac:dyDescent="0.25">
      <c r="A458" s="118" t="s">
        <v>385</v>
      </c>
      <c r="B458" s="140" t="s">
        <v>126</v>
      </c>
      <c r="C458" s="140" t="s">
        <v>122</v>
      </c>
      <c r="D458" s="134" t="s">
        <v>588</v>
      </c>
      <c r="E458" s="140"/>
      <c r="F458" s="140"/>
      <c r="G458" s="140"/>
      <c r="H458" s="140"/>
      <c r="I458" s="140"/>
      <c r="J458" s="140"/>
      <c r="K458" s="140"/>
      <c r="L458" s="140"/>
      <c r="M458" s="140"/>
      <c r="N458" s="140"/>
      <c r="O458" s="140"/>
      <c r="P458" s="140"/>
      <c r="Q458" s="140"/>
      <c r="R458" s="140"/>
      <c r="S458" s="140" t="s">
        <v>350</v>
      </c>
      <c r="T458" s="135" t="s">
        <v>736</v>
      </c>
      <c r="U458" s="120">
        <f>П4ВСР!Z291</f>
        <v>0</v>
      </c>
      <c r="V458" s="120">
        <f>П4ВСР!AA291</f>
        <v>0</v>
      </c>
      <c r="W458" s="120">
        <f>П4ВСР!AB291</f>
        <v>0</v>
      </c>
      <c r="X458" s="118" t="s">
        <v>385</v>
      </c>
    </row>
    <row r="459" spans="1:24" ht="45" hidden="1" customHeight="1" x14ac:dyDescent="0.25">
      <c r="A459" s="118"/>
      <c r="B459" s="140" t="s">
        <v>126</v>
      </c>
      <c r="C459" s="140" t="s">
        <v>122</v>
      </c>
      <c r="D459" s="234" t="s">
        <v>988</v>
      </c>
      <c r="E459" s="140"/>
      <c r="F459" s="140"/>
      <c r="G459" s="140"/>
      <c r="H459" s="140"/>
      <c r="I459" s="140"/>
      <c r="J459" s="140"/>
      <c r="K459" s="140"/>
      <c r="L459" s="140"/>
      <c r="M459" s="140"/>
      <c r="N459" s="140"/>
      <c r="O459" s="140"/>
      <c r="P459" s="140"/>
      <c r="Q459" s="140"/>
      <c r="R459" s="140"/>
      <c r="S459" s="140"/>
      <c r="T459" s="295" t="s">
        <v>986</v>
      </c>
      <c r="U459" s="120">
        <f>U460</f>
        <v>0</v>
      </c>
      <c r="V459" s="120">
        <v>0</v>
      </c>
      <c r="W459" s="120">
        <v>0</v>
      </c>
      <c r="X459" s="118"/>
    </row>
    <row r="460" spans="1:24" ht="0.75" hidden="1" customHeight="1" x14ac:dyDescent="0.25">
      <c r="A460" s="118"/>
      <c r="B460" s="140" t="s">
        <v>126</v>
      </c>
      <c r="C460" s="140" t="s">
        <v>122</v>
      </c>
      <c r="D460" s="234" t="s">
        <v>988</v>
      </c>
      <c r="E460" s="140"/>
      <c r="F460" s="140"/>
      <c r="G460" s="140"/>
      <c r="H460" s="140"/>
      <c r="I460" s="140"/>
      <c r="J460" s="140"/>
      <c r="K460" s="140"/>
      <c r="L460" s="140"/>
      <c r="M460" s="140"/>
      <c r="N460" s="140"/>
      <c r="O460" s="140"/>
      <c r="P460" s="140"/>
      <c r="Q460" s="140"/>
      <c r="R460" s="140"/>
      <c r="S460" s="140" t="s">
        <v>275</v>
      </c>
      <c r="T460" s="343" t="s">
        <v>987</v>
      </c>
      <c r="U460" s="120">
        <f>П4ВСР!Z293</f>
        <v>0</v>
      </c>
      <c r="V460" s="120">
        <v>0</v>
      </c>
      <c r="W460" s="120">
        <v>0</v>
      </c>
      <c r="X460" s="118"/>
    </row>
    <row r="461" spans="1:24" ht="92.25" customHeight="1" x14ac:dyDescent="0.25">
      <c r="A461" s="118" t="s">
        <v>242</v>
      </c>
      <c r="B461" s="134" t="s">
        <v>126</v>
      </c>
      <c r="C461" s="134" t="s">
        <v>122</v>
      </c>
      <c r="D461" s="134" t="s">
        <v>589</v>
      </c>
      <c r="E461" s="134"/>
      <c r="F461" s="134"/>
      <c r="G461" s="134"/>
      <c r="H461" s="134"/>
      <c r="I461" s="134"/>
      <c r="J461" s="134"/>
      <c r="K461" s="134"/>
      <c r="L461" s="134"/>
      <c r="M461" s="134"/>
      <c r="N461" s="134"/>
      <c r="O461" s="134"/>
      <c r="P461" s="134"/>
      <c r="Q461" s="134"/>
      <c r="R461" s="134"/>
      <c r="S461" s="134"/>
      <c r="T461" s="153" t="s">
        <v>242</v>
      </c>
      <c r="U461" s="120">
        <f>U462</f>
        <v>250000</v>
      </c>
      <c r="V461" s="120">
        <f>V462</f>
        <v>400000</v>
      </c>
      <c r="W461" s="120">
        <f>W462</f>
        <v>400000</v>
      </c>
      <c r="X461" s="118" t="s">
        <v>242</v>
      </c>
    </row>
    <row r="462" spans="1:24" ht="50.25" customHeight="1" x14ac:dyDescent="0.25">
      <c r="A462" s="118" t="s">
        <v>386</v>
      </c>
      <c r="B462" s="140" t="s">
        <v>126</v>
      </c>
      <c r="C462" s="140" t="s">
        <v>122</v>
      </c>
      <c r="D462" s="134" t="s">
        <v>589</v>
      </c>
      <c r="E462" s="140"/>
      <c r="F462" s="140"/>
      <c r="G462" s="140"/>
      <c r="H462" s="140"/>
      <c r="I462" s="140"/>
      <c r="J462" s="140"/>
      <c r="K462" s="140"/>
      <c r="L462" s="140"/>
      <c r="M462" s="140"/>
      <c r="N462" s="140"/>
      <c r="O462" s="140"/>
      <c r="P462" s="140"/>
      <c r="Q462" s="140"/>
      <c r="R462" s="140"/>
      <c r="S462" s="140" t="s">
        <v>275</v>
      </c>
      <c r="T462" s="135" t="s">
        <v>565</v>
      </c>
      <c r="U462" s="120">
        <f>П4ВСР!Z295</f>
        <v>250000</v>
      </c>
      <c r="V462" s="120">
        <f>П4ВСР!AA295</f>
        <v>400000</v>
      </c>
      <c r="W462" s="120">
        <f>П4ВСР!AB295</f>
        <v>400000</v>
      </c>
      <c r="X462" s="118" t="s">
        <v>386</v>
      </c>
    </row>
    <row r="463" spans="1:24" ht="0.75" hidden="1" customHeight="1" x14ac:dyDescent="0.25">
      <c r="A463" s="116" t="s">
        <v>387</v>
      </c>
      <c r="B463" s="126"/>
      <c r="C463" s="126"/>
      <c r="D463" s="126"/>
      <c r="E463" s="126"/>
      <c r="F463" s="126"/>
      <c r="G463" s="126"/>
      <c r="H463" s="126"/>
      <c r="I463" s="126"/>
      <c r="J463" s="126"/>
      <c r="K463" s="126"/>
      <c r="L463" s="126"/>
      <c r="M463" s="126"/>
      <c r="N463" s="126"/>
      <c r="O463" s="126"/>
      <c r="P463" s="126"/>
      <c r="Q463" s="126"/>
      <c r="R463" s="126"/>
      <c r="S463" s="126"/>
      <c r="T463" s="116"/>
      <c r="U463" s="117"/>
      <c r="V463" s="117"/>
      <c r="W463" s="117"/>
      <c r="X463" s="116" t="s">
        <v>387</v>
      </c>
    </row>
    <row r="464" spans="1:24" ht="36.75" hidden="1" customHeight="1" x14ac:dyDescent="0.25">
      <c r="A464" s="118" t="s">
        <v>161</v>
      </c>
      <c r="B464" s="119"/>
      <c r="C464" s="119"/>
      <c r="D464" s="119"/>
      <c r="E464" s="119"/>
      <c r="F464" s="119"/>
      <c r="G464" s="119"/>
      <c r="H464" s="119"/>
      <c r="I464" s="119"/>
      <c r="J464" s="119"/>
      <c r="K464" s="119"/>
      <c r="L464" s="119"/>
      <c r="M464" s="119"/>
      <c r="N464" s="119"/>
      <c r="O464" s="119"/>
      <c r="P464" s="119"/>
      <c r="Q464" s="119"/>
      <c r="R464" s="119"/>
      <c r="S464" s="119"/>
      <c r="T464" s="118"/>
      <c r="U464" s="120"/>
      <c r="V464" s="120"/>
      <c r="W464" s="120"/>
      <c r="X464" s="118" t="s">
        <v>161</v>
      </c>
    </row>
    <row r="465" spans="1:28" ht="256.5" hidden="1" customHeight="1" x14ac:dyDescent="0.25">
      <c r="A465" s="124" t="s">
        <v>227</v>
      </c>
      <c r="B465" s="134"/>
      <c r="C465" s="134"/>
      <c r="D465" s="134"/>
      <c r="E465" s="134"/>
      <c r="F465" s="134"/>
      <c r="G465" s="134"/>
      <c r="H465" s="134"/>
      <c r="I465" s="134"/>
      <c r="J465" s="134"/>
      <c r="K465" s="134"/>
      <c r="L465" s="134"/>
      <c r="M465" s="134"/>
      <c r="N465" s="134"/>
      <c r="O465" s="134"/>
      <c r="P465" s="134"/>
      <c r="Q465" s="134"/>
      <c r="R465" s="134"/>
      <c r="S465" s="134"/>
      <c r="T465" s="155"/>
      <c r="U465" s="120"/>
      <c r="V465" s="120"/>
      <c r="W465" s="120"/>
      <c r="X465" s="124" t="s">
        <v>227</v>
      </c>
    </row>
    <row r="466" spans="1:28" ht="122.25" hidden="1" customHeight="1" x14ac:dyDescent="0.25">
      <c r="A466" s="124" t="s">
        <v>388</v>
      </c>
      <c r="B466" s="140"/>
      <c r="C466" s="140"/>
      <c r="D466" s="134"/>
      <c r="E466" s="140"/>
      <c r="F466" s="140"/>
      <c r="G466" s="140"/>
      <c r="H466" s="140"/>
      <c r="I466" s="140"/>
      <c r="J466" s="140"/>
      <c r="K466" s="140"/>
      <c r="L466" s="140"/>
      <c r="M466" s="140"/>
      <c r="N466" s="140"/>
      <c r="O466" s="140"/>
      <c r="P466" s="140"/>
      <c r="Q466" s="140"/>
      <c r="R466" s="140"/>
      <c r="S466" s="140"/>
      <c r="T466" s="154"/>
      <c r="U466" s="120"/>
      <c r="V466" s="120"/>
      <c r="W466" s="120"/>
      <c r="X466" s="124" t="s">
        <v>388</v>
      </c>
    </row>
    <row r="467" spans="1:28" ht="55.5" hidden="1" customHeight="1" x14ac:dyDescent="0.25">
      <c r="A467" s="124" t="s">
        <v>389</v>
      </c>
      <c r="B467" s="140"/>
      <c r="C467" s="140"/>
      <c r="D467" s="134"/>
      <c r="E467" s="140"/>
      <c r="F467" s="140"/>
      <c r="G467" s="140"/>
      <c r="H467" s="140"/>
      <c r="I467" s="140"/>
      <c r="J467" s="140"/>
      <c r="K467" s="140"/>
      <c r="L467" s="140"/>
      <c r="M467" s="140"/>
      <c r="N467" s="140"/>
      <c r="O467" s="140"/>
      <c r="P467" s="140"/>
      <c r="Q467" s="140"/>
      <c r="R467" s="140"/>
      <c r="S467" s="140"/>
      <c r="T467" s="154"/>
      <c r="U467" s="120"/>
      <c r="V467" s="120"/>
      <c r="W467" s="120"/>
      <c r="X467" s="124" t="s">
        <v>389</v>
      </c>
    </row>
    <row r="468" spans="1:28" ht="18.600000000000001" customHeight="1" x14ac:dyDescent="0.25">
      <c r="A468" s="116" t="s">
        <v>390</v>
      </c>
      <c r="B468" s="126" t="s">
        <v>143</v>
      </c>
      <c r="C468" s="126" t="s">
        <v>133</v>
      </c>
      <c r="D468" s="126"/>
      <c r="E468" s="126"/>
      <c r="F468" s="126"/>
      <c r="G468" s="126"/>
      <c r="H468" s="126"/>
      <c r="I468" s="126"/>
      <c r="J468" s="126"/>
      <c r="K468" s="126"/>
      <c r="L468" s="126"/>
      <c r="M468" s="126"/>
      <c r="N468" s="126"/>
      <c r="O468" s="126"/>
      <c r="P468" s="126"/>
      <c r="Q468" s="126"/>
      <c r="R468" s="126"/>
      <c r="S468" s="126"/>
      <c r="T468" s="116" t="s">
        <v>390</v>
      </c>
      <c r="U468" s="117">
        <f>U469+U475+U491+U512</f>
        <v>41499623.069999993</v>
      </c>
      <c r="V468" s="117">
        <f>V469+V475+V491+V512</f>
        <v>37083378.059999995</v>
      </c>
      <c r="W468" s="117">
        <f>W469+W475+W491+W512</f>
        <v>37674306.939999998</v>
      </c>
      <c r="X468" s="116" t="s">
        <v>390</v>
      </c>
    </row>
    <row r="469" spans="1:28" ht="18.600000000000001" customHeight="1" x14ac:dyDescent="0.25">
      <c r="A469" s="118" t="s">
        <v>162</v>
      </c>
      <c r="B469" s="119" t="s">
        <v>143</v>
      </c>
      <c r="C469" s="119" t="s">
        <v>122</v>
      </c>
      <c r="D469" s="119"/>
      <c r="E469" s="119"/>
      <c r="F469" s="119"/>
      <c r="G469" s="119"/>
      <c r="H469" s="119"/>
      <c r="I469" s="119"/>
      <c r="J469" s="119"/>
      <c r="K469" s="119"/>
      <c r="L469" s="119"/>
      <c r="M469" s="119"/>
      <c r="N469" s="119"/>
      <c r="O469" s="119"/>
      <c r="P469" s="119"/>
      <c r="Q469" s="119"/>
      <c r="R469" s="119"/>
      <c r="S469" s="119"/>
      <c r="T469" s="118" t="s">
        <v>162</v>
      </c>
      <c r="U469" s="120">
        <f>U470+U472</f>
        <v>2177967.38</v>
      </c>
      <c r="V469" s="120">
        <f>V470+V472</f>
        <v>2177967.38</v>
      </c>
      <c r="W469" s="120">
        <f>W470+W472</f>
        <v>2177967.38</v>
      </c>
      <c r="X469" s="118" t="s">
        <v>162</v>
      </c>
    </row>
    <row r="470" spans="1:28" ht="90" customHeight="1" x14ac:dyDescent="0.25">
      <c r="A470" s="118" t="s">
        <v>391</v>
      </c>
      <c r="B470" s="161" t="s">
        <v>143</v>
      </c>
      <c r="C470" s="161" t="s">
        <v>122</v>
      </c>
      <c r="D470" s="161" t="s">
        <v>607</v>
      </c>
      <c r="E470" s="161"/>
      <c r="F470" s="161"/>
      <c r="G470" s="161"/>
      <c r="H470" s="161"/>
      <c r="I470" s="161"/>
      <c r="J470" s="161"/>
      <c r="K470" s="161"/>
      <c r="L470" s="161"/>
      <c r="M470" s="161"/>
      <c r="N470" s="161"/>
      <c r="O470" s="161"/>
      <c r="P470" s="161"/>
      <c r="Q470" s="161"/>
      <c r="R470" s="161"/>
      <c r="S470" s="161"/>
      <c r="T470" s="153" t="s">
        <v>391</v>
      </c>
      <c r="U470" s="120">
        <f>U471</f>
        <v>1643415.38</v>
      </c>
      <c r="V470" s="120">
        <f>V471</f>
        <v>1643415.38</v>
      </c>
      <c r="W470" s="120">
        <f>W471</f>
        <v>1643415.38</v>
      </c>
      <c r="X470" s="118" t="s">
        <v>391</v>
      </c>
      <c r="AA470" s="127"/>
    </row>
    <row r="471" spans="1:28" ht="42" customHeight="1" x14ac:dyDescent="0.25">
      <c r="A471" s="118" t="s">
        <v>392</v>
      </c>
      <c r="B471" s="136" t="s">
        <v>143</v>
      </c>
      <c r="C471" s="136" t="s">
        <v>122</v>
      </c>
      <c r="D471" s="161" t="s">
        <v>607</v>
      </c>
      <c r="E471" s="136"/>
      <c r="F471" s="136"/>
      <c r="G471" s="136"/>
      <c r="H471" s="136"/>
      <c r="I471" s="136"/>
      <c r="J471" s="136"/>
      <c r="K471" s="136"/>
      <c r="L471" s="136"/>
      <c r="M471" s="136"/>
      <c r="N471" s="136"/>
      <c r="O471" s="136"/>
      <c r="P471" s="136"/>
      <c r="Q471" s="136"/>
      <c r="R471" s="136"/>
      <c r="S471" s="136" t="s">
        <v>393</v>
      </c>
      <c r="T471" s="135" t="s">
        <v>730</v>
      </c>
      <c r="U471" s="120">
        <f>П4ВСР!Z304</f>
        <v>1643415.38</v>
      </c>
      <c r="V471" s="120">
        <f>П4ВСР!AA304</f>
        <v>1643415.38</v>
      </c>
      <c r="W471" s="120">
        <f>П4ВСР!AB304</f>
        <v>1643415.38</v>
      </c>
      <c r="X471" s="118" t="s">
        <v>392</v>
      </c>
    </row>
    <row r="472" spans="1:28" ht="178.5" customHeight="1" x14ac:dyDescent="0.25">
      <c r="A472" s="124" t="s">
        <v>469</v>
      </c>
      <c r="B472" s="136" t="s">
        <v>143</v>
      </c>
      <c r="C472" s="136" t="s">
        <v>122</v>
      </c>
      <c r="D472" s="161" t="s">
        <v>608</v>
      </c>
      <c r="E472" s="136"/>
      <c r="F472" s="136"/>
      <c r="G472" s="136"/>
      <c r="H472" s="136"/>
      <c r="I472" s="136"/>
      <c r="J472" s="136"/>
      <c r="K472" s="136"/>
      <c r="L472" s="136"/>
      <c r="M472" s="136"/>
      <c r="N472" s="136"/>
      <c r="O472" s="136"/>
      <c r="P472" s="136"/>
      <c r="Q472" s="136"/>
      <c r="R472" s="136"/>
      <c r="S472" s="136"/>
      <c r="T472" s="155" t="s">
        <v>469</v>
      </c>
      <c r="U472" s="120">
        <f>U474+U473</f>
        <v>534552</v>
      </c>
      <c r="V472" s="120">
        <f>V474+V473</f>
        <v>534552</v>
      </c>
      <c r="W472" s="120">
        <f>W474+W473</f>
        <v>534552</v>
      </c>
      <c r="X472" s="124" t="s">
        <v>469</v>
      </c>
    </row>
    <row r="473" spans="1:28" ht="50.25" customHeight="1" x14ac:dyDescent="0.25">
      <c r="A473" s="124"/>
      <c r="B473" s="136" t="s">
        <v>143</v>
      </c>
      <c r="C473" s="136" t="s">
        <v>122</v>
      </c>
      <c r="D473" s="161" t="s">
        <v>608</v>
      </c>
      <c r="E473" s="136"/>
      <c r="F473" s="136"/>
      <c r="G473" s="136"/>
      <c r="H473" s="136"/>
      <c r="I473" s="136"/>
      <c r="J473" s="136"/>
      <c r="K473" s="136"/>
      <c r="L473" s="136"/>
      <c r="M473" s="136"/>
      <c r="N473" s="136"/>
      <c r="O473" s="136"/>
      <c r="P473" s="136"/>
      <c r="Q473" s="136"/>
      <c r="R473" s="136"/>
      <c r="S473" s="136" t="s">
        <v>275</v>
      </c>
      <c r="T473" s="154" t="s">
        <v>1329</v>
      </c>
      <c r="U473" s="120">
        <f>П4ВСР!Z630</f>
        <v>4152</v>
      </c>
      <c r="V473" s="120">
        <f>П4ВСР!AA630</f>
        <v>4152</v>
      </c>
      <c r="W473" s="120">
        <f>П4ВСР!AB630</f>
        <v>4152</v>
      </c>
      <c r="X473" s="124"/>
    </row>
    <row r="474" spans="1:28" ht="47.25" customHeight="1" x14ac:dyDescent="0.25">
      <c r="A474" s="124" t="s">
        <v>470</v>
      </c>
      <c r="B474" s="136" t="s">
        <v>143</v>
      </c>
      <c r="C474" s="136" t="s">
        <v>122</v>
      </c>
      <c r="D474" s="161" t="s">
        <v>608</v>
      </c>
      <c r="E474" s="136"/>
      <c r="F474" s="136"/>
      <c r="G474" s="136"/>
      <c r="H474" s="136"/>
      <c r="I474" s="136"/>
      <c r="J474" s="136"/>
      <c r="K474" s="136"/>
      <c r="L474" s="136"/>
      <c r="M474" s="136"/>
      <c r="N474" s="136"/>
      <c r="O474" s="136"/>
      <c r="P474" s="136"/>
      <c r="Q474" s="136"/>
      <c r="R474" s="136"/>
      <c r="S474" s="136" t="s">
        <v>393</v>
      </c>
      <c r="T474" s="154" t="s">
        <v>730</v>
      </c>
      <c r="U474" s="120">
        <f>П4ВСР!Z306+П4ВСР!Z631</f>
        <v>530400</v>
      </c>
      <c r="V474" s="120">
        <f>П4ВСР!AA306+П4ВСР!AA631</f>
        <v>530400</v>
      </c>
      <c r="W474" s="120">
        <f>П4ВСР!AB306+П4ВСР!AB631</f>
        <v>530400</v>
      </c>
      <c r="X474" s="124" t="s">
        <v>470</v>
      </c>
    </row>
    <row r="475" spans="1:28" ht="18.600000000000001" customHeight="1" x14ac:dyDescent="0.25">
      <c r="A475" s="118" t="s">
        <v>163</v>
      </c>
      <c r="B475" s="119" t="s">
        <v>143</v>
      </c>
      <c r="C475" s="119" t="s">
        <v>123</v>
      </c>
      <c r="D475" s="119"/>
      <c r="E475" s="119"/>
      <c r="F475" s="119"/>
      <c r="G475" s="119"/>
      <c r="H475" s="119"/>
      <c r="I475" s="119"/>
      <c r="J475" s="119"/>
      <c r="K475" s="119"/>
      <c r="L475" s="119"/>
      <c r="M475" s="119"/>
      <c r="N475" s="119"/>
      <c r="O475" s="119"/>
      <c r="P475" s="119"/>
      <c r="Q475" s="119"/>
      <c r="R475" s="119"/>
      <c r="S475" s="119"/>
      <c r="T475" s="118" t="s">
        <v>163</v>
      </c>
      <c r="U475" s="120">
        <f>U476+U482+U484+U486+U489+U478+U480</f>
        <v>3734637.56</v>
      </c>
      <c r="V475" s="120">
        <f>V476+V482+V484+V486+V489+V478+V480</f>
        <v>350000</v>
      </c>
      <c r="W475" s="120">
        <f>W476+W482+W484+W486+W489+W478+W480</f>
        <v>350000</v>
      </c>
      <c r="X475" s="118" t="s">
        <v>163</v>
      </c>
    </row>
    <row r="476" spans="1:28" ht="169.5" customHeight="1" x14ac:dyDescent="0.25">
      <c r="A476" s="118" t="s">
        <v>394</v>
      </c>
      <c r="B476" s="161" t="s">
        <v>143</v>
      </c>
      <c r="C476" s="161" t="s">
        <v>123</v>
      </c>
      <c r="D476" s="161" t="s">
        <v>609</v>
      </c>
      <c r="E476" s="161"/>
      <c r="F476" s="161"/>
      <c r="G476" s="161"/>
      <c r="H476" s="161"/>
      <c r="I476" s="161"/>
      <c r="J476" s="161"/>
      <c r="K476" s="161"/>
      <c r="L476" s="161"/>
      <c r="M476" s="161"/>
      <c r="N476" s="161"/>
      <c r="O476" s="161"/>
      <c r="P476" s="161"/>
      <c r="Q476" s="161"/>
      <c r="R476" s="161"/>
      <c r="S476" s="161"/>
      <c r="T476" s="153" t="s">
        <v>1307</v>
      </c>
      <c r="U476" s="120">
        <f>U477</f>
        <v>0</v>
      </c>
      <c r="V476" s="120">
        <f>V477</f>
        <v>50000</v>
      </c>
      <c r="W476" s="120">
        <f>W477</f>
        <v>50000</v>
      </c>
      <c r="X476" s="118" t="s">
        <v>394</v>
      </c>
      <c r="AA476" s="127"/>
      <c r="AB476" s="127"/>
    </row>
    <row r="477" spans="1:28" ht="45.75" customHeight="1" x14ac:dyDescent="0.25">
      <c r="A477" s="118" t="s">
        <v>395</v>
      </c>
      <c r="B477" s="136" t="s">
        <v>143</v>
      </c>
      <c r="C477" s="136" t="s">
        <v>123</v>
      </c>
      <c r="D477" s="161" t="s">
        <v>609</v>
      </c>
      <c r="E477" s="136"/>
      <c r="F477" s="136"/>
      <c r="G477" s="136"/>
      <c r="H477" s="136"/>
      <c r="I477" s="136"/>
      <c r="J477" s="136"/>
      <c r="K477" s="136"/>
      <c r="L477" s="136"/>
      <c r="M477" s="136"/>
      <c r="N477" s="136"/>
      <c r="O477" s="136"/>
      <c r="P477" s="136"/>
      <c r="Q477" s="136"/>
      <c r="R477" s="136"/>
      <c r="S477" s="136" t="s">
        <v>275</v>
      </c>
      <c r="T477" s="135" t="s">
        <v>565</v>
      </c>
      <c r="U477" s="120">
        <f>П4ВСР!Z309</f>
        <v>0</v>
      </c>
      <c r="V477" s="120">
        <f>П4ВСР!AA309</f>
        <v>50000</v>
      </c>
      <c r="W477" s="120">
        <f>П4ВСР!AB309</f>
        <v>50000</v>
      </c>
      <c r="X477" s="118" t="s">
        <v>395</v>
      </c>
      <c r="AA477" s="127"/>
    </row>
    <row r="478" spans="1:28" ht="151.5" hidden="1" customHeight="1" x14ac:dyDescent="0.25">
      <c r="A478" s="118"/>
      <c r="B478" s="136" t="s">
        <v>143</v>
      </c>
      <c r="C478" s="136" t="s">
        <v>123</v>
      </c>
      <c r="D478" s="161" t="s">
        <v>801</v>
      </c>
      <c r="E478" s="136"/>
      <c r="F478" s="136"/>
      <c r="G478" s="136"/>
      <c r="H478" s="136"/>
      <c r="I478" s="136"/>
      <c r="J478" s="136"/>
      <c r="K478" s="136"/>
      <c r="L478" s="136"/>
      <c r="M478" s="136"/>
      <c r="N478" s="136"/>
      <c r="O478" s="136"/>
      <c r="P478" s="136"/>
      <c r="Q478" s="136"/>
      <c r="R478" s="136"/>
      <c r="S478" s="136"/>
      <c r="T478" s="222" t="s">
        <v>610</v>
      </c>
      <c r="U478" s="120">
        <f>U479</f>
        <v>0</v>
      </c>
      <c r="V478" s="120">
        <f>V479</f>
        <v>0</v>
      </c>
      <c r="W478" s="120">
        <f>W479</f>
        <v>0</v>
      </c>
      <c r="X478" s="118"/>
    </row>
    <row r="479" spans="1:28" ht="74.25" hidden="1" customHeight="1" x14ac:dyDescent="0.25">
      <c r="A479" s="118"/>
      <c r="B479" s="136" t="s">
        <v>143</v>
      </c>
      <c r="C479" s="136" t="s">
        <v>123</v>
      </c>
      <c r="D479" s="161" t="s">
        <v>801</v>
      </c>
      <c r="E479" s="136"/>
      <c r="F479" s="136"/>
      <c r="G479" s="136"/>
      <c r="H479" s="136"/>
      <c r="I479" s="136"/>
      <c r="J479" s="136"/>
      <c r="K479" s="136"/>
      <c r="L479" s="136"/>
      <c r="M479" s="136"/>
      <c r="N479" s="136"/>
      <c r="O479" s="136"/>
      <c r="P479" s="136"/>
      <c r="Q479" s="136"/>
      <c r="R479" s="136"/>
      <c r="S479" s="136" t="s">
        <v>393</v>
      </c>
      <c r="T479" s="265" t="s">
        <v>397</v>
      </c>
      <c r="U479" s="120">
        <f>П4ВСР!Z311</f>
        <v>0</v>
      </c>
      <c r="V479" s="120">
        <f>П4ВСР!AA311</f>
        <v>0</v>
      </c>
      <c r="W479" s="120">
        <f>П4ВСР!AB311</f>
        <v>0</v>
      </c>
      <c r="X479" s="118"/>
    </row>
    <row r="480" spans="1:28" ht="185.25" hidden="1" customHeight="1" x14ac:dyDescent="0.25">
      <c r="A480" s="118"/>
      <c r="B480" s="136" t="s">
        <v>143</v>
      </c>
      <c r="C480" s="136" t="s">
        <v>123</v>
      </c>
      <c r="D480" s="161" t="s">
        <v>1014</v>
      </c>
      <c r="E480" s="136"/>
      <c r="F480" s="136"/>
      <c r="G480" s="136"/>
      <c r="H480" s="136"/>
      <c r="I480" s="136"/>
      <c r="J480" s="136"/>
      <c r="K480" s="136"/>
      <c r="L480" s="136"/>
      <c r="M480" s="136"/>
      <c r="N480" s="136"/>
      <c r="O480" s="136"/>
      <c r="P480" s="136"/>
      <c r="Q480" s="136"/>
      <c r="R480" s="136"/>
      <c r="S480" s="136"/>
      <c r="T480" s="153" t="s">
        <v>1013</v>
      </c>
      <c r="U480" s="120">
        <f>U481</f>
        <v>0</v>
      </c>
      <c r="V480" s="120">
        <v>0</v>
      </c>
      <c r="W480" s="120">
        <v>0</v>
      </c>
      <c r="X480" s="118"/>
    </row>
    <row r="481" spans="1:27" ht="84.75" hidden="1" customHeight="1" x14ac:dyDescent="0.25">
      <c r="A481" s="118"/>
      <c r="B481" s="136" t="s">
        <v>143</v>
      </c>
      <c r="C481" s="136" t="s">
        <v>123</v>
      </c>
      <c r="D481" s="161" t="s">
        <v>1014</v>
      </c>
      <c r="E481" s="136"/>
      <c r="F481" s="136"/>
      <c r="G481" s="136"/>
      <c r="H481" s="136"/>
      <c r="I481" s="136"/>
      <c r="J481" s="136"/>
      <c r="K481" s="136"/>
      <c r="L481" s="136"/>
      <c r="M481" s="136"/>
      <c r="N481" s="136"/>
      <c r="O481" s="136"/>
      <c r="P481" s="136"/>
      <c r="Q481" s="136"/>
      <c r="R481" s="136"/>
      <c r="S481" s="136" t="s">
        <v>393</v>
      </c>
      <c r="T481" s="265" t="s">
        <v>397</v>
      </c>
      <c r="U481" s="120">
        <f>П4ВСР!Z313</f>
        <v>0</v>
      </c>
      <c r="V481" s="120">
        <v>0</v>
      </c>
      <c r="W481" s="120">
        <v>0</v>
      </c>
      <c r="X481" s="118"/>
    </row>
    <row r="482" spans="1:27" ht="147" customHeight="1" x14ac:dyDescent="0.25">
      <c r="A482" s="118" t="s">
        <v>396</v>
      </c>
      <c r="B482" s="161" t="s">
        <v>143</v>
      </c>
      <c r="C482" s="161" t="s">
        <v>123</v>
      </c>
      <c r="D482" s="161" t="s">
        <v>801</v>
      </c>
      <c r="E482" s="161"/>
      <c r="F482" s="161"/>
      <c r="G482" s="161"/>
      <c r="H482" s="161"/>
      <c r="I482" s="161"/>
      <c r="J482" s="161"/>
      <c r="K482" s="161"/>
      <c r="L482" s="161"/>
      <c r="M482" s="161"/>
      <c r="N482" s="161"/>
      <c r="O482" s="161"/>
      <c r="P482" s="161"/>
      <c r="Q482" s="161"/>
      <c r="R482" s="161"/>
      <c r="S482" s="161"/>
      <c r="T482" s="153" t="s">
        <v>1286</v>
      </c>
      <c r="U482" s="120">
        <f>U483</f>
        <v>0</v>
      </c>
      <c r="V482" s="120">
        <f>V483</f>
        <v>0</v>
      </c>
      <c r="W482" s="120">
        <f>W483</f>
        <v>0</v>
      </c>
      <c r="X482" s="118" t="s">
        <v>396</v>
      </c>
      <c r="AA482" s="127"/>
    </row>
    <row r="483" spans="1:27" ht="43.5" customHeight="1" x14ac:dyDescent="0.25">
      <c r="A483" s="118" t="s">
        <v>397</v>
      </c>
      <c r="B483" s="163" t="s">
        <v>143</v>
      </c>
      <c r="C483" s="163" t="s">
        <v>123</v>
      </c>
      <c r="D483" s="161" t="s">
        <v>801</v>
      </c>
      <c r="E483" s="163"/>
      <c r="F483" s="163"/>
      <c r="G483" s="163"/>
      <c r="H483" s="163"/>
      <c r="I483" s="163"/>
      <c r="J483" s="163"/>
      <c r="K483" s="163"/>
      <c r="L483" s="163"/>
      <c r="M483" s="163"/>
      <c r="N483" s="163"/>
      <c r="O483" s="163"/>
      <c r="P483" s="163"/>
      <c r="Q483" s="163"/>
      <c r="R483" s="163"/>
      <c r="S483" s="163" t="s">
        <v>393</v>
      </c>
      <c r="T483" s="162" t="s">
        <v>730</v>
      </c>
      <c r="U483" s="120">
        <f>П4ВСР!Z315</f>
        <v>0</v>
      </c>
      <c r="V483" s="120">
        <f>П4ВСР!AA315</f>
        <v>0</v>
      </c>
      <c r="W483" s="120">
        <f>П4ВСР!AB315</f>
        <v>0</v>
      </c>
      <c r="X483" s="118" t="s">
        <v>397</v>
      </c>
      <c r="AA483" s="127"/>
    </row>
    <row r="484" spans="1:27" ht="130.5" customHeight="1" x14ac:dyDescent="0.25">
      <c r="A484" s="118" t="s">
        <v>398</v>
      </c>
      <c r="B484" s="161" t="s">
        <v>143</v>
      </c>
      <c r="C484" s="161" t="s">
        <v>123</v>
      </c>
      <c r="D484" s="161" t="s">
        <v>1017</v>
      </c>
      <c r="E484" s="161"/>
      <c r="F484" s="161"/>
      <c r="G484" s="161"/>
      <c r="H484" s="161"/>
      <c r="I484" s="161"/>
      <c r="J484" s="161"/>
      <c r="K484" s="161"/>
      <c r="L484" s="161"/>
      <c r="M484" s="161"/>
      <c r="N484" s="161"/>
      <c r="O484" s="161"/>
      <c r="P484" s="161"/>
      <c r="Q484" s="161"/>
      <c r="R484" s="161"/>
      <c r="S484" s="161"/>
      <c r="T484" s="153" t="s">
        <v>1286</v>
      </c>
      <c r="U484" s="120">
        <f>U485</f>
        <v>2754637.56</v>
      </c>
      <c r="V484" s="120">
        <f>V485</f>
        <v>0</v>
      </c>
      <c r="W484" s="120">
        <f>W485</f>
        <v>0</v>
      </c>
      <c r="X484" s="118" t="s">
        <v>398</v>
      </c>
    </row>
    <row r="485" spans="1:27" ht="48.75" customHeight="1" x14ac:dyDescent="0.25">
      <c r="A485" s="118" t="s">
        <v>399</v>
      </c>
      <c r="B485" s="163" t="s">
        <v>143</v>
      </c>
      <c r="C485" s="163" t="s">
        <v>123</v>
      </c>
      <c r="D485" s="161" t="s">
        <v>1017</v>
      </c>
      <c r="E485" s="163"/>
      <c r="F485" s="163"/>
      <c r="G485" s="163"/>
      <c r="H485" s="163"/>
      <c r="I485" s="163"/>
      <c r="J485" s="163"/>
      <c r="K485" s="163"/>
      <c r="L485" s="163"/>
      <c r="M485" s="163"/>
      <c r="N485" s="163"/>
      <c r="O485" s="163"/>
      <c r="P485" s="163"/>
      <c r="Q485" s="163"/>
      <c r="R485" s="163"/>
      <c r="S485" s="163" t="s">
        <v>393</v>
      </c>
      <c r="T485" s="162" t="s">
        <v>730</v>
      </c>
      <c r="U485" s="120">
        <f>П4ВСР!Z317</f>
        <v>2754637.56</v>
      </c>
      <c r="V485" s="120">
        <f>П4ВСР!AA317</f>
        <v>0</v>
      </c>
      <c r="W485" s="120">
        <f>П4ВСР!AB317</f>
        <v>0</v>
      </c>
      <c r="X485" s="118" t="s">
        <v>399</v>
      </c>
    </row>
    <row r="486" spans="1:27" ht="74.45" customHeight="1" x14ac:dyDescent="0.25">
      <c r="A486" s="118" t="s">
        <v>240</v>
      </c>
      <c r="B486" s="161" t="s">
        <v>143</v>
      </c>
      <c r="C486" s="161" t="s">
        <v>123</v>
      </c>
      <c r="D486" s="161" t="s">
        <v>611</v>
      </c>
      <c r="E486" s="134"/>
      <c r="F486" s="134"/>
      <c r="G486" s="134"/>
      <c r="H486" s="134"/>
      <c r="I486" s="134"/>
      <c r="J486" s="134"/>
      <c r="K486" s="134"/>
      <c r="L486" s="134"/>
      <c r="M486" s="134"/>
      <c r="N486" s="134"/>
      <c r="O486" s="134"/>
      <c r="P486" s="134"/>
      <c r="Q486" s="134"/>
      <c r="R486" s="134"/>
      <c r="S486" s="134"/>
      <c r="T486" s="153" t="s">
        <v>240</v>
      </c>
      <c r="U486" s="120">
        <f>U488+U487</f>
        <v>600000</v>
      </c>
      <c r="V486" s="120">
        <f>V488+V487</f>
        <v>300000</v>
      </c>
      <c r="W486" s="120">
        <f>W488+W487</f>
        <v>300000</v>
      </c>
      <c r="X486" s="118" t="s">
        <v>240</v>
      </c>
    </row>
    <row r="487" spans="1:27" ht="63.75" customHeight="1" x14ac:dyDescent="0.25">
      <c r="A487" s="118"/>
      <c r="B487" s="136" t="s">
        <v>143</v>
      </c>
      <c r="C487" s="136" t="s">
        <v>123</v>
      </c>
      <c r="D487" s="161" t="s">
        <v>611</v>
      </c>
      <c r="E487" s="136"/>
      <c r="F487" s="136"/>
      <c r="G487" s="136"/>
      <c r="H487" s="136"/>
      <c r="I487" s="136"/>
      <c r="J487" s="136"/>
      <c r="K487" s="136"/>
      <c r="L487" s="136"/>
      <c r="M487" s="136"/>
      <c r="N487" s="136"/>
      <c r="O487" s="136"/>
      <c r="P487" s="136"/>
      <c r="Q487" s="136"/>
      <c r="R487" s="136"/>
      <c r="S487" s="136" t="s">
        <v>275</v>
      </c>
      <c r="T487" s="153" t="s">
        <v>565</v>
      </c>
      <c r="U487" s="120">
        <f>П4ВСР!Z319</f>
        <v>300000</v>
      </c>
      <c r="V487" s="120">
        <f>П4ВСР!AA319</f>
        <v>100000</v>
      </c>
      <c r="W487" s="120">
        <f>П4ВСР!AB319</f>
        <v>100000</v>
      </c>
      <c r="X487" s="118"/>
    </row>
    <row r="488" spans="1:27" ht="57.75" customHeight="1" x14ac:dyDescent="0.25">
      <c r="A488" s="118" t="s">
        <v>400</v>
      </c>
      <c r="B488" s="136" t="s">
        <v>143</v>
      </c>
      <c r="C488" s="136" t="s">
        <v>123</v>
      </c>
      <c r="D488" s="161" t="s">
        <v>611</v>
      </c>
      <c r="E488" s="136"/>
      <c r="F488" s="136"/>
      <c r="G488" s="136"/>
      <c r="H488" s="136"/>
      <c r="I488" s="136"/>
      <c r="J488" s="136"/>
      <c r="K488" s="136"/>
      <c r="L488" s="136"/>
      <c r="M488" s="136"/>
      <c r="N488" s="136"/>
      <c r="O488" s="136"/>
      <c r="P488" s="136"/>
      <c r="Q488" s="136"/>
      <c r="R488" s="136"/>
      <c r="S488" s="136" t="s">
        <v>393</v>
      </c>
      <c r="T488" s="135" t="s">
        <v>730</v>
      </c>
      <c r="U488" s="120">
        <f>П4ВСР!Z320</f>
        <v>300000</v>
      </c>
      <c r="V488" s="120">
        <f>П4ВСР!AA320</f>
        <v>200000</v>
      </c>
      <c r="W488" s="120">
        <f>П4ВСР!AB320</f>
        <v>200000</v>
      </c>
      <c r="X488" s="118" t="s">
        <v>400</v>
      </c>
    </row>
    <row r="489" spans="1:27" ht="111.75" customHeight="1" x14ac:dyDescent="0.25">
      <c r="A489" s="118"/>
      <c r="B489" s="136" t="s">
        <v>143</v>
      </c>
      <c r="C489" s="136" t="s">
        <v>123</v>
      </c>
      <c r="D489" s="161" t="s">
        <v>613</v>
      </c>
      <c r="E489" s="136"/>
      <c r="F489" s="136"/>
      <c r="G489" s="136"/>
      <c r="H489" s="136"/>
      <c r="I489" s="136"/>
      <c r="J489" s="136"/>
      <c r="K489" s="136"/>
      <c r="L489" s="136"/>
      <c r="M489" s="136"/>
      <c r="N489" s="136"/>
      <c r="O489" s="136"/>
      <c r="P489" s="136"/>
      <c r="Q489" s="136"/>
      <c r="R489" s="136"/>
      <c r="S489" s="136"/>
      <c r="T489" s="19" t="s">
        <v>612</v>
      </c>
      <c r="U489" s="120">
        <f>U490</f>
        <v>380000</v>
      </c>
      <c r="V489" s="120">
        <f>V490</f>
        <v>0</v>
      </c>
      <c r="W489" s="120">
        <f>W490</f>
        <v>0</v>
      </c>
      <c r="X489" s="118"/>
    </row>
    <row r="490" spans="1:27" ht="48" customHeight="1" x14ac:dyDescent="0.25">
      <c r="A490" s="118"/>
      <c r="B490" s="136" t="s">
        <v>143</v>
      </c>
      <c r="C490" s="136" t="s">
        <v>123</v>
      </c>
      <c r="D490" s="161" t="s">
        <v>613</v>
      </c>
      <c r="E490" s="136"/>
      <c r="F490" s="136"/>
      <c r="G490" s="136"/>
      <c r="H490" s="136"/>
      <c r="I490" s="136"/>
      <c r="J490" s="136"/>
      <c r="K490" s="136"/>
      <c r="L490" s="136"/>
      <c r="M490" s="136"/>
      <c r="N490" s="136"/>
      <c r="O490" s="136"/>
      <c r="P490" s="136"/>
      <c r="Q490" s="136"/>
      <c r="R490" s="136"/>
      <c r="S490" s="136" t="s">
        <v>393</v>
      </c>
      <c r="T490" s="225" t="s">
        <v>730</v>
      </c>
      <c r="U490" s="120">
        <f>П4ВСР!Z322</f>
        <v>380000</v>
      </c>
      <c r="V490" s="120">
        <f>П4ВСР!AA322</f>
        <v>0</v>
      </c>
      <c r="W490" s="120">
        <f>П4ВСР!AB322</f>
        <v>0</v>
      </c>
      <c r="X490" s="118"/>
    </row>
    <row r="491" spans="1:27" ht="18.600000000000001" customHeight="1" x14ac:dyDescent="0.25">
      <c r="A491" s="118" t="s">
        <v>164</v>
      </c>
      <c r="B491" s="119" t="s">
        <v>143</v>
      </c>
      <c r="C491" s="119" t="s">
        <v>136</v>
      </c>
      <c r="D491" s="119"/>
      <c r="E491" s="119"/>
      <c r="F491" s="119"/>
      <c r="G491" s="119"/>
      <c r="H491" s="119"/>
      <c r="I491" s="119"/>
      <c r="J491" s="119"/>
      <c r="K491" s="119"/>
      <c r="L491" s="119"/>
      <c r="M491" s="119"/>
      <c r="N491" s="119"/>
      <c r="O491" s="119"/>
      <c r="P491" s="119"/>
      <c r="Q491" s="119"/>
      <c r="R491" s="119"/>
      <c r="S491" s="119"/>
      <c r="T491" s="118" t="s">
        <v>164</v>
      </c>
      <c r="U491" s="120">
        <f>U492+U495+U498+U501+U503+U505+U509</f>
        <v>33754697.709999993</v>
      </c>
      <c r="V491" s="120">
        <f>V492+V495+V498+V501+V503+V505+V509</f>
        <v>32652727.699999999</v>
      </c>
      <c r="W491" s="120">
        <f>W492+W495+W498+W501+W503+W505+W509</f>
        <v>33176027.699999999</v>
      </c>
      <c r="X491" s="118" t="s">
        <v>164</v>
      </c>
    </row>
    <row r="492" spans="1:27" ht="127.5" customHeight="1" x14ac:dyDescent="0.25">
      <c r="A492" s="118" t="s">
        <v>471</v>
      </c>
      <c r="B492" s="161" t="s">
        <v>143</v>
      </c>
      <c r="C492" s="161" t="s">
        <v>136</v>
      </c>
      <c r="D492" s="161" t="s">
        <v>914</v>
      </c>
      <c r="E492" s="161"/>
      <c r="F492" s="161"/>
      <c r="G492" s="161"/>
      <c r="H492" s="161"/>
      <c r="I492" s="161"/>
      <c r="J492" s="161"/>
      <c r="K492" s="161"/>
      <c r="L492" s="161"/>
      <c r="M492" s="161"/>
      <c r="N492" s="161"/>
      <c r="O492" s="161"/>
      <c r="P492" s="161"/>
      <c r="Q492" s="161"/>
      <c r="R492" s="161"/>
      <c r="S492" s="161"/>
      <c r="T492" s="286" t="s">
        <v>1287</v>
      </c>
      <c r="U492" s="120">
        <f>U494+U493</f>
        <v>501735.91</v>
      </c>
      <c r="V492" s="120">
        <f>V494</f>
        <v>1046600</v>
      </c>
      <c r="W492" s="120">
        <f>W494</f>
        <v>1569900</v>
      </c>
      <c r="X492" s="118" t="s">
        <v>471</v>
      </c>
    </row>
    <row r="493" spans="1:27" ht="45" hidden="1" customHeight="1" x14ac:dyDescent="0.25">
      <c r="A493" s="118"/>
      <c r="B493" s="136" t="s">
        <v>143</v>
      </c>
      <c r="C493" s="136" t="s">
        <v>136</v>
      </c>
      <c r="D493" s="161" t="s">
        <v>914</v>
      </c>
      <c r="E493" s="136"/>
      <c r="F493" s="136"/>
      <c r="G493" s="136"/>
      <c r="H493" s="136"/>
      <c r="I493" s="136"/>
      <c r="J493" s="136"/>
      <c r="K493" s="136"/>
      <c r="L493" s="136"/>
      <c r="M493" s="136"/>
      <c r="N493" s="136"/>
      <c r="O493" s="136"/>
      <c r="P493" s="136"/>
      <c r="Q493" s="136"/>
      <c r="R493" s="136"/>
      <c r="S493" s="136" t="s">
        <v>275</v>
      </c>
      <c r="T493" s="135" t="s">
        <v>783</v>
      </c>
      <c r="U493" s="120">
        <f>П4ВСР!Z634</f>
        <v>0</v>
      </c>
      <c r="V493" s="120">
        <v>0</v>
      </c>
      <c r="W493" s="120">
        <v>0</v>
      </c>
      <c r="X493" s="118"/>
    </row>
    <row r="494" spans="1:27" ht="49.5" customHeight="1" x14ac:dyDescent="0.25">
      <c r="A494" s="118" t="s">
        <v>472</v>
      </c>
      <c r="B494" s="136" t="s">
        <v>143</v>
      </c>
      <c r="C494" s="136" t="s">
        <v>136</v>
      </c>
      <c r="D494" s="161" t="s">
        <v>914</v>
      </c>
      <c r="E494" s="136"/>
      <c r="F494" s="136"/>
      <c r="G494" s="136"/>
      <c r="H494" s="136"/>
      <c r="I494" s="136"/>
      <c r="J494" s="136"/>
      <c r="K494" s="136"/>
      <c r="L494" s="136"/>
      <c r="M494" s="136"/>
      <c r="N494" s="136"/>
      <c r="O494" s="136"/>
      <c r="P494" s="136"/>
      <c r="Q494" s="136"/>
      <c r="R494" s="136"/>
      <c r="S494" s="136" t="s">
        <v>393</v>
      </c>
      <c r="T494" s="135" t="s">
        <v>730</v>
      </c>
      <c r="U494" s="120">
        <f>П4ВСР!Z635</f>
        <v>501735.91</v>
      </c>
      <c r="V494" s="120">
        <f>П4ВСР!AA635</f>
        <v>1046600</v>
      </c>
      <c r="W494" s="120">
        <f>П4ВСР!AB635</f>
        <v>1569900</v>
      </c>
      <c r="X494" s="118" t="s">
        <v>472</v>
      </c>
    </row>
    <row r="495" spans="1:27" ht="130.5" customHeight="1" x14ac:dyDescent="0.25">
      <c r="A495" s="118" t="s">
        <v>473</v>
      </c>
      <c r="B495" s="161" t="s">
        <v>143</v>
      </c>
      <c r="C495" s="161" t="s">
        <v>136</v>
      </c>
      <c r="D495" s="161" t="s">
        <v>915</v>
      </c>
      <c r="E495" s="161"/>
      <c r="F495" s="161"/>
      <c r="G495" s="161"/>
      <c r="H495" s="161"/>
      <c r="I495" s="161"/>
      <c r="J495" s="161"/>
      <c r="K495" s="161"/>
      <c r="L495" s="161"/>
      <c r="M495" s="161"/>
      <c r="N495" s="161"/>
      <c r="O495" s="161"/>
      <c r="P495" s="161"/>
      <c r="Q495" s="161"/>
      <c r="R495" s="161"/>
      <c r="S495" s="161"/>
      <c r="T495" s="295" t="s">
        <v>1288</v>
      </c>
      <c r="U495" s="120">
        <f>U497+U496</f>
        <v>60777.96</v>
      </c>
      <c r="V495" s="120">
        <f>V497+V496</f>
        <v>63100</v>
      </c>
      <c r="W495" s="120">
        <f>W497+W496</f>
        <v>63100</v>
      </c>
      <c r="X495" s="118" t="s">
        <v>473</v>
      </c>
    </row>
    <row r="496" spans="1:27" ht="54.75" customHeight="1" x14ac:dyDescent="0.25">
      <c r="A496" s="118"/>
      <c r="B496" s="136" t="s">
        <v>143</v>
      </c>
      <c r="C496" s="136" t="s">
        <v>136</v>
      </c>
      <c r="D496" s="161" t="s">
        <v>915</v>
      </c>
      <c r="E496" s="161"/>
      <c r="F496" s="161"/>
      <c r="G496" s="161"/>
      <c r="H496" s="161"/>
      <c r="I496" s="161"/>
      <c r="J496" s="161"/>
      <c r="K496" s="161"/>
      <c r="L496" s="161"/>
      <c r="M496" s="161"/>
      <c r="N496" s="161"/>
      <c r="O496" s="161"/>
      <c r="P496" s="161"/>
      <c r="Q496" s="161"/>
      <c r="R496" s="161"/>
      <c r="S496" s="161" t="s">
        <v>275</v>
      </c>
      <c r="T496" s="135" t="s">
        <v>565</v>
      </c>
      <c r="U496" s="120">
        <f>П4ВСР!Z637</f>
        <v>8500.35</v>
      </c>
      <c r="V496" s="120">
        <f>П4ВСР!AA637</f>
        <v>8500.35</v>
      </c>
      <c r="W496" s="120">
        <f>П4ВСР!AB637</f>
        <v>0</v>
      </c>
      <c r="X496" s="118"/>
    </row>
    <row r="497" spans="1:24" ht="40.5" customHeight="1" x14ac:dyDescent="0.25">
      <c r="A497" s="118" t="s">
        <v>474</v>
      </c>
      <c r="B497" s="136" t="s">
        <v>143</v>
      </c>
      <c r="C497" s="136" t="s">
        <v>136</v>
      </c>
      <c r="D497" s="161" t="s">
        <v>915</v>
      </c>
      <c r="E497" s="136"/>
      <c r="F497" s="136"/>
      <c r="G497" s="136"/>
      <c r="H497" s="136"/>
      <c r="I497" s="136"/>
      <c r="J497" s="136"/>
      <c r="K497" s="136"/>
      <c r="L497" s="136"/>
      <c r="M497" s="136"/>
      <c r="N497" s="136"/>
      <c r="O497" s="136"/>
      <c r="P497" s="136"/>
      <c r="Q497" s="136"/>
      <c r="R497" s="136"/>
      <c r="S497" s="136" t="s">
        <v>393</v>
      </c>
      <c r="T497" s="135" t="s">
        <v>730</v>
      </c>
      <c r="U497" s="120">
        <f>П4ВСР!Z638</f>
        <v>52277.61</v>
      </c>
      <c r="V497" s="120">
        <f>П4ВСР!AA638</f>
        <v>54599.65</v>
      </c>
      <c r="W497" s="120">
        <f>П4ВСР!AB638</f>
        <v>63100</v>
      </c>
      <c r="X497" s="118" t="s">
        <v>474</v>
      </c>
    </row>
    <row r="498" spans="1:24" ht="144" customHeight="1" x14ac:dyDescent="0.25">
      <c r="A498" s="118" t="s">
        <v>475</v>
      </c>
      <c r="B498" s="161" t="s">
        <v>143</v>
      </c>
      <c r="C498" s="161" t="s">
        <v>136</v>
      </c>
      <c r="D498" s="161" t="s">
        <v>916</v>
      </c>
      <c r="E498" s="119"/>
      <c r="F498" s="119"/>
      <c r="G498" s="119"/>
      <c r="H498" s="119"/>
      <c r="I498" s="119"/>
      <c r="J498" s="119"/>
      <c r="K498" s="119"/>
      <c r="L498" s="119"/>
      <c r="M498" s="119"/>
      <c r="N498" s="119"/>
      <c r="O498" s="119"/>
      <c r="P498" s="119"/>
      <c r="Q498" s="119"/>
      <c r="R498" s="119"/>
      <c r="S498" s="119"/>
      <c r="T498" s="286" t="s">
        <v>1289</v>
      </c>
      <c r="U498" s="120">
        <f>U500+U499</f>
        <v>13329236.140000001</v>
      </c>
      <c r="V498" s="120">
        <f>V500</f>
        <v>13786800</v>
      </c>
      <c r="W498" s="120">
        <f>W500</f>
        <v>13786800</v>
      </c>
      <c r="X498" s="118" t="s">
        <v>475</v>
      </c>
    </row>
    <row r="499" spans="1:24" ht="1.5" hidden="1" customHeight="1" x14ac:dyDescent="0.25">
      <c r="A499" s="118"/>
      <c r="B499" s="136" t="s">
        <v>143</v>
      </c>
      <c r="C499" s="136" t="s">
        <v>136</v>
      </c>
      <c r="D499" s="161" t="s">
        <v>916</v>
      </c>
      <c r="E499" s="136"/>
      <c r="F499" s="136"/>
      <c r="G499" s="136"/>
      <c r="H499" s="136"/>
      <c r="I499" s="136"/>
      <c r="J499" s="136"/>
      <c r="K499" s="136"/>
      <c r="L499" s="136"/>
      <c r="M499" s="136"/>
      <c r="N499" s="136"/>
      <c r="O499" s="136"/>
      <c r="P499" s="136"/>
      <c r="Q499" s="136"/>
      <c r="R499" s="136"/>
      <c r="S499" s="136" t="s">
        <v>275</v>
      </c>
      <c r="T499" s="135" t="s">
        <v>783</v>
      </c>
      <c r="U499" s="120">
        <f>П4ВСР!Z640</f>
        <v>0</v>
      </c>
      <c r="V499" s="120">
        <v>0</v>
      </c>
      <c r="W499" s="120">
        <v>0</v>
      </c>
      <c r="X499" s="118"/>
    </row>
    <row r="500" spans="1:24" ht="42" customHeight="1" x14ac:dyDescent="0.25">
      <c r="A500" s="118" t="s">
        <v>476</v>
      </c>
      <c r="B500" s="136" t="s">
        <v>143</v>
      </c>
      <c r="C500" s="136" t="s">
        <v>136</v>
      </c>
      <c r="D500" s="161" t="s">
        <v>916</v>
      </c>
      <c r="E500" s="136"/>
      <c r="F500" s="136"/>
      <c r="G500" s="136"/>
      <c r="H500" s="136"/>
      <c r="I500" s="136"/>
      <c r="J500" s="136"/>
      <c r="K500" s="136"/>
      <c r="L500" s="136"/>
      <c r="M500" s="136"/>
      <c r="N500" s="136"/>
      <c r="O500" s="136"/>
      <c r="P500" s="136"/>
      <c r="Q500" s="136"/>
      <c r="R500" s="136"/>
      <c r="S500" s="136" t="s">
        <v>393</v>
      </c>
      <c r="T500" s="135" t="s">
        <v>730</v>
      </c>
      <c r="U500" s="120">
        <f>П4ВСР!Z641</f>
        <v>13329236.140000001</v>
      </c>
      <c r="V500" s="120">
        <f>П4ВСР!AA641</f>
        <v>13786800</v>
      </c>
      <c r="W500" s="120">
        <f>П4ВСР!AB641</f>
        <v>13786800</v>
      </c>
      <c r="X500" s="118" t="s">
        <v>476</v>
      </c>
    </row>
    <row r="501" spans="1:24" ht="213.75" customHeight="1" x14ac:dyDescent="0.25">
      <c r="A501" s="118" t="s">
        <v>228</v>
      </c>
      <c r="B501" s="136" t="s">
        <v>143</v>
      </c>
      <c r="C501" s="136" t="s">
        <v>136</v>
      </c>
      <c r="D501" s="234" t="s">
        <v>912</v>
      </c>
      <c r="E501" s="136"/>
      <c r="F501" s="136"/>
      <c r="G501" s="136"/>
      <c r="H501" s="136"/>
      <c r="I501" s="136"/>
      <c r="J501" s="136"/>
      <c r="K501" s="136"/>
      <c r="L501" s="136"/>
      <c r="M501" s="136"/>
      <c r="N501" s="136"/>
      <c r="O501" s="136"/>
      <c r="P501" s="136"/>
      <c r="Q501" s="136"/>
      <c r="R501" s="136"/>
      <c r="S501" s="136"/>
      <c r="T501" s="153" t="s">
        <v>1308</v>
      </c>
      <c r="U501" s="120">
        <f>U502</f>
        <v>7373520</v>
      </c>
      <c r="V501" s="120">
        <f>V502</f>
        <v>5266800</v>
      </c>
      <c r="W501" s="120">
        <f>W502</f>
        <v>5266800</v>
      </c>
      <c r="X501" s="118" t="s">
        <v>228</v>
      </c>
    </row>
    <row r="502" spans="1:24" ht="57.75" customHeight="1" x14ac:dyDescent="0.25">
      <c r="A502" s="118" t="s">
        <v>401</v>
      </c>
      <c r="B502" s="161" t="s">
        <v>143</v>
      </c>
      <c r="C502" s="161" t="s">
        <v>136</v>
      </c>
      <c r="D502" s="234" t="s">
        <v>912</v>
      </c>
      <c r="E502" s="161"/>
      <c r="F502" s="161"/>
      <c r="G502" s="161"/>
      <c r="H502" s="161"/>
      <c r="I502" s="161"/>
      <c r="J502" s="161"/>
      <c r="K502" s="161"/>
      <c r="L502" s="161"/>
      <c r="M502" s="161"/>
      <c r="N502" s="161"/>
      <c r="O502" s="161"/>
      <c r="P502" s="161"/>
      <c r="Q502" s="161"/>
      <c r="R502" s="161"/>
      <c r="S502" s="161" t="s">
        <v>350</v>
      </c>
      <c r="T502" s="135" t="s">
        <v>728</v>
      </c>
      <c r="U502" s="120">
        <f>П4ВСР!Z325</f>
        <v>7373520</v>
      </c>
      <c r="V502" s="120">
        <f>П4ВСР!AA325</f>
        <v>5266800</v>
      </c>
      <c r="W502" s="120">
        <f>П4ВСР!AB325</f>
        <v>5266800</v>
      </c>
      <c r="X502" s="118" t="s">
        <v>401</v>
      </c>
    </row>
    <row r="503" spans="1:24" ht="242.25" hidden="1" customHeight="1" x14ac:dyDescent="0.25">
      <c r="A503" s="118" t="s">
        <v>229</v>
      </c>
      <c r="B503" s="161" t="s">
        <v>143</v>
      </c>
      <c r="C503" s="161" t="s">
        <v>136</v>
      </c>
      <c r="D503" s="161" t="s">
        <v>615</v>
      </c>
      <c r="E503" s="161"/>
      <c r="F503" s="161"/>
      <c r="G503" s="161"/>
      <c r="H503" s="161"/>
      <c r="I503" s="161"/>
      <c r="J503" s="161"/>
      <c r="K503" s="161"/>
      <c r="L503" s="161"/>
      <c r="M503" s="161"/>
      <c r="N503" s="161"/>
      <c r="O503" s="161"/>
      <c r="P503" s="161"/>
      <c r="Q503" s="161"/>
      <c r="R503" s="161"/>
      <c r="S503" s="161"/>
      <c r="T503" s="153" t="s">
        <v>614</v>
      </c>
      <c r="U503" s="120">
        <f>U504</f>
        <v>0</v>
      </c>
      <c r="V503" s="120">
        <f>V504</f>
        <v>0</v>
      </c>
      <c r="W503" s="120">
        <f>W504</f>
        <v>0</v>
      </c>
      <c r="X503" s="118" t="s">
        <v>229</v>
      </c>
    </row>
    <row r="504" spans="1:24" ht="0.75" hidden="1" customHeight="1" x14ac:dyDescent="0.25">
      <c r="A504" s="124" t="s">
        <v>402</v>
      </c>
      <c r="B504" s="136" t="s">
        <v>143</v>
      </c>
      <c r="C504" s="136" t="s">
        <v>136</v>
      </c>
      <c r="D504" s="161" t="s">
        <v>615</v>
      </c>
      <c r="E504" s="136"/>
      <c r="F504" s="136"/>
      <c r="G504" s="136"/>
      <c r="H504" s="136"/>
      <c r="I504" s="136"/>
      <c r="J504" s="136"/>
      <c r="K504" s="136"/>
      <c r="L504" s="136"/>
      <c r="M504" s="136"/>
      <c r="N504" s="136"/>
      <c r="O504" s="136"/>
      <c r="P504" s="136"/>
      <c r="Q504" s="136"/>
      <c r="R504" s="136"/>
      <c r="S504" s="136" t="s">
        <v>350</v>
      </c>
      <c r="T504" s="154" t="s">
        <v>402</v>
      </c>
      <c r="U504" s="120">
        <f>П4ВСР!Z327</f>
        <v>0</v>
      </c>
      <c r="V504" s="120">
        <f>П4ВСР!AA327</f>
        <v>0</v>
      </c>
      <c r="W504" s="120">
        <f>П4ВСР!AB327</f>
        <v>0</v>
      </c>
      <c r="X504" s="124" t="s">
        <v>402</v>
      </c>
    </row>
    <row r="505" spans="1:24" ht="150.75" customHeight="1" x14ac:dyDescent="0.25">
      <c r="A505" s="124" t="s">
        <v>232</v>
      </c>
      <c r="B505" s="161" t="s">
        <v>143</v>
      </c>
      <c r="C505" s="161" t="s">
        <v>136</v>
      </c>
      <c r="D505" s="161" t="s">
        <v>917</v>
      </c>
      <c r="E505" s="161"/>
      <c r="F505" s="161"/>
      <c r="G505" s="161"/>
      <c r="H505" s="161"/>
      <c r="I505" s="161"/>
      <c r="J505" s="161"/>
      <c r="K505" s="161"/>
      <c r="L505" s="161"/>
      <c r="M505" s="161"/>
      <c r="N505" s="161"/>
      <c r="O505" s="161"/>
      <c r="P505" s="161"/>
      <c r="Q505" s="161"/>
      <c r="R505" s="161"/>
      <c r="S505" s="161"/>
      <c r="T505" s="285" t="s">
        <v>1290</v>
      </c>
      <c r="U505" s="120">
        <f>U507+U508+U506</f>
        <v>12489427.699999999</v>
      </c>
      <c r="V505" s="120">
        <f>V507+V508+V506</f>
        <v>12489427.699999999</v>
      </c>
      <c r="W505" s="120">
        <f>W507+W508+W506</f>
        <v>12489427.699999999</v>
      </c>
      <c r="X505" s="124" t="s">
        <v>232</v>
      </c>
    </row>
    <row r="506" spans="1:24" ht="56.25" customHeight="1" x14ac:dyDescent="0.25">
      <c r="A506" s="124"/>
      <c r="B506" s="136" t="s">
        <v>143</v>
      </c>
      <c r="C506" s="136" t="s">
        <v>136</v>
      </c>
      <c r="D506" s="161" t="s">
        <v>917</v>
      </c>
      <c r="E506" s="136"/>
      <c r="F506" s="136"/>
      <c r="G506" s="136"/>
      <c r="H506" s="136"/>
      <c r="I506" s="136"/>
      <c r="J506" s="136"/>
      <c r="K506" s="136"/>
      <c r="L506" s="136"/>
      <c r="M506" s="136"/>
      <c r="N506" s="136"/>
      <c r="O506" s="136"/>
      <c r="P506" s="136"/>
      <c r="Q506" s="136"/>
      <c r="R506" s="136"/>
      <c r="S506" s="136" t="s">
        <v>275</v>
      </c>
      <c r="T506" s="135" t="s">
        <v>565</v>
      </c>
      <c r="U506" s="120">
        <f>П4ВСР!Z643</f>
        <v>30000</v>
      </c>
      <c r="V506" s="120">
        <f>П4ВСР!AA643</f>
        <v>30000</v>
      </c>
      <c r="W506" s="120">
        <f>П4ВСР!AB643</f>
        <v>30000</v>
      </c>
      <c r="X506" s="124"/>
    </row>
    <row r="507" spans="1:24" ht="58.5" customHeight="1" x14ac:dyDescent="0.25">
      <c r="A507" s="124" t="s">
        <v>477</v>
      </c>
      <c r="B507" s="136" t="s">
        <v>143</v>
      </c>
      <c r="C507" s="136" t="s">
        <v>136</v>
      </c>
      <c r="D507" s="161" t="s">
        <v>917</v>
      </c>
      <c r="E507" s="136"/>
      <c r="F507" s="136"/>
      <c r="G507" s="136"/>
      <c r="H507" s="136"/>
      <c r="I507" s="136"/>
      <c r="J507" s="136"/>
      <c r="K507" s="136"/>
      <c r="L507" s="136"/>
      <c r="M507" s="136"/>
      <c r="N507" s="136"/>
      <c r="O507" s="136"/>
      <c r="P507" s="136"/>
      <c r="Q507" s="136"/>
      <c r="R507" s="136"/>
      <c r="S507" s="136" t="s">
        <v>393</v>
      </c>
      <c r="T507" s="154" t="s">
        <v>730</v>
      </c>
      <c r="U507" s="120">
        <f>П4ВСР!Z644</f>
        <v>3219985</v>
      </c>
      <c r="V507" s="120">
        <f>П4ВСР!AA644</f>
        <v>3219985</v>
      </c>
      <c r="W507" s="120">
        <f>П4ВСР!AB644</f>
        <v>3219985</v>
      </c>
      <c r="X507" s="124" t="s">
        <v>477</v>
      </c>
    </row>
    <row r="508" spans="1:24" ht="63" customHeight="1" x14ac:dyDescent="0.25">
      <c r="A508" s="124"/>
      <c r="B508" s="136" t="s">
        <v>143</v>
      </c>
      <c r="C508" s="136" t="s">
        <v>136</v>
      </c>
      <c r="D508" s="161" t="s">
        <v>917</v>
      </c>
      <c r="E508" s="136"/>
      <c r="F508" s="136"/>
      <c r="G508" s="136"/>
      <c r="H508" s="136"/>
      <c r="I508" s="136"/>
      <c r="J508" s="136"/>
      <c r="K508" s="136"/>
      <c r="L508" s="136"/>
      <c r="M508" s="136"/>
      <c r="N508" s="136"/>
      <c r="O508" s="136"/>
      <c r="P508" s="136"/>
      <c r="Q508" s="136"/>
      <c r="R508" s="136"/>
      <c r="S508" s="136" t="s">
        <v>294</v>
      </c>
      <c r="T508" s="135" t="s">
        <v>711</v>
      </c>
      <c r="U508" s="120">
        <f>П4ВСР!Z645</f>
        <v>9239442.6999999993</v>
      </c>
      <c r="V508" s="120">
        <f>П4ВСР!AA645</f>
        <v>9239442.6999999993</v>
      </c>
      <c r="W508" s="120">
        <f>П4ВСР!AB645</f>
        <v>9239442.6999999993</v>
      </c>
      <c r="X508" s="124"/>
    </row>
    <row r="509" spans="1:24" ht="162" hidden="1" customHeight="1" x14ac:dyDescent="0.25">
      <c r="A509" s="124"/>
      <c r="B509" s="161"/>
      <c r="C509" s="161"/>
      <c r="D509" s="161"/>
      <c r="E509" s="161"/>
      <c r="F509" s="161"/>
      <c r="G509" s="161"/>
      <c r="H509" s="161"/>
      <c r="I509" s="161"/>
      <c r="J509" s="161"/>
      <c r="K509" s="161"/>
      <c r="L509" s="161"/>
      <c r="M509" s="161"/>
      <c r="N509" s="161"/>
      <c r="O509" s="161"/>
      <c r="P509" s="161"/>
      <c r="Q509" s="161"/>
      <c r="R509" s="161"/>
      <c r="S509" s="161"/>
      <c r="T509" s="153"/>
      <c r="U509" s="120"/>
      <c r="V509" s="120"/>
      <c r="W509" s="120"/>
      <c r="X509" s="124"/>
    </row>
    <row r="510" spans="1:24" ht="102.75" hidden="1" customHeight="1" x14ac:dyDescent="0.25">
      <c r="A510" s="124"/>
      <c r="B510" s="136"/>
      <c r="C510" s="136"/>
      <c r="D510" s="161"/>
      <c r="E510" s="136"/>
      <c r="F510" s="136"/>
      <c r="G510" s="136"/>
      <c r="H510" s="136"/>
      <c r="I510" s="136"/>
      <c r="J510" s="136"/>
      <c r="K510" s="136"/>
      <c r="L510" s="136"/>
      <c r="M510" s="136"/>
      <c r="N510" s="136"/>
      <c r="O510" s="136"/>
      <c r="P510" s="136"/>
      <c r="Q510" s="136"/>
      <c r="R510" s="136"/>
      <c r="S510" s="136"/>
      <c r="T510" s="154"/>
      <c r="U510" s="120"/>
      <c r="V510" s="120"/>
      <c r="W510" s="120"/>
      <c r="X510" s="124"/>
    </row>
    <row r="511" spans="1:24" ht="57" hidden="1" customHeight="1" x14ac:dyDescent="0.25">
      <c r="A511" s="124"/>
      <c r="B511" s="136"/>
      <c r="C511" s="136"/>
      <c r="D511" s="161"/>
      <c r="E511" s="136"/>
      <c r="F511" s="136"/>
      <c r="G511" s="136"/>
      <c r="H511" s="136"/>
      <c r="I511" s="136"/>
      <c r="J511" s="136"/>
      <c r="K511" s="136"/>
      <c r="L511" s="136"/>
      <c r="M511" s="136"/>
      <c r="N511" s="136"/>
      <c r="O511" s="136"/>
      <c r="P511" s="136"/>
      <c r="Q511" s="136"/>
      <c r="R511" s="136"/>
      <c r="S511" s="136"/>
      <c r="T511" s="135"/>
      <c r="U511" s="120"/>
      <c r="V511" s="120"/>
      <c r="W511" s="120"/>
      <c r="X511" s="124"/>
    </row>
    <row r="512" spans="1:24" ht="45.75" customHeight="1" x14ac:dyDescent="0.25">
      <c r="A512" s="124"/>
      <c r="B512" s="136" t="s">
        <v>143</v>
      </c>
      <c r="C512" s="136" t="s">
        <v>125</v>
      </c>
      <c r="D512" s="161"/>
      <c r="E512" s="136"/>
      <c r="F512" s="136"/>
      <c r="G512" s="136"/>
      <c r="H512" s="136"/>
      <c r="I512" s="136"/>
      <c r="J512" s="136"/>
      <c r="K512" s="136"/>
      <c r="L512" s="136"/>
      <c r="M512" s="136"/>
      <c r="N512" s="136"/>
      <c r="O512" s="136"/>
      <c r="P512" s="136"/>
      <c r="Q512" s="136"/>
      <c r="R512" s="136"/>
      <c r="S512" s="136"/>
      <c r="T512" s="153" t="s">
        <v>756</v>
      </c>
      <c r="U512" s="120">
        <f>U513</f>
        <v>1832320.42</v>
      </c>
      <c r="V512" s="120">
        <f>V513</f>
        <v>1902682.98</v>
      </c>
      <c r="W512" s="120">
        <f>W513</f>
        <v>1970311.8600000003</v>
      </c>
      <c r="X512" s="124"/>
    </row>
    <row r="513" spans="1:27" ht="141.75" customHeight="1" x14ac:dyDescent="0.25">
      <c r="A513" s="124"/>
      <c r="B513" s="136" t="s">
        <v>143</v>
      </c>
      <c r="C513" s="136" t="s">
        <v>125</v>
      </c>
      <c r="D513" s="161" t="s">
        <v>918</v>
      </c>
      <c r="E513" s="136"/>
      <c r="F513" s="136"/>
      <c r="G513" s="136"/>
      <c r="H513" s="136"/>
      <c r="I513" s="136"/>
      <c r="J513" s="136"/>
      <c r="K513" s="136"/>
      <c r="L513" s="136"/>
      <c r="M513" s="136"/>
      <c r="N513" s="136"/>
      <c r="O513" s="136"/>
      <c r="P513" s="136"/>
      <c r="Q513" s="136"/>
      <c r="R513" s="136"/>
      <c r="S513" s="136"/>
      <c r="T513" s="286" t="s">
        <v>1314</v>
      </c>
      <c r="U513" s="120">
        <f>U514+U515</f>
        <v>1832320.42</v>
      </c>
      <c r="V513" s="120">
        <f>V514+V515</f>
        <v>1902682.98</v>
      </c>
      <c r="W513" s="120">
        <f>W514+W515</f>
        <v>1970311.8600000003</v>
      </c>
      <c r="X513" s="124"/>
    </row>
    <row r="514" spans="1:27" ht="105.75" customHeight="1" x14ac:dyDescent="0.25">
      <c r="A514" s="124"/>
      <c r="B514" s="136" t="s">
        <v>143</v>
      </c>
      <c r="C514" s="136" t="s">
        <v>125</v>
      </c>
      <c r="D514" s="161" t="s">
        <v>918</v>
      </c>
      <c r="E514" s="136"/>
      <c r="F514" s="136"/>
      <c r="G514" s="136"/>
      <c r="H514" s="136"/>
      <c r="I514" s="136"/>
      <c r="J514" s="136"/>
      <c r="K514" s="136"/>
      <c r="L514" s="136"/>
      <c r="M514" s="136"/>
      <c r="N514" s="136"/>
      <c r="O514" s="136"/>
      <c r="P514" s="136"/>
      <c r="Q514" s="136"/>
      <c r="R514" s="136"/>
      <c r="S514" s="136" t="s">
        <v>38</v>
      </c>
      <c r="T514" s="154" t="s">
        <v>726</v>
      </c>
      <c r="U514" s="120">
        <f>П4ВСР!Z651</f>
        <v>1537193.27</v>
      </c>
      <c r="V514" s="120">
        <f>П4ВСР!AA651</f>
        <v>1607555.83</v>
      </c>
      <c r="W514" s="120">
        <f>П4ВСР!AB651</f>
        <v>1675184.7100000002</v>
      </c>
      <c r="X514" s="124"/>
    </row>
    <row r="515" spans="1:27" ht="57" customHeight="1" x14ac:dyDescent="0.25">
      <c r="A515" s="124"/>
      <c r="B515" s="136" t="s">
        <v>143</v>
      </c>
      <c r="C515" s="136" t="s">
        <v>125</v>
      </c>
      <c r="D515" s="161" t="s">
        <v>918</v>
      </c>
      <c r="E515" s="136"/>
      <c r="F515" s="136"/>
      <c r="G515" s="136"/>
      <c r="H515" s="136"/>
      <c r="I515" s="136"/>
      <c r="J515" s="136"/>
      <c r="K515" s="136"/>
      <c r="L515" s="136"/>
      <c r="M515" s="136"/>
      <c r="N515" s="136"/>
      <c r="O515" s="136"/>
      <c r="P515" s="136"/>
      <c r="Q515" s="136"/>
      <c r="R515" s="136"/>
      <c r="S515" s="136" t="s">
        <v>275</v>
      </c>
      <c r="T515" s="135" t="s">
        <v>565</v>
      </c>
      <c r="U515" s="120">
        <f>П4ВСР!Z652</f>
        <v>295127.15000000002</v>
      </c>
      <c r="V515" s="120">
        <f>П4ВСР!AA652</f>
        <v>295127.15000000002</v>
      </c>
      <c r="W515" s="120">
        <f>П4ВСР!AB652</f>
        <v>295127.15000000002</v>
      </c>
      <c r="X515" s="124"/>
    </row>
    <row r="516" spans="1:27" ht="18.600000000000001" customHeight="1" x14ac:dyDescent="0.25">
      <c r="A516" s="116" t="s">
        <v>403</v>
      </c>
      <c r="B516" s="126" t="s">
        <v>128</v>
      </c>
      <c r="C516" s="126" t="s">
        <v>133</v>
      </c>
      <c r="D516" s="126"/>
      <c r="E516" s="126"/>
      <c r="F516" s="126"/>
      <c r="G516" s="126"/>
      <c r="H516" s="126"/>
      <c r="I516" s="126"/>
      <c r="J516" s="126"/>
      <c r="K516" s="126"/>
      <c r="L516" s="126"/>
      <c r="M516" s="126"/>
      <c r="N516" s="126"/>
      <c r="O516" s="126"/>
      <c r="P516" s="126"/>
      <c r="Q516" s="126"/>
      <c r="R516" s="126"/>
      <c r="S516" s="126"/>
      <c r="T516" s="116" t="s">
        <v>403</v>
      </c>
      <c r="U516" s="117">
        <f>U517+U524</f>
        <v>3268000</v>
      </c>
      <c r="V516" s="117">
        <f>V517+V524</f>
        <v>250000</v>
      </c>
      <c r="W516" s="117">
        <f>W517+W524</f>
        <v>250000</v>
      </c>
      <c r="X516" s="116" t="s">
        <v>403</v>
      </c>
    </row>
    <row r="517" spans="1:27" ht="18.600000000000001" customHeight="1" x14ac:dyDescent="0.25">
      <c r="A517" s="118" t="s">
        <v>119</v>
      </c>
      <c r="B517" s="119" t="s">
        <v>128</v>
      </c>
      <c r="C517" s="119" t="s">
        <v>122</v>
      </c>
      <c r="D517" s="119"/>
      <c r="E517" s="119"/>
      <c r="F517" s="119"/>
      <c r="G517" s="119"/>
      <c r="H517" s="119"/>
      <c r="I517" s="119"/>
      <c r="J517" s="119"/>
      <c r="K517" s="119"/>
      <c r="L517" s="119"/>
      <c r="M517" s="119"/>
      <c r="N517" s="119"/>
      <c r="O517" s="119"/>
      <c r="P517" s="119"/>
      <c r="Q517" s="119"/>
      <c r="R517" s="119"/>
      <c r="S517" s="119"/>
      <c r="T517" s="118" t="s">
        <v>119</v>
      </c>
      <c r="U517" s="120">
        <f>U518+U520+U522</f>
        <v>1070000</v>
      </c>
      <c r="V517" s="120">
        <f>V518+V520</f>
        <v>150000</v>
      </c>
      <c r="W517" s="120">
        <f>W518+W520</f>
        <v>150000</v>
      </c>
      <c r="X517" s="118" t="s">
        <v>119</v>
      </c>
    </row>
    <row r="518" spans="1:27" ht="143.25" customHeight="1" x14ac:dyDescent="0.25">
      <c r="A518" s="118" t="s">
        <v>404</v>
      </c>
      <c r="B518" s="161" t="s">
        <v>128</v>
      </c>
      <c r="C518" s="161" t="s">
        <v>122</v>
      </c>
      <c r="D518" s="161" t="s">
        <v>616</v>
      </c>
      <c r="E518" s="161"/>
      <c r="F518" s="161"/>
      <c r="G518" s="161"/>
      <c r="H518" s="161"/>
      <c r="I518" s="161"/>
      <c r="J518" s="161"/>
      <c r="K518" s="161"/>
      <c r="L518" s="161"/>
      <c r="M518" s="161"/>
      <c r="N518" s="161"/>
      <c r="O518" s="161"/>
      <c r="P518" s="161"/>
      <c r="Q518" s="161"/>
      <c r="R518" s="161"/>
      <c r="S518" s="161"/>
      <c r="T518" s="153" t="s">
        <v>1291</v>
      </c>
      <c r="U518" s="120">
        <f>U519</f>
        <v>900000</v>
      </c>
      <c r="V518" s="120">
        <f>V519</f>
        <v>100000</v>
      </c>
      <c r="W518" s="120">
        <f>W519</f>
        <v>100000</v>
      </c>
      <c r="X518" s="118" t="s">
        <v>404</v>
      </c>
      <c r="AA518" s="127"/>
    </row>
    <row r="519" spans="1:27" ht="50.25" customHeight="1" x14ac:dyDescent="0.25">
      <c r="A519" s="118" t="s">
        <v>405</v>
      </c>
      <c r="B519" s="136" t="s">
        <v>128</v>
      </c>
      <c r="C519" s="136" t="s">
        <v>122</v>
      </c>
      <c r="D519" s="161" t="s">
        <v>616</v>
      </c>
      <c r="E519" s="136"/>
      <c r="F519" s="136"/>
      <c r="G519" s="136"/>
      <c r="H519" s="136"/>
      <c r="I519" s="136"/>
      <c r="J519" s="136"/>
      <c r="K519" s="136"/>
      <c r="L519" s="136"/>
      <c r="M519" s="136"/>
      <c r="N519" s="136"/>
      <c r="O519" s="136"/>
      <c r="P519" s="136"/>
      <c r="Q519" s="136"/>
      <c r="R519" s="136"/>
      <c r="S519" s="136" t="s">
        <v>275</v>
      </c>
      <c r="T519" s="135" t="s">
        <v>565</v>
      </c>
      <c r="U519" s="120">
        <f>П4ВСР!Z331</f>
        <v>900000</v>
      </c>
      <c r="V519" s="120">
        <f>П4ВСР!AA331</f>
        <v>100000</v>
      </c>
      <c r="W519" s="120">
        <f>П4ВСР!AB331</f>
        <v>100000</v>
      </c>
      <c r="X519" s="118" t="s">
        <v>405</v>
      </c>
    </row>
    <row r="520" spans="1:27" ht="173.25" customHeight="1" x14ac:dyDescent="0.25">
      <c r="A520" s="118" t="s">
        <v>406</v>
      </c>
      <c r="B520" s="161" t="s">
        <v>128</v>
      </c>
      <c r="C520" s="161" t="s">
        <v>122</v>
      </c>
      <c r="D520" s="161" t="s">
        <v>617</v>
      </c>
      <c r="E520" s="161"/>
      <c r="F520" s="161"/>
      <c r="G520" s="161"/>
      <c r="H520" s="161"/>
      <c r="I520" s="161"/>
      <c r="J520" s="161"/>
      <c r="K520" s="161"/>
      <c r="L520" s="161"/>
      <c r="M520" s="161"/>
      <c r="N520" s="161"/>
      <c r="O520" s="161"/>
      <c r="P520" s="161"/>
      <c r="Q520" s="161"/>
      <c r="R520" s="161"/>
      <c r="S520" s="161"/>
      <c r="T520" s="153" t="s">
        <v>1292</v>
      </c>
      <c r="U520" s="120">
        <f>U521</f>
        <v>50000</v>
      </c>
      <c r="V520" s="120">
        <f>V521</f>
        <v>50000</v>
      </c>
      <c r="W520" s="120">
        <f>W521</f>
        <v>50000</v>
      </c>
      <c r="X520" s="118" t="s">
        <v>406</v>
      </c>
    </row>
    <row r="521" spans="1:27" ht="51.75" customHeight="1" x14ac:dyDescent="0.25">
      <c r="A521" s="118" t="s">
        <v>407</v>
      </c>
      <c r="B521" s="136" t="s">
        <v>128</v>
      </c>
      <c r="C521" s="136" t="s">
        <v>122</v>
      </c>
      <c r="D521" s="161" t="s">
        <v>617</v>
      </c>
      <c r="E521" s="136"/>
      <c r="F521" s="136"/>
      <c r="G521" s="136"/>
      <c r="H521" s="136"/>
      <c r="I521" s="136"/>
      <c r="J521" s="136"/>
      <c r="K521" s="136"/>
      <c r="L521" s="136"/>
      <c r="M521" s="136"/>
      <c r="N521" s="136"/>
      <c r="O521" s="136"/>
      <c r="P521" s="136"/>
      <c r="Q521" s="136"/>
      <c r="R521" s="136"/>
      <c r="S521" s="136" t="s">
        <v>275</v>
      </c>
      <c r="T521" s="135" t="s">
        <v>565</v>
      </c>
      <c r="U521" s="120">
        <f>П4ВСР!Z333</f>
        <v>50000</v>
      </c>
      <c r="V521" s="120">
        <f>П4ВСР!AA333</f>
        <v>50000</v>
      </c>
      <c r="W521" s="120">
        <f>П4ВСР!AB333</f>
        <v>50000</v>
      </c>
      <c r="X521" s="118" t="s">
        <v>407</v>
      </c>
    </row>
    <row r="522" spans="1:27" ht="129.75" customHeight="1" x14ac:dyDescent="0.25">
      <c r="A522" s="118"/>
      <c r="B522" s="136" t="s">
        <v>128</v>
      </c>
      <c r="C522" s="136" t="s">
        <v>122</v>
      </c>
      <c r="D522" s="161" t="s">
        <v>1022</v>
      </c>
      <c r="E522" s="136"/>
      <c r="F522" s="136"/>
      <c r="G522" s="136"/>
      <c r="H522" s="136"/>
      <c r="I522" s="136"/>
      <c r="J522" s="136"/>
      <c r="K522" s="136"/>
      <c r="L522" s="136"/>
      <c r="M522" s="136"/>
      <c r="N522" s="136"/>
      <c r="O522" s="136"/>
      <c r="P522" s="136"/>
      <c r="Q522" s="136"/>
      <c r="R522" s="136"/>
      <c r="S522" s="136"/>
      <c r="T522" s="492" t="s">
        <v>1293</v>
      </c>
      <c r="U522" s="120">
        <f>U523</f>
        <v>120000</v>
      </c>
      <c r="V522" s="120">
        <v>0</v>
      </c>
      <c r="W522" s="120">
        <v>0</v>
      </c>
      <c r="X522" s="118"/>
    </row>
    <row r="523" spans="1:27" ht="47.25" customHeight="1" x14ac:dyDescent="0.25">
      <c r="A523" s="118"/>
      <c r="B523" s="136" t="s">
        <v>128</v>
      </c>
      <c r="C523" s="136" t="s">
        <v>122</v>
      </c>
      <c r="D523" s="161" t="s">
        <v>1022</v>
      </c>
      <c r="E523" s="136"/>
      <c r="F523" s="136"/>
      <c r="G523" s="136"/>
      <c r="H523" s="136"/>
      <c r="I523" s="136"/>
      <c r="J523" s="136"/>
      <c r="K523" s="136"/>
      <c r="L523" s="136"/>
      <c r="M523" s="136"/>
      <c r="N523" s="136"/>
      <c r="O523" s="136"/>
      <c r="P523" s="136"/>
      <c r="Q523" s="136"/>
      <c r="R523" s="136"/>
      <c r="S523" s="136" t="s">
        <v>275</v>
      </c>
      <c r="T523" s="135" t="s">
        <v>565</v>
      </c>
      <c r="U523" s="120">
        <f>П4ВСР!Z334</f>
        <v>120000</v>
      </c>
      <c r="V523" s="120">
        <v>0</v>
      </c>
      <c r="W523" s="120">
        <v>0</v>
      </c>
      <c r="X523" s="118"/>
    </row>
    <row r="524" spans="1:27" ht="18.600000000000001" customHeight="1" x14ac:dyDescent="0.25">
      <c r="A524" s="118" t="s">
        <v>166</v>
      </c>
      <c r="B524" s="119" t="s">
        <v>128</v>
      </c>
      <c r="C524" s="119" t="s">
        <v>132</v>
      </c>
      <c r="D524" s="119"/>
      <c r="E524" s="119"/>
      <c r="F524" s="119"/>
      <c r="G524" s="119"/>
      <c r="H524" s="119"/>
      <c r="I524" s="119"/>
      <c r="J524" s="119"/>
      <c r="K524" s="119"/>
      <c r="L524" s="119"/>
      <c r="M524" s="119"/>
      <c r="N524" s="119"/>
      <c r="O524" s="119"/>
      <c r="P524" s="119"/>
      <c r="Q524" s="119"/>
      <c r="R524" s="119"/>
      <c r="S524" s="119"/>
      <c r="T524" s="118" t="s">
        <v>166</v>
      </c>
      <c r="U524" s="120">
        <f>U525+U527+U529</f>
        <v>2198000</v>
      </c>
      <c r="V524" s="120">
        <f>V525+V527+V529</f>
        <v>100000</v>
      </c>
      <c r="W524" s="120">
        <f>W525+W527+W529</f>
        <v>100000</v>
      </c>
      <c r="X524" s="118" t="s">
        <v>166</v>
      </c>
    </row>
    <row r="525" spans="1:27" ht="132" customHeight="1" x14ac:dyDescent="0.25">
      <c r="A525" s="118" t="s">
        <v>408</v>
      </c>
      <c r="B525" s="161" t="s">
        <v>128</v>
      </c>
      <c r="C525" s="161" t="s">
        <v>132</v>
      </c>
      <c r="D525" s="161" t="s">
        <v>618</v>
      </c>
      <c r="E525" s="161"/>
      <c r="F525" s="161"/>
      <c r="G525" s="161"/>
      <c r="H525" s="161"/>
      <c r="I525" s="161"/>
      <c r="J525" s="161"/>
      <c r="K525" s="161"/>
      <c r="L525" s="161"/>
      <c r="M525" s="161"/>
      <c r="N525" s="161"/>
      <c r="O525" s="161"/>
      <c r="P525" s="161"/>
      <c r="Q525" s="161"/>
      <c r="R525" s="161"/>
      <c r="S525" s="161"/>
      <c r="T525" s="153" t="s">
        <v>1294</v>
      </c>
      <c r="U525" s="120">
        <f>U526</f>
        <v>513328.44</v>
      </c>
      <c r="V525" s="120">
        <f>V526</f>
        <v>50000</v>
      </c>
      <c r="W525" s="120">
        <f>W526</f>
        <v>50000</v>
      </c>
      <c r="X525" s="118" t="s">
        <v>408</v>
      </c>
    </row>
    <row r="526" spans="1:27" ht="51" customHeight="1" x14ac:dyDescent="0.25">
      <c r="A526" s="118" t="s">
        <v>409</v>
      </c>
      <c r="B526" s="136" t="s">
        <v>128</v>
      </c>
      <c r="C526" s="136" t="s">
        <v>132</v>
      </c>
      <c r="D526" s="161" t="s">
        <v>618</v>
      </c>
      <c r="E526" s="136"/>
      <c r="F526" s="136"/>
      <c r="G526" s="136"/>
      <c r="H526" s="136"/>
      <c r="I526" s="136"/>
      <c r="J526" s="136"/>
      <c r="K526" s="136"/>
      <c r="L526" s="136"/>
      <c r="M526" s="136"/>
      <c r="N526" s="136"/>
      <c r="O526" s="136"/>
      <c r="P526" s="136"/>
      <c r="Q526" s="136"/>
      <c r="R526" s="136"/>
      <c r="S526" s="136" t="s">
        <v>275</v>
      </c>
      <c r="T526" s="135" t="s">
        <v>565</v>
      </c>
      <c r="U526" s="120">
        <f>П4ВСР!Z338</f>
        <v>513328.44</v>
      </c>
      <c r="V526" s="120">
        <f>П4ВСР!AA338</f>
        <v>50000</v>
      </c>
      <c r="W526" s="120">
        <f>П4ВСР!AB338</f>
        <v>50000</v>
      </c>
      <c r="X526" s="118" t="s">
        <v>409</v>
      </c>
    </row>
    <row r="527" spans="1:27" ht="135.75" customHeight="1" x14ac:dyDescent="0.25">
      <c r="A527" s="118" t="s">
        <v>410</v>
      </c>
      <c r="B527" s="161" t="s">
        <v>128</v>
      </c>
      <c r="C527" s="161" t="s">
        <v>132</v>
      </c>
      <c r="D527" s="161" t="s">
        <v>619</v>
      </c>
      <c r="E527" s="161"/>
      <c r="F527" s="161"/>
      <c r="G527" s="161"/>
      <c r="H527" s="161"/>
      <c r="I527" s="161"/>
      <c r="J527" s="161"/>
      <c r="K527" s="161"/>
      <c r="L527" s="161"/>
      <c r="M527" s="161"/>
      <c r="N527" s="161"/>
      <c r="O527" s="161"/>
      <c r="P527" s="161"/>
      <c r="Q527" s="161"/>
      <c r="R527" s="161"/>
      <c r="S527" s="161"/>
      <c r="T527" s="153" t="s">
        <v>1295</v>
      </c>
      <c r="U527" s="120">
        <f>U528</f>
        <v>1400000</v>
      </c>
      <c r="V527" s="120">
        <f>V528</f>
        <v>50000</v>
      </c>
      <c r="W527" s="120">
        <f>W528</f>
        <v>50000</v>
      </c>
      <c r="X527" s="118" t="s">
        <v>410</v>
      </c>
    </row>
    <row r="528" spans="1:27" ht="51" customHeight="1" x14ac:dyDescent="0.25">
      <c r="A528" s="118" t="s">
        <v>411</v>
      </c>
      <c r="B528" s="136" t="s">
        <v>128</v>
      </c>
      <c r="C528" s="136" t="s">
        <v>132</v>
      </c>
      <c r="D528" s="161" t="s">
        <v>619</v>
      </c>
      <c r="E528" s="136"/>
      <c r="F528" s="136"/>
      <c r="G528" s="136"/>
      <c r="H528" s="136"/>
      <c r="I528" s="136"/>
      <c r="J528" s="136"/>
      <c r="K528" s="136"/>
      <c r="L528" s="136"/>
      <c r="M528" s="136"/>
      <c r="N528" s="136"/>
      <c r="O528" s="136"/>
      <c r="P528" s="136"/>
      <c r="Q528" s="136"/>
      <c r="R528" s="136"/>
      <c r="S528" s="136" t="s">
        <v>275</v>
      </c>
      <c r="T528" s="135" t="s">
        <v>565</v>
      </c>
      <c r="U528" s="120">
        <f>П4ВСР!Z340</f>
        <v>1400000</v>
      </c>
      <c r="V528" s="120">
        <f>П4ВСР!AA340</f>
        <v>50000</v>
      </c>
      <c r="W528" s="120">
        <f>П4ВСР!AB340</f>
        <v>50000</v>
      </c>
      <c r="X528" s="118" t="s">
        <v>411</v>
      </c>
    </row>
    <row r="529" spans="1:24" ht="165" customHeight="1" x14ac:dyDescent="0.25">
      <c r="A529" s="118" t="s">
        <v>412</v>
      </c>
      <c r="B529" s="136" t="s">
        <v>128</v>
      </c>
      <c r="C529" s="136" t="s">
        <v>132</v>
      </c>
      <c r="D529" s="234" t="s">
        <v>996</v>
      </c>
      <c r="E529" s="136"/>
      <c r="F529" s="136"/>
      <c r="G529" s="136"/>
      <c r="H529" s="136"/>
      <c r="I529" s="136"/>
      <c r="J529" s="136"/>
      <c r="K529" s="136"/>
      <c r="L529" s="136"/>
      <c r="M529" s="136"/>
      <c r="N529" s="136"/>
      <c r="O529" s="136"/>
      <c r="P529" s="136"/>
      <c r="Q529" s="136"/>
      <c r="R529" s="136"/>
      <c r="S529" s="136"/>
      <c r="T529" s="258" t="s">
        <v>1489</v>
      </c>
      <c r="U529" s="120">
        <f>U530</f>
        <v>284671.56</v>
      </c>
      <c r="V529" s="120">
        <f>V530</f>
        <v>0</v>
      </c>
      <c r="W529" s="120">
        <f>W530</f>
        <v>0</v>
      </c>
      <c r="X529" s="118" t="s">
        <v>412</v>
      </c>
    </row>
    <row r="530" spans="1:24" ht="39.75" customHeight="1" x14ac:dyDescent="0.25">
      <c r="A530" s="118" t="s">
        <v>413</v>
      </c>
      <c r="B530" s="136" t="s">
        <v>128</v>
      </c>
      <c r="C530" s="136" t="s">
        <v>132</v>
      </c>
      <c r="D530" s="234" t="s">
        <v>996</v>
      </c>
      <c r="E530" s="136"/>
      <c r="F530" s="136"/>
      <c r="G530" s="136"/>
      <c r="H530" s="136"/>
      <c r="I530" s="136"/>
      <c r="J530" s="136"/>
      <c r="K530" s="136"/>
      <c r="L530" s="136"/>
      <c r="M530" s="136"/>
      <c r="N530" s="136"/>
      <c r="O530" s="136"/>
      <c r="P530" s="136"/>
      <c r="Q530" s="136"/>
      <c r="R530" s="136"/>
      <c r="S530" s="136" t="s">
        <v>427</v>
      </c>
      <c r="T530" s="153" t="s">
        <v>773</v>
      </c>
      <c r="U530" s="120">
        <f>П4ВСР!Z529</f>
        <v>284671.56</v>
      </c>
      <c r="V530" s="120">
        <f>П4ВСР!AA342</f>
        <v>0</v>
      </c>
      <c r="W530" s="120">
        <f>П4ВСР!AB342</f>
        <v>0</v>
      </c>
      <c r="X530" s="118" t="s">
        <v>413</v>
      </c>
    </row>
    <row r="531" spans="1:24" ht="93" customHeight="1" x14ac:dyDescent="0.25">
      <c r="A531" s="116" t="s">
        <v>424</v>
      </c>
      <c r="B531" s="126" t="s">
        <v>131</v>
      </c>
      <c r="C531" s="126" t="s">
        <v>133</v>
      </c>
      <c r="D531" s="126"/>
      <c r="E531" s="126"/>
      <c r="F531" s="126"/>
      <c r="G531" s="126"/>
      <c r="H531" s="126"/>
      <c r="I531" s="126"/>
      <c r="J531" s="126"/>
      <c r="K531" s="126"/>
      <c r="L531" s="126"/>
      <c r="M531" s="126"/>
      <c r="N531" s="126"/>
      <c r="O531" s="126"/>
      <c r="P531" s="126"/>
      <c r="Q531" s="126"/>
      <c r="R531" s="126"/>
      <c r="S531" s="126"/>
      <c r="T531" s="116" t="s">
        <v>718</v>
      </c>
      <c r="U531" s="117">
        <f>U532+U535</f>
        <v>21804570.870000001</v>
      </c>
      <c r="V531" s="117">
        <f>V532+V535</f>
        <v>22408600</v>
      </c>
      <c r="W531" s="117">
        <f>W532+W535</f>
        <v>22427900</v>
      </c>
      <c r="X531" s="116" t="s">
        <v>424</v>
      </c>
    </row>
    <row r="532" spans="1:24" ht="70.5" customHeight="1" x14ac:dyDescent="0.25">
      <c r="A532" s="118" t="s">
        <v>169</v>
      </c>
      <c r="B532" s="119" t="s">
        <v>131</v>
      </c>
      <c r="C532" s="119" t="s">
        <v>122</v>
      </c>
      <c r="D532" s="119"/>
      <c r="E532" s="119"/>
      <c r="F532" s="119"/>
      <c r="G532" s="119"/>
      <c r="H532" s="119"/>
      <c r="I532" s="119"/>
      <c r="J532" s="119"/>
      <c r="K532" s="119"/>
      <c r="L532" s="119"/>
      <c r="M532" s="119"/>
      <c r="N532" s="119"/>
      <c r="O532" s="119"/>
      <c r="P532" s="119"/>
      <c r="Q532" s="119"/>
      <c r="R532" s="119"/>
      <c r="S532" s="119"/>
      <c r="T532" s="116" t="s">
        <v>169</v>
      </c>
      <c r="U532" s="120">
        <f t="shared" ref="U532:W533" si="12">U533</f>
        <v>20000000</v>
      </c>
      <c r="V532" s="120">
        <f t="shared" si="12"/>
        <v>20000000</v>
      </c>
      <c r="W532" s="120">
        <f t="shared" si="12"/>
        <v>20000000</v>
      </c>
      <c r="X532" s="118" t="s">
        <v>169</v>
      </c>
    </row>
    <row r="533" spans="1:24" ht="186" customHeight="1" x14ac:dyDescent="0.25">
      <c r="A533" s="124" t="s">
        <v>425</v>
      </c>
      <c r="B533" s="161" t="s">
        <v>131</v>
      </c>
      <c r="C533" s="161" t="s">
        <v>122</v>
      </c>
      <c r="D533" s="234" t="s">
        <v>1112</v>
      </c>
      <c r="E533" s="161"/>
      <c r="F533" s="161"/>
      <c r="G533" s="161"/>
      <c r="H533" s="161"/>
      <c r="I533" s="161"/>
      <c r="J533" s="161"/>
      <c r="K533" s="161"/>
      <c r="L533" s="161"/>
      <c r="M533" s="161"/>
      <c r="N533" s="161"/>
      <c r="O533" s="161"/>
      <c r="P533" s="161"/>
      <c r="Q533" s="161"/>
      <c r="R533" s="161"/>
      <c r="S533" s="161"/>
      <c r="T533" s="155" t="s">
        <v>1331</v>
      </c>
      <c r="U533" s="120">
        <f t="shared" si="12"/>
        <v>20000000</v>
      </c>
      <c r="V533" s="120">
        <f t="shared" si="12"/>
        <v>20000000</v>
      </c>
      <c r="W533" s="120">
        <f t="shared" si="12"/>
        <v>20000000</v>
      </c>
      <c r="X533" s="124" t="s">
        <v>425</v>
      </c>
    </row>
    <row r="534" spans="1:24" ht="33" customHeight="1" x14ac:dyDescent="0.25">
      <c r="A534" s="124" t="s">
        <v>426</v>
      </c>
      <c r="B534" s="136" t="s">
        <v>131</v>
      </c>
      <c r="C534" s="136" t="s">
        <v>122</v>
      </c>
      <c r="D534" s="234" t="s">
        <v>1112</v>
      </c>
      <c r="E534" s="136"/>
      <c r="F534" s="136"/>
      <c r="G534" s="136"/>
      <c r="H534" s="136"/>
      <c r="I534" s="136"/>
      <c r="J534" s="136"/>
      <c r="K534" s="136"/>
      <c r="L534" s="136"/>
      <c r="M534" s="136"/>
      <c r="N534" s="136"/>
      <c r="O534" s="136"/>
      <c r="P534" s="136"/>
      <c r="Q534" s="136"/>
      <c r="R534" s="136"/>
      <c r="S534" s="136" t="s">
        <v>427</v>
      </c>
      <c r="T534" s="154" t="s">
        <v>1111</v>
      </c>
      <c r="U534" s="120">
        <f>П4ВСР!Z538</f>
        <v>20000000</v>
      </c>
      <c r="V534" s="120">
        <f>П4ВСР!AA538</f>
        <v>20000000</v>
      </c>
      <c r="W534" s="120">
        <f>П4ВСР!AB538</f>
        <v>20000000</v>
      </c>
      <c r="X534" s="124" t="s">
        <v>426</v>
      </c>
    </row>
    <row r="535" spans="1:24" ht="202.5" customHeight="1" x14ac:dyDescent="0.25">
      <c r="A535" s="124"/>
      <c r="B535" s="136" t="s">
        <v>131</v>
      </c>
      <c r="C535" s="136" t="s">
        <v>122</v>
      </c>
      <c r="D535" s="234" t="s">
        <v>1110</v>
      </c>
      <c r="E535" s="136"/>
      <c r="F535" s="136"/>
      <c r="G535" s="136"/>
      <c r="H535" s="136"/>
      <c r="I535" s="136"/>
      <c r="J535" s="136"/>
      <c r="K535" s="136"/>
      <c r="L535" s="136"/>
      <c r="M535" s="136"/>
      <c r="N535" s="136"/>
      <c r="O535" s="136"/>
      <c r="P535" s="136"/>
      <c r="Q535" s="136"/>
      <c r="R535" s="136"/>
      <c r="S535" s="136"/>
      <c r="T535" s="155" t="s">
        <v>1330</v>
      </c>
      <c r="U535" s="120">
        <f>U536</f>
        <v>1804570.87</v>
      </c>
      <c r="V535" s="120">
        <f>V536</f>
        <v>2408600</v>
      </c>
      <c r="W535" s="120">
        <f>W536</f>
        <v>2427900</v>
      </c>
      <c r="X535" s="124"/>
    </row>
    <row r="536" spans="1:24" ht="34.5" customHeight="1" x14ac:dyDescent="0.25">
      <c r="A536" s="124"/>
      <c r="B536" s="136" t="s">
        <v>131</v>
      </c>
      <c r="C536" s="136" t="s">
        <v>122</v>
      </c>
      <c r="D536" s="234" t="s">
        <v>1110</v>
      </c>
      <c r="E536" s="136"/>
      <c r="F536" s="136"/>
      <c r="G536" s="136"/>
      <c r="H536" s="136"/>
      <c r="I536" s="136"/>
      <c r="J536" s="136"/>
      <c r="K536" s="136"/>
      <c r="L536" s="136"/>
      <c r="M536" s="136"/>
      <c r="N536" s="136"/>
      <c r="O536" s="136"/>
      <c r="P536" s="136"/>
      <c r="Q536" s="136"/>
      <c r="R536" s="136"/>
      <c r="S536" s="136" t="s">
        <v>427</v>
      </c>
      <c r="T536" s="154" t="s">
        <v>1111</v>
      </c>
      <c r="U536" s="120">
        <f>П4ВСР!Z539</f>
        <v>1804570.87</v>
      </c>
      <c r="V536" s="120">
        <f>П4ВСР!AA539</f>
        <v>2408600</v>
      </c>
      <c r="W536" s="120">
        <f>П4ВСР!AB539</f>
        <v>2427900</v>
      </c>
      <c r="X536" s="124"/>
    </row>
    <row r="537" spans="1:24" ht="44.25" customHeight="1" x14ac:dyDescent="0.25">
      <c r="A537" s="124"/>
      <c r="B537" s="128" t="s">
        <v>122</v>
      </c>
      <c r="C537" s="128" t="s">
        <v>125</v>
      </c>
      <c r="D537" s="220" t="s">
        <v>723</v>
      </c>
      <c r="E537" s="128"/>
      <c r="F537" s="128"/>
      <c r="G537" s="128"/>
      <c r="H537" s="128"/>
      <c r="I537" s="128"/>
      <c r="J537" s="128"/>
      <c r="K537" s="128"/>
      <c r="L537" s="128"/>
      <c r="M537" s="128"/>
      <c r="N537" s="128"/>
      <c r="O537" s="128"/>
      <c r="P537" s="128"/>
      <c r="Q537" s="128"/>
      <c r="R537" s="128"/>
      <c r="S537" s="128" t="s">
        <v>502</v>
      </c>
      <c r="T537" s="661" t="s">
        <v>1361</v>
      </c>
      <c r="U537" s="120">
        <v>0</v>
      </c>
      <c r="V537" s="117">
        <f>П4ВСР!AA344</f>
        <v>4420012.5</v>
      </c>
      <c r="W537" s="117">
        <f>П4ВСР!AB344</f>
        <v>9094467.7599999998</v>
      </c>
      <c r="X537" s="124"/>
    </row>
    <row r="538" spans="1:24" ht="18.600000000000001" customHeight="1" x14ac:dyDescent="0.25">
      <c r="A538" s="116" t="s">
        <v>495</v>
      </c>
      <c r="B538" s="126"/>
      <c r="C538" s="126"/>
      <c r="D538" s="126"/>
      <c r="E538" s="126"/>
      <c r="F538" s="126"/>
      <c r="G538" s="126"/>
      <c r="H538" s="126"/>
      <c r="I538" s="126"/>
      <c r="J538" s="126"/>
      <c r="K538" s="126"/>
      <c r="L538" s="126"/>
      <c r="M538" s="126"/>
      <c r="N538" s="126"/>
      <c r="O538" s="126"/>
      <c r="P538" s="126"/>
      <c r="Q538" s="126"/>
      <c r="R538" s="126"/>
      <c r="S538" s="126"/>
      <c r="T538" s="116" t="s">
        <v>495</v>
      </c>
      <c r="U538" s="117">
        <f>U11+U118+U139+U243+U310+U429+U463+U468+U516+U531</f>
        <v>911824308.99999988</v>
      </c>
      <c r="V538" s="117">
        <f>V11+V118+V139+V243+V310+V429+V463+V468+V516+V531+V537</f>
        <v>758786382.11999989</v>
      </c>
      <c r="W538" s="117">
        <f>W11+W118+W139+W243+W310+W429+W463+W468+W516+W531+W537</f>
        <v>782970362.54999995</v>
      </c>
      <c r="X538" s="116" t="s">
        <v>495</v>
      </c>
    </row>
    <row r="539" spans="1:24" ht="10.15" customHeight="1" x14ac:dyDescent="0.25"/>
    <row r="540" spans="1:24" ht="10.15" customHeight="1" x14ac:dyDescent="0.25"/>
    <row r="541" spans="1:24" ht="10.15" customHeight="1" x14ac:dyDescent="0.25"/>
    <row r="542" spans="1:24" ht="10.15" customHeight="1" x14ac:dyDescent="0.25"/>
    <row r="543" spans="1:24" ht="10.15" customHeight="1" x14ac:dyDescent="0.25"/>
    <row r="544" spans="1:24" ht="10.15" customHeight="1" x14ac:dyDescent="0.25"/>
    <row r="545" ht="10.15" customHeight="1" x14ac:dyDescent="0.25"/>
    <row r="546" ht="10.15" customHeight="1" x14ac:dyDescent="0.25"/>
    <row r="547" ht="10.15" customHeight="1" x14ac:dyDescent="0.25"/>
    <row r="548" ht="10.15" customHeight="1" x14ac:dyDescent="0.25"/>
    <row r="549" ht="10.15" customHeight="1" x14ac:dyDescent="0.25"/>
    <row r="550" ht="10.15" customHeight="1" x14ac:dyDescent="0.25"/>
    <row r="551" ht="10.15" customHeight="1" x14ac:dyDescent="0.25"/>
    <row r="552" ht="10.15" customHeight="1" x14ac:dyDescent="0.25"/>
    <row r="553" ht="10.15" customHeight="1" x14ac:dyDescent="0.25"/>
    <row r="554" ht="10.15" customHeight="1" x14ac:dyDescent="0.25"/>
    <row r="555" ht="10.15" customHeight="1" x14ac:dyDescent="0.25"/>
    <row r="556" ht="10.15" customHeight="1" x14ac:dyDescent="0.25"/>
    <row r="557" ht="10.15" customHeight="1" x14ac:dyDescent="0.25"/>
    <row r="558" ht="10.15" customHeight="1" x14ac:dyDescent="0.25"/>
    <row r="559" ht="10.15" customHeight="1" x14ac:dyDescent="0.25"/>
    <row r="560" ht="10.15" customHeight="1" x14ac:dyDescent="0.25"/>
    <row r="561" ht="10.15" customHeight="1" x14ac:dyDescent="0.25"/>
    <row r="562" ht="10.15" customHeight="1" x14ac:dyDescent="0.25"/>
    <row r="563" ht="10.15" customHeight="1" x14ac:dyDescent="0.25"/>
    <row r="564" ht="10.15" customHeight="1" x14ac:dyDescent="0.25"/>
    <row r="565" ht="10.15" customHeight="1" x14ac:dyDescent="0.25"/>
    <row r="566" ht="10.15" customHeight="1" x14ac:dyDescent="0.25"/>
    <row r="567" ht="10.15" customHeight="1" x14ac:dyDescent="0.25"/>
    <row r="568" ht="10.15" customHeight="1" x14ac:dyDescent="0.25"/>
    <row r="569" ht="10.15" customHeight="1" x14ac:dyDescent="0.25"/>
    <row r="570" ht="10.15" customHeight="1" x14ac:dyDescent="0.25"/>
    <row r="571" ht="10.15" customHeight="1" x14ac:dyDescent="0.25"/>
    <row r="572" ht="10.15" customHeight="1" x14ac:dyDescent="0.25"/>
    <row r="573" ht="10.15" customHeight="1" x14ac:dyDescent="0.25"/>
    <row r="574" ht="10.15" customHeight="1" x14ac:dyDescent="0.25"/>
    <row r="575" ht="10.15" customHeight="1" x14ac:dyDescent="0.25"/>
    <row r="576" ht="10.15" customHeight="1" x14ac:dyDescent="0.25"/>
    <row r="577" ht="10.15" customHeight="1" x14ac:dyDescent="0.25"/>
    <row r="578" ht="10.15" customHeight="1" x14ac:dyDescent="0.25"/>
    <row r="579" ht="10.15" customHeight="1" x14ac:dyDescent="0.25"/>
    <row r="580" ht="10.15" customHeight="1" x14ac:dyDescent="0.25"/>
    <row r="581" ht="10.15" customHeight="1" x14ac:dyDescent="0.25"/>
    <row r="582" ht="10.15" customHeight="1" x14ac:dyDescent="0.25"/>
    <row r="583" ht="10.15" customHeight="1" x14ac:dyDescent="0.25"/>
    <row r="584" ht="10.15" customHeight="1" x14ac:dyDescent="0.25"/>
    <row r="585"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5"/>
  <sheetViews>
    <sheetView zoomScale="80" zoomScaleNormal="80" workbookViewId="0">
      <selection activeCell="AB4" sqref="AB4"/>
    </sheetView>
  </sheetViews>
  <sheetFormatPr defaultRowHeight="15" x14ac:dyDescent="0.25"/>
  <cols>
    <col min="1" max="1" width="43.140625" customWidth="1"/>
    <col min="2" max="2" width="16.7109375" customWidth="1"/>
    <col min="3" max="4" width="10.7109375" customWidth="1"/>
    <col min="5" max="5" width="17.710937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6" t="s">
        <v>891</v>
      </c>
    </row>
    <row r="2" spans="1:33" x14ac:dyDescent="0.25">
      <c r="AB2" s="236" t="s">
        <v>496</v>
      </c>
    </row>
    <row r="3" spans="1:33" x14ac:dyDescent="0.25">
      <c r="AB3" s="236" t="s">
        <v>256</v>
      </c>
    </row>
    <row r="4" spans="1:33" ht="15.75" x14ac:dyDescent="0.25">
      <c r="AA4" s="2"/>
      <c r="AB4" s="2" t="s">
        <v>1541</v>
      </c>
    </row>
    <row r="5" spans="1:33" ht="33.75" customHeight="1" x14ac:dyDescent="0.25">
      <c r="A5" s="969" t="s">
        <v>1102</v>
      </c>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row>
    <row r="7" spans="1:33"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2"/>
      <c r="W7" s="112"/>
      <c r="X7" s="112"/>
      <c r="Y7" s="111"/>
      <c r="Z7" s="111"/>
      <c r="AA7" s="111"/>
      <c r="AB7" s="111" t="s">
        <v>262</v>
      </c>
      <c r="AC7" s="111"/>
    </row>
    <row r="8" spans="1:33" ht="15" customHeight="1" x14ac:dyDescent="0.25">
      <c r="A8" s="970" t="s">
        <v>1</v>
      </c>
      <c r="B8" s="972" t="s">
        <v>707</v>
      </c>
      <c r="C8" s="965" t="s">
        <v>263</v>
      </c>
      <c r="D8" s="965" t="s">
        <v>264</v>
      </c>
      <c r="E8" s="965" t="s">
        <v>197</v>
      </c>
      <c r="F8" s="184" t="s">
        <v>197</v>
      </c>
      <c r="G8" s="184" t="s">
        <v>197</v>
      </c>
      <c r="H8" s="184" t="s">
        <v>197</v>
      </c>
      <c r="I8" s="184" t="s">
        <v>197</v>
      </c>
      <c r="J8" s="184" t="s">
        <v>197</v>
      </c>
      <c r="K8" s="184" t="s">
        <v>197</v>
      </c>
      <c r="L8" s="184" t="s">
        <v>197</v>
      </c>
      <c r="M8" s="184" t="s">
        <v>197</v>
      </c>
      <c r="N8" s="184" t="s">
        <v>197</v>
      </c>
      <c r="O8" s="184" t="s">
        <v>197</v>
      </c>
      <c r="P8" s="184" t="s">
        <v>197</v>
      </c>
      <c r="Q8" s="184" t="s">
        <v>197</v>
      </c>
      <c r="R8" s="184" t="s">
        <v>197</v>
      </c>
      <c r="S8" s="184" t="s">
        <v>197</v>
      </c>
      <c r="T8" s="965" t="s">
        <v>225</v>
      </c>
      <c r="U8" s="184" t="s">
        <v>265</v>
      </c>
      <c r="V8" s="184" t="s">
        <v>52</v>
      </c>
      <c r="W8" s="184" t="s">
        <v>266</v>
      </c>
      <c r="X8" s="965" t="s">
        <v>267</v>
      </c>
      <c r="Y8" s="970" t="s">
        <v>1</v>
      </c>
      <c r="Z8" s="970">
        <v>2019</v>
      </c>
      <c r="AA8" s="963">
        <v>2020</v>
      </c>
      <c r="AB8" s="963">
        <v>2021</v>
      </c>
      <c r="AC8" s="967" t="s">
        <v>1</v>
      </c>
    </row>
    <row r="9" spans="1:33" ht="15" customHeight="1" x14ac:dyDescent="0.25">
      <c r="A9" s="971"/>
      <c r="B9" s="966"/>
      <c r="C9" s="966"/>
      <c r="D9" s="966"/>
      <c r="E9" s="966"/>
      <c r="F9" s="184" t="s">
        <v>197</v>
      </c>
      <c r="G9" s="184" t="s">
        <v>197</v>
      </c>
      <c r="H9" s="184" t="s">
        <v>197</v>
      </c>
      <c r="I9" s="184" t="s">
        <v>197</v>
      </c>
      <c r="J9" s="184" t="s">
        <v>197</v>
      </c>
      <c r="K9" s="184" t="s">
        <v>197</v>
      </c>
      <c r="L9" s="184" t="s">
        <v>197</v>
      </c>
      <c r="M9" s="184" t="s">
        <v>197</v>
      </c>
      <c r="N9" s="184" t="s">
        <v>197</v>
      </c>
      <c r="O9" s="184" t="s">
        <v>197</v>
      </c>
      <c r="P9" s="184" t="s">
        <v>197</v>
      </c>
      <c r="Q9" s="184" t="s">
        <v>197</v>
      </c>
      <c r="R9" s="184" t="s">
        <v>197</v>
      </c>
      <c r="S9" s="184" t="s">
        <v>197</v>
      </c>
      <c r="T9" s="966" t="s">
        <v>225</v>
      </c>
      <c r="U9" s="184" t="s">
        <v>265</v>
      </c>
      <c r="V9" s="184" t="s">
        <v>52</v>
      </c>
      <c r="W9" s="184" t="s">
        <v>266</v>
      </c>
      <c r="X9" s="966" t="s">
        <v>267</v>
      </c>
      <c r="Y9" s="971"/>
      <c r="Z9" s="971" t="s">
        <v>268</v>
      </c>
      <c r="AA9" s="964" t="s">
        <v>268</v>
      </c>
      <c r="AB9" s="964" t="s">
        <v>268</v>
      </c>
      <c r="AC9" s="968"/>
    </row>
    <row r="10" spans="1:33" ht="15" hidden="1" customHeight="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4"/>
      <c r="W10" s="114"/>
      <c r="X10" s="114"/>
      <c r="Y10" s="113"/>
      <c r="Z10" s="113"/>
      <c r="AA10" s="113"/>
      <c r="AB10" s="113"/>
      <c r="AC10" s="567"/>
    </row>
    <row r="11" spans="1:33" ht="37.15" customHeight="1" x14ac:dyDescent="0.3">
      <c r="A11" s="159" t="s">
        <v>269</v>
      </c>
      <c r="B11" s="160" t="s">
        <v>15</v>
      </c>
      <c r="C11" s="160"/>
      <c r="D11" s="160"/>
      <c r="E11" s="160"/>
      <c r="F11" s="160"/>
      <c r="G11" s="160"/>
      <c r="H11" s="160"/>
      <c r="I11" s="160"/>
      <c r="J11" s="160"/>
      <c r="K11" s="160"/>
      <c r="L11" s="160"/>
      <c r="M11" s="160"/>
      <c r="N11" s="160"/>
      <c r="O11" s="160"/>
      <c r="P11" s="160"/>
      <c r="Q11" s="160"/>
      <c r="R11" s="160"/>
      <c r="S11" s="160"/>
      <c r="T11" s="160"/>
      <c r="U11" s="160"/>
      <c r="V11" s="214"/>
      <c r="W11" s="214"/>
      <c r="X11" s="214"/>
      <c r="Y11" s="159" t="s">
        <v>269</v>
      </c>
      <c r="Z11" s="215">
        <f>Z12+Z90+Z105+Z203+Z249+Z278+Z296+Z301+Z328</f>
        <v>280071485.32999998</v>
      </c>
      <c r="AA11" s="215">
        <f>AA12+AA90+AA105+AA203+AA249+AA278+AA296+AA301+AA328</f>
        <v>184984495.55000001</v>
      </c>
      <c r="AB11" s="215">
        <f>AB12+AB90+AB105+AB203+AB249+AB278+AB296+AB301+AB328</f>
        <v>181446235.97</v>
      </c>
      <c r="AC11" s="292" t="s">
        <v>269</v>
      </c>
    </row>
    <row r="12" spans="1:33" ht="37.15" customHeight="1" x14ac:dyDescent="0.3">
      <c r="A12" s="159" t="s">
        <v>270</v>
      </c>
      <c r="B12" s="160" t="s">
        <v>15</v>
      </c>
      <c r="C12" s="160" t="s">
        <v>122</v>
      </c>
      <c r="D12" s="160" t="s">
        <v>133</v>
      </c>
      <c r="E12" s="160"/>
      <c r="F12" s="160"/>
      <c r="G12" s="160"/>
      <c r="H12" s="160"/>
      <c r="I12" s="160"/>
      <c r="J12" s="160"/>
      <c r="K12" s="160"/>
      <c r="L12" s="160"/>
      <c r="M12" s="160"/>
      <c r="N12" s="160"/>
      <c r="O12" s="160"/>
      <c r="P12" s="160"/>
      <c r="Q12" s="160"/>
      <c r="R12" s="160"/>
      <c r="S12" s="160"/>
      <c r="T12" s="160"/>
      <c r="U12" s="160"/>
      <c r="V12" s="214"/>
      <c r="W12" s="214"/>
      <c r="X12" s="214"/>
      <c r="Y12" s="159" t="s">
        <v>270</v>
      </c>
      <c r="Z12" s="215">
        <f>Z13+Z16+Z23+Z36+Z39+Z45+Z48+Z42</f>
        <v>103243987.90000001</v>
      </c>
      <c r="AA12" s="215">
        <f>AA13+AA16+AA23+AA36+AA39+AA45+AA48+AA42</f>
        <v>77519779.24000001</v>
      </c>
      <c r="AB12" s="215">
        <f>AB13+AB16+AB23+AB36+AB39+AB45+AB48+AB42</f>
        <v>77589156.120000005</v>
      </c>
      <c r="AC12" s="292" t="s">
        <v>270</v>
      </c>
    </row>
    <row r="13" spans="1:33" ht="74.45" customHeight="1" x14ac:dyDescent="0.3">
      <c r="A13" s="159" t="s">
        <v>247</v>
      </c>
      <c r="B13" s="160" t="s">
        <v>15</v>
      </c>
      <c r="C13" s="160" t="s">
        <v>122</v>
      </c>
      <c r="D13" s="160" t="s">
        <v>132</v>
      </c>
      <c r="E13" s="160"/>
      <c r="F13" s="160"/>
      <c r="G13" s="160"/>
      <c r="H13" s="160"/>
      <c r="I13" s="160"/>
      <c r="J13" s="160"/>
      <c r="K13" s="160"/>
      <c r="L13" s="160"/>
      <c r="M13" s="160"/>
      <c r="N13" s="160"/>
      <c r="O13" s="160"/>
      <c r="P13" s="160"/>
      <c r="Q13" s="160"/>
      <c r="R13" s="160"/>
      <c r="S13" s="160"/>
      <c r="T13" s="160"/>
      <c r="U13" s="160"/>
      <c r="V13" s="214"/>
      <c r="W13" s="214"/>
      <c r="X13" s="214"/>
      <c r="Y13" s="159" t="s">
        <v>247</v>
      </c>
      <c r="Z13" s="215">
        <f t="shared" ref="Z13:AB14" si="0">Z14</f>
        <v>2316632.7599999998</v>
      </c>
      <c r="AA13" s="215">
        <f t="shared" si="0"/>
        <v>1554484</v>
      </c>
      <c r="AB13" s="215">
        <f t="shared" si="0"/>
        <v>1554484</v>
      </c>
      <c r="AC13" s="292" t="s">
        <v>247</v>
      </c>
      <c r="AE13" s="127"/>
      <c r="AF13" s="127"/>
      <c r="AG13" s="127"/>
    </row>
    <row r="14" spans="1:33" ht="108" customHeight="1" x14ac:dyDescent="0.3">
      <c r="A14" s="153" t="s">
        <v>236</v>
      </c>
      <c r="B14" s="161" t="s">
        <v>15</v>
      </c>
      <c r="C14" s="161" t="s">
        <v>122</v>
      </c>
      <c r="D14" s="161" t="s">
        <v>132</v>
      </c>
      <c r="E14" s="234" t="s">
        <v>524</v>
      </c>
      <c r="F14" s="161"/>
      <c r="G14" s="161"/>
      <c r="H14" s="161"/>
      <c r="I14" s="161"/>
      <c r="J14" s="161"/>
      <c r="K14" s="161"/>
      <c r="L14" s="161"/>
      <c r="M14" s="161"/>
      <c r="N14" s="161"/>
      <c r="O14" s="161"/>
      <c r="P14" s="161"/>
      <c r="Q14" s="161"/>
      <c r="R14" s="161"/>
      <c r="S14" s="161"/>
      <c r="T14" s="161"/>
      <c r="U14" s="161"/>
      <c r="V14" s="206"/>
      <c r="W14" s="206"/>
      <c r="X14" s="206"/>
      <c r="Y14" s="153" t="s">
        <v>236</v>
      </c>
      <c r="Z14" s="239">
        <f t="shared" si="0"/>
        <v>2316632.7599999998</v>
      </c>
      <c r="AA14" s="239">
        <f t="shared" si="0"/>
        <v>1554484</v>
      </c>
      <c r="AB14" s="239">
        <f t="shared" si="0"/>
        <v>1554484</v>
      </c>
      <c r="AC14" s="568" t="s">
        <v>236</v>
      </c>
    </row>
    <row r="15" spans="1:33" ht="108.75" customHeight="1" x14ac:dyDescent="0.3">
      <c r="A15" s="154" t="s">
        <v>726</v>
      </c>
      <c r="B15" s="136" t="s">
        <v>15</v>
      </c>
      <c r="C15" s="136" t="s">
        <v>122</v>
      </c>
      <c r="D15" s="136" t="s">
        <v>132</v>
      </c>
      <c r="E15" s="234" t="s">
        <v>524</v>
      </c>
      <c r="F15" s="136"/>
      <c r="G15" s="136"/>
      <c r="H15" s="136"/>
      <c r="I15" s="136"/>
      <c r="J15" s="136"/>
      <c r="K15" s="136"/>
      <c r="L15" s="136"/>
      <c r="M15" s="136"/>
      <c r="N15" s="136"/>
      <c r="O15" s="136"/>
      <c r="P15" s="136"/>
      <c r="Q15" s="136"/>
      <c r="R15" s="136"/>
      <c r="S15" s="136"/>
      <c r="T15" s="136" t="s">
        <v>38</v>
      </c>
      <c r="U15" s="136"/>
      <c r="V15" s="137"/>
      <c r="W15" s="137"/>
      <c r="X15" s="137"/>
      <c r="Y15" s="154" t="s">
        <v>271</v>
      </c>
      <c r="Z15" s="212">
        <f>1554484+762148.76</f>
        <v>2316632.7599999998</v>
      </c>
      <c r="AA15" s="212">
        <v>1554484</v>
      </c>
      <c r="AB15" s="212">
        <v>1554484</v>
      </c>
      <c r="AC15" s="569" t="s">
        <v>271</v>
      </c>
      <c r="AE15" s="127"/>
    </row>
    <row r="16" spans="1:33" ht="85.5" customHeight="1" x14ac:dyDescent="0.3">
      <c r="A16" s="159" t="s">
        <v>248</v>
      </c>
      <c r="B16" s="160" t="s">
        <v>15</v>
      </c>
      <c r="C16" s="160" t="s">
        <v>122</v>
      </c>
      <c r="D16" s="160" t="s">
        <v>123</v>
      </c>
      <c r="E16" s="160"/>
      <c r="F16" s="160"/>
      <c r="G16" s="160"/>
      <c r="H16" s="160"/>
      <c r="I16" s="160"/>
      <c r="J16" s="160"/>
      <c r="K16" s="160"/>
      <c r="L16" s="160"/>
      <c r="M16" s="160"/>
      <c r="N16" s="160"/>
      <c r="O16" s="160"/>
      <c r="P16" s="160"/>
      <c r="Q16" s="160"/>
      <c r="R16" s="160"/>
      <c r="S16" s="160"/>
      <c r="T16" s="160"/>
      <c r="U16" s="160"/>
      <c r="V16" s="214"/>
      <c r="W16" s="214"/>
      <c r="X16" s="214"/>
      <c r="Y16" s="159" t="s">
        <v>248</v>
      </c>
      <c r="Z16" s="215">
        <f>Z17+Z19</f>
        <v>3605818.53</v>
      </c>
      <c r="AA16" s="215">
        <f>AA17+AA19</f>
        <v>2993545.12</v>
      </c>
      <c r="AB16" s="215">
        <f>AB17+AB19</f>
        <v>2993545.12</v>
      </c>
      <c r="AC16" s="292" t="s">
        <v>248</v>
      </c>
      <c r="AE16" s="127"/>
    </row>
    <row r="17" spans="1:31" ht="130.5" customHeight="1" x14ac:dyDescent="0.3">
      <c r="A17" s="153" t="s">
        <v>237</v>
      </c>
      <c r="B17" s="161" t="s">
        <v>15</v>
      </c>
      <c r="C17" s="161" t="s">
        <v>122</v>
      </c>
      <c r="D17" s="161" t="s">
        <v>123</v>
      </c>
      <c r="E17" s="234" t="s">
        <v>525</v>
      </c>
      <c r="F17" s="161"/>
      <c r="G17" s="161"/>
      <c r="H17" s="161"/>
      <c r="I17" s="161"/>
      <c r="J17" s="161"/>
      <c r="K17" s="161"/>
      <c r="L17" s="161"/>
      <c r="M17" s="161"/>
      <c r="N17" s="161"/>
      <c r="O17" s="161"/>
      <c r="P17" s="161"/>
      <c r="Q17" s="161"/>
      <c r="R17" s="161"/>
      <c r="S17" s="161"/>
      <c r="T17" s="161"/>
      <c r="U17" s="161"/>
      <c r="V17" s="206"/>
      <c r="W17" s="206"/>
      <c r="X17" s="206"/>
      <c r="Y17" s="153" t="s">
        <v>237</v>
      </c>
      <c r="Z17" s="239">
        <f>Z18</f>
        <v>1860661.41</v>
      </c>
      <c r="AA17" s="239">
        <f>AA18</f>
        <v>1398388</v>
      </c>
      <c r="AB17" s="239">
        <f>AB18</f>
        <v>1398388</v>
      </c>
      <c r="AC17" s="568" t="s">
        <v>237</v>
      </c>
      <c r="AE17" s="127"/>
    </row>
    <row r="18" spans="1:31" ht="110.25" customHeight="1" x14ac:dyDescent="0.3">
      <c r="A18" s="154" t="s">
        <v>726</v>
      </c>
      <c r="B18" s="136" t="s">
        <v>15</v>
      </c>
      <c r="C18" s="136" t="s">
        <v>122</v>
      </c>
      <c r="D18" s="136" t="s">
        <v>123</v>
      </c>
      <c r="E18" s="234" t="s">
        <v>525</v>
      </c>
      <c r="F18" s="136"/>
      <c r="G18" s="136"/>
      <c r="H18" s="136"/>
      <c r="I18" s="136"/>
      <c r="J18" s="136"/>
      <c r="K18" s="136"/>
      <c r="L18" s="136"/>
      <c r="M18" s="136"/>
      <c r="N18" s="136"/>
      <c r="O18" s="136"/>
      <c r="P18" s="136"/>
      <c r="Q18" s="136"/>
      <c r="R18" s="136"/>
      <c r="S18" s="136"/>
      <c r="T18" s="136" t="s">
        <v>38</v>
      </c>
      <c r="U18" s="136"/>
      <c r="V18" s="137"/>
      <c r="W18" s="137"/>
      <c r="X18" s="137"/>
      <c r="Y18" s="154" t="s">
        <v>272</v>
      </c>
      <c r="Z18" s="212">
        <f>1398388+462273.41</f>
        <v>1860661.41</v>
      </c>
      <c r="AA18" s="212">
        <v>1398388</v>
      </c>
      <c r="AB18" s="212">
        <v>1398388</v>
      </c>
      <c r="AC18" s="569" t="s">
        <v>272</v>
      </c>
    </row>
    <row r="19" spans="1:31" ht="93" customHeight="1" x14ac:dyDescent="0.3">
      <c r="A19" s="153" t="s">
        <v>238</v>
      </c>
      <c r="B19" s="161" t="s">
        <v>15</v>
      </c>
      <c r="C19" s="161" t="s">
        <v>122</v>
      </c>
      <c r="D19" s="161" t="s">
        <v>123</v>
      </c>
      <c r="E19" s="234" t="s">
        <v>526</v>
      </c>
      <c r="F19" s="161"/>
      <c r="G19" s="161"/>
      <c r="H19" s="161"/>
      <c r="I19" s="161"/>
      <c r="J19" s="161"/>
      <c r="K19" s="161"/>
      <c r="L19" s="161"/>
      <c r="M19" s="161"/>
      <c r="N19" s="161"/>
      <c r="O19" s="161"/>
      <c r="P19" s="161"/>
      <c r="Q19" s="161"/>
      <c r="R19" s="161"/>
      <c r="S19" s="161"/>
      <c r="T19" s="161"/>
      <c r="U19" s="161"/>
      <c r="V19" s="206"/>
      <c r="W19" s="206"/>
      <c r="X19" s="206"/>
      <c r="Y19" s="153" t="s">
        <v>238</v>
      </c>
      <c r="Z19" s="239">
        <f>Z20+Z21+Z22</f>
        <v>1745157.1199999999</v>
      </c>
      <c r="AA19" s="239">
        <f>AA20+AA21+AA22</f>
        <v>1595157.1199999999</v>
      </c>
      <c r="AB19" s="239">
        <f>AB20+AB21+AB22</f>
        <v>1595157.1199999999</v>
      </c>
      <c r="AC19" s="568" t="s">
        <v>238</v>
      </c>
      <c r="AE19" s="127"/>
    </row>
    <row r="20" spans="1:31" ht="108.75" customHeight="1" x14ac:dyDescent="0.3">
      <c r="A20" s="154" t="s">
        <v>726</v>
      </c>
      <c r="B20" s="136" t="s">
        <v>15</v>
      </c>
      <c r="C20" s="136" t="s">
        <v>122</v>
      </c>
      <c r="D20" s="136" t="s">
        <v>123</v>
      </c>
      <c r="E20" s="234" t="s">
        <v>526</v>
      </c>
      <c r="F20" s="136"/>
      <c r="G20" s="136"/>
      <c r="H20" s="136"/>
      <c r="I20" s="136"/>
      <c r="J20" s="136"/>
      <c r="K20" s="136"/>
      <c r="L20" s="136"/>
      <c r="M20" s="136"/>
      <c r="N20" s="136"/>
      <c r="O20" s="136"/>
      <c r="P20" s="136"/>
      <c r="Q20" s="136"/>
      <c r="R20" s="136"/>
      <c r="S20" s="136"/>
      <c r="T20" s="136" t="s">
        <v>38</v>
      </c>
      <c r="U20" s="136"/>
      <c r="V20" s="137"/>
      <c r="W20" s="137"/>
      <c r="X20" s="137"/>
      <c r="Y20" s="154" t="s">
        <v>273</v>
      </c>
      <c r="Z20" s="212">
        <v>1377587.25</v>
      </c>
      <c r="AA20" s="212">
        <v>1377587.25</v>
      </c>
      <c r="AB20" s="212">
        <v>1377587.25</v>
      </c>
      <c r="AC20" s="569" t="s">
        <v>273</v>
      </c>
      <c r="AD20" s="741"/>
      <c r="AE20" s="127"/>
    </row>
    <row r="21" spans="1:31" ht="65.25" customHeight="1" x14ac:dyDescent="0.3">
      <c r="A21" s="135" t="s">
        <v>1336</v>
      </c>
      <c r="B21" s="136" t="s">
        <v>15</v>
      </c>
      <c r="C21" s="136" t="s">
        <v>122</v>
      </c>
      <c r="D21" s="136" t="s">
        <v>123</v>
      </c>
      <c r="E21" s="234" t="s">
        <v>526</v>
      </c>
      <c r="F21" s="136"/>
      <c r="G21" s="136"/>
      <c r="H21" s="136"/>
      <c r="I21" s="136"/>
      <c r="J21" s="136"/>
      <c r="K21" s="136"/>
      <c r="L21" s="136"/>
      <c r="M21" s="136"/>
      <c r="N21" s="136"/>
      <c r="O21" s="136"/>
      <c r="P21" s="136"/>
      <c r="Q21" s="136"/>
      <c r="R21" s="136"/>
      <c r="S21" s="136"/>
      <c r="T21" s="136" t="s">
        <v>275</v>
      </c>
      <c r="U21" s="136"/>
      <c r="V21" s="137"/>
      <c r="W21" s="137"/>
      <c r="X21" s="137"/>
      <c r="Y21" s="135" t="s">
        <v>274</v>
      </c>
      <c r="Z21" s="212">
        <f>222573.22-13000+150000</f>
        <v>359573.22</v>
      </c>
      <c r="AA21" s="212">
        <v>209573.22</v>
      </c>
      <c r="AB21" s="212">
        <v>209573.22</v>
      </c>
      <c r="AC21" s="213" t="s">
        <v>274</v>
      </c>
      <c r="AE21" s="127"/>
    </row>
    <row r="22" spans="1:31" ht="44.25" customHeight="1" x14ac:dyDescent="0.3">
      <c r="A22" s="135" t="s">
        <v>763</v>
      </c>
      <c r="B22" s="136" t="s">
        <v>15</v>
      </c>
      <c r="C22" s="136" t="s">
        <v>122</v>
      </c>
      <c r="D22" s="136" t="s">
        <v>123</v>
      </c>
      <c r="E22" s="234" t="s">
        <v>526</v>
      </c>
      <c r="F22" s="136"/>
      <c r="G22" s="136"/>
      <c r="H22" s="136"/>
      <c r="I22" s="136"/>
      <c r="J22" s="136"/>
      <c r="K22" s="136"/>
      <c r="L22" s="136"/>
      <c r="M22" s="136"/>
      <c r="N22" s="136"/>
      <c r="O22" s="136"/>
      <c r="P22" s="136"/>
      <c r="Q22" s="136"/>
      <c r="R22" s="136"/>
      <c r="S22" s="136"/>
      <c r="T22" s="136" t="s">
        <v>243</v>
      </c>
      <c r="U22" s="136"/>
      <c r="V22" s="137"/>
      <c r="W22" s="137"/>
      <c r="X22" s="137"/>
      <c r="Y22" s="135" t="s">
        <v>276</v>
      </c>
      <c r="Z22" s="212">
        <v>7996.65</v>
      </c>
      <c r="AA22" s="212">
        <v>7996.65</v>
      </c>
      <c r="AB22" s="212">
        <v>7996.65</v>
      </c>
      <c r="AC22" s="213" t="s">
        <v>276</v>
      </c>
      <c r="AD22" s="741"/>
      <c r="AE22" s="127"/>
    </row>
    <row r="23" spans="1:31" ht="101.25" customHeight="1" x14ac:dyDescent="0.3">
      <c r="A23" s="159" t="s">
        <v>249</v>
      </c>
      <c r="B23" s="160" t="s">
        <v>15</v>
      </c>
      <c r="C23" s="160" t="s">
        <v>122</v>
      </c>
      <c r="D23" s="160" t="s">
        <v>136</v>
      </c>
      <c r="E23" s="160"/>
      <c r="F23" s="160"/>
      <c r="G23" s="160"/>
      <c r="H23" s="160"/>
      <c r="I23" s="160"/>
      <c r="J23" s="160"/>
      <c r="K23" s="160"/>
      <c r="L23" s="160"/>
      <c r="M23" s="160"/>
      <c r="N23" s="160"/>
      <c r="O23" s="160"/>
      <c r="P23" s="160"/>
      <c r="Q23" s="160"/>
      <c r="R23" s="160"/>
      <c r="S23" s="160"/>
      <c r="T23" s="160"/>
      <c r="U23" s="160"/>
      <c r="V23" s="214"/>
      <c r="W23" s="214"/>
      <c r="X23" s="214"/>
      <c r="Y23" s="159" t="s">
        <v>249</v>
      </c>
      <c r="Z23" s="215">
        <f>Z24+Z26+Z33+Z31</f>
        <v>29492830.620000005</v>
      </c>
      <c r="AA23" s="215">
        <f>AA24+AA26+AA33+AA31</f>
        <v>30947252.790000003</v>
      </c>
      <c r="AB23" s="215">
        <f>AB24+AB26+AB33+AB31</f>
        <v>30947252.790000003</v>
      </c>
      <c r="AC23" s="169" t="e">
        <f t="shared" ref="AC23" si="1">AC24+AC26+AC33+AC31</f>
        <v>#VALUE!</v>
      </c>
      <c r="AE23" s="127"/>
    </row>
    <row r="24" spans="1:31" ht="152.25" hidden="1" customHeight="1" x14ac:dyDescent="0.3">
      <c r="A24" s="152" t="s">
        <v>998</v>
      </c>
      <c r="B24" s="161" t="s">
        <v>15</v>
      </c>
      <c r="C24" s="161" t="s">
        <v>122</v>
      </c>
      <c r="D24" s="161" t="s">
        <v>136</v>
      </c>
      <c r="E24" s="234" t="s">
        <v>1000</v>
      </c>
      <c r="F24" s="161"/>
      <c r="G24" s="161"/>
      <c r="H24" s="161"/>
      <c r="I24" s="161"/>
      <c r="J24" s="161"/>
      <c r="K24" s="161"/>
      <c r="L24" s="161"/>
      <c r="M24" s="161"/>
      <c r="N24" s="161"/>
      <c r="O24" s="161"/>
      <c r="P24" s="161"/>
      <c r="Q24" s="161"/>
      <c r="R24" s="161"/>
      <c r="S24" s="161"/>
      <c r="T24" s="161"/>
      <c r="U24" s="161"/>
      <c r="V24" s="206"/>
      <c r="W24" s="206"/>
      <c r="X24" s="206"/>
      <c r="Y24" s="153" t="s">
        <v>277</v>
      </c>
      <c r="Z24" s="239">
        <f>Z25</f>
        <v>0</v>
      </c>
      <c r="AA24" s="239">
        <f>AA25</f>
        <v>0</v>
      </c>
      <c r="AB24" s="239">
        <f>AB25</f>
        <v>0</v>
      </c>
      <c r="AC24" s="568" t="s">
        <v>277</v>
      </c>
    </row>
    <row r="25" spans="1:31" ht="84" hidden="1" customHeight="1" x14ac:dyDescent="0.3">
      <c r="A25" s="135" t="s">
        <v>999</v>
      </c>
      <c r="B25" s="136" t="s">
        <v>15</v>
      </c>
      <c r="C25" s="136" t="s">
        <v>122</v>
      </c>
      <c r="D25" s="136" t="s">
        <v>136</v>
      </c>
      <c r="E25" s="234" t="s">
        <v>1000</v>
      </c>
      <c r="F25" s="136"/>
      <c r="G25" s="136"/>
      <c r="H25" s="136"/>
      <c r="I25" s="136"/>
      <c r="J25" s="136"/>
      <c r="K25" s="136"/>
      <c r="L25" s="136"/>
      <c r="M25" s="136"/>
      <c r="N25" s="136"/>
      <c r="O25" s="136"/>
      <c r="P25" s="136"/>
      <c r="Q25" s="136"/>
      <c r="R25" s="136"/>
      <c r="S25" s="136"/>
      <c r="T25" s="136" t="s">
        <v>275</v>
      </c>
      <c r="U25" s="136"/>
      <c r="V25" s="137"/>
      <c r="W25" s="137"/>
      <c r="X25" s="137"/>
      <c r="Y25" s="135" t="s">
        <v>278</v>
      </c>
      <c r="Z25" s="212">
        <v>0</v>
      </c>
      <c r="AA25" s="212">
        <v>0</v>
      </c>
      <c r="AB25" s="212">
        <v>0</v>
      </c>
      <c r="AC25" s="213" t="s">
        <v>278</v>
      </c>
    </row>
    <row r="26" spans="1:31" ht="170.25" customHeight="1" x14ac:dyDescent="0.3">
      <c r="A26" s="153" t="s">
        <v>1237</v>
      </c>
      <c r="B26" s="161" t="s">
        <v>15</v>
      </c>
      <c r="C26" s="161" t="s">
        <v>122</v>
      </c>
      <c r="D26" s="161" t="s">
        <v>136</v>
      </c>
      <c r="E26" s="234" t="s">
        <v>527</v>
      </c>
      <c r="F26" s="161"/>
      <c r="G26" s="161"/>
      <c r="H26" s="161"/>
      <c r="I26" s="161"/>
      <c r="J26" s="161"/>
      <c r="K26" s="161"/>
      <c r="L26" s="161"/>
      <c r="M26" s="161"/>
      <c r="N26" s="161"/>
      <c r="O26" s="161"/>
      <c r="P26" s="161"/>
      <c r="Q26" s="161"/>
      <c r="R26" s="161"/>
      <c r="S26" s="161"/>
      <c r="T26" s="161"/>
      <c r="U26" s="161"/>
      <c r="V26" s="206"/>
      <c r="W26" s="206"/>
      <c r="X26" s="206"/>
      <c r="Y26" s="153" t="s">
        <v>279</v>
      </c>
      <c r="Z26" s="239">
        <f>Z27+Z28+Z30+Z29</f>
        <v>29342830.620000005</v>
      </c>
      <c r="AA26" s="239">
        <f>AA27+AA28+AA30+AA29</f>
        <v>30797252.790000003</v>
      </c>
      <c r="AB26" s="239">
        <f>AB27+AB28+AB30+AB29</f>
        <v>30797252.790000003</v>
      </c>
      <c r="AC26" s="568" t="s">
        <v>279</v>
      </c>
      <c r="AE26" s="127"/>
    </row>
    <row r="27" spans="1:31" ht="117" customHeight="1" x14ac:dyDescent="0.3">
      <c r="A27" s="154" t="s">
        <v>726</v>
      </c>
      <c r="B27" s="136" t="s">
        <v>15</v>
      </c>
      <c r="C27" s="136" t="s">
        <v>122</v>
      </c>
      <c r="D27" s="136" t="s">
        <v>136</v>
      </c>
      <c r="E27" s="234" t="s">
        <v>527</v>
      </c>
      <c r="F27" s="136"/>
      <c r="G27" s="136"/>
      <c r="H27" s="136"/>
      <c r="I27" s="136"/>
      <c r="J27" s="136"/>
      <c r="K27" s="136"/>
      <c r="L27" s="136"/>
      <c r="M27" s="136"/>
      <c r="N27" s="136"/>
      <c r="O27" s="136"/>
      <c r="P27" s="136"/>
      <c r="Q27" s="136"/>
      <c r="R27" s="136"/>
      <c r="S27" s="136"/>
      <c r="T27" s="136" t="s">
        <v>38</v>
      </c>
      <c r="U27" s="136"/>
      <c r="V27" s="137"/>
      <c r="W27" s="137"/>
      <c r="X27" s="137"/>
      <c r="Y27" s="154" t="s">
        <v>280</v>
      </c>
      <c r="Z27" s="212">
        <f>17266840.2+689030.66+5214585.74+1282124.41+734111+221702+719541.11-1224422.17-180000</f>
        <v>24723512.950000003</v>
      </c>
      <c r="AA27" s="212">
        <v>26127935.120000001</v>
      </c>
      <c r="AB27" s="212">
        <v>26127935.120000001</v>
      </c>
      <c r="AC27" s="569" t="s">
        <v>280</v>
      </c>
      <c r="AE27" s="127"/>
    </row>
    <row r="28" spans="1:31" ht="66" customHeight="1" x14ac:dyDescent="0.3">
      <c r="A28" s="135" t="s">
        <v>565</v>
      </c>
      <c r="B28" s="136" t="s">
        <v>15</v>
      </c>
      <c r="C28" s="136" t="s">
        <v>122</v>
      </c>
      <c r="D28" s="136" t="s">
        <v>136</v>
      </c>
      <c r="E28" s="234" t="s">
        <v>527</v>
      </c>
      <c r="F28" s="136"/>
      <c r="G28" s="136"/>
      <c r="H28" s="136"/>
      <c r="I28" s="136"/>
      <c r="J28" s="136"/>
      <c r="K28" s="136"/>
      <c r="L28" s="136"/>
      <c r="M28" s="136"/>
      <c r="N28" s="136"/>
      <c r="O28" s="136"/>
      <c r="P28" s="136"/>
      <c r="Q28" s="136"/>
      <c r="R28" s="136"/>
      <c r="S28" s="136"/>
      <c r="T28" s="136" t="s">
        <v>275</v>
      </c>
      <c r="U28" s="136"/>
      <c r="V28" s="137"/>
      <c r="W28" s="137"/>
      <c r="X28" s="137"/>
      <c r="Y28" s="135" t="s">
        <v>281</v>
      </c>
      <c r="Z28" s="212">
        <v>4393266.4800000004</v>
      </c>
      <c r="AA28" s="212">
        <f>1127061.54+2572541.69+387346.05+256317.2+50000</f>
        <v>4393266.4799999995</v>
      </c>
      <c r="AB28" s="212">
        <f>1127061.54+2572541.69+387346.05+256317.2+50000</f>
        <v>4393266.4799999995</v>
      </c>
      <c r="AC28" s="213" t="s">
        <v>281</v>
      </c>
      <c r="AE28" s="127"/>
    </row>
    <row r="29" spans="1:31" ht="42.75" customHeight="1" x14ac:dyDescent="0.3">
      <c r="A29" s="135" t="s">
        <v>730</v>
      </c>
      <c r="B29" s="136" t="s">
        <v>15</v>
      </c>
      <c r="C29" s="136" t="s">
        <v>122</v>
      </c>
      <c r="D29" s="136" t="s">
        <v>136</v>
      </c>
      <c r="E29" s="234" t="s">
        <v>527</v>
      </c>
      <c r="F29" s="136"/>
      <c r="G29" s="136"/>
      <c r="H29" s="136"/>
      <c r="I29" s="136"/>
      <c r="J29" s="136"/>
      <c r="K29" s="136"/>
      <c r="L29" s="136"/>
      <c r="M29" s="136"/>
      <c r="N29" s="136"/>
      <c r="O29" s="136"/>
      <c r="P29" s="136"/>
      <c r="Q29" s="136"/>
      <c r="R29" s="136"/>
      <c r="S29" s="136"/>
      <c r="T29" s="136" t="s">
        <v>393</v>
      </c>
      <c r="U29" s="136"/>
      <c r="V29" s="137"/>
      <c r="W29" s="137"/>
      <c r="X29" s="137"/>
      <c r="Y29" s="135"/>
      <c r="Z29" s="212">
        <v>10000</v>
      </c>
      <c r="AA29" s="212">
        <v>10000</v>
      </c>
      <c r="AB29" s="212">
        <v>10000</v>
      </c>
      <c r="AC29" s="213"/>
    </row>
    <row r="30" spans="1:31" ht="36" customHeight="1" x14ac:dyDescent="0.3">
      <c r="A30" s="135" t="s">
        <v>763</v>
      </c>
      <c r="B30" s="136" t="s">
        <v>15</v>
      </c>
      <c r="C30" s="136" t="s">
        <v>122</v>
      </c>
      <c r="D30" s="136" t="s">
        <v>136</v>
      </c>
      <c r="E30" s="234" t="s">
        <v>527</v>
      </c>
      <c r="F30" s="136"/>
      <c r="G30" s="136"/>
      <c r="H30" s="136"/>
      <c r="I30" s="136"/>
      <c r="J30" s="136"/>
      <c r="K30" s="136"/>
      <c r="L30" s="136"/>
      <c r="M30" s="136"/>
      <c r="N30" s="136"/>
      <c r="O30" s="136"/>
      <c r="P30" s="136"/>
      <c r="Q30" s="136"/>
      <c r="R30" s="136"/>
      <c r="S30" s="136"/>
      <c r="T30" s="136" t="s">
        <v>243</v>
      </c>
      <c r="U30" s="136"/>
      <c r="V30" s="137"/>
      <c r="W30" s="137"/>
      <c r="X30" s="137"/>
      <c r="Y30" s="135" t="s">
        <v>282</v>
      </c>
      <c r="Z30" s="212">
        <f>93879.52+162171.67+10000-50000</f>
        <v>216051.19</v>
      </c>
      <c r="AA30" s="212">
        <f>93879.52+162171.67+10000</f>
        <v>266051.19</v>
      </c>
      <c r="AB30" s="212">
        <f>93879.52+162171.67+10000</f>
        <v>266051.19</v>
      </c>
      <c r="AC30" s="213" t="s">
        <v>282</v>
      </c>
    </row>
    <row r="31" spans="1:31" s="275" customFormat="1" ht="91.5" hidden="1" customHeight="1" x14ac:dyDescent="0.3">
      <c r="A31" s="153" t="s">
        <v>871</v>
      </c>
      <c r="B31" s="161" t="s">
        <v>15</v>
      </c>
      <c r="C31" s="161" t="s">
        <v>122</v>
      </c>
      <c r="D31" s="161" t="s">
        <v>136</v>
      </c>
      <c r="E31" s="234" t="s">
        <v>870</v>
      </c>
      <c r="F31" s="161"/>
      <c r="G31" s="161"/>
      <c r="H31" s="161"/>
      <c r="I31" s="161"/>
      <c r="J31" s="161"/>
      <c r="K31" s="161"/>
      <c r="L31" s="161"/>
      <c r="M31" s="161"/>
      <c r="N31" s="161"/>
      <c r="O31" s="161"/>
      <c r="P31" s="161"/>
      <c r="Q31" s="161"/>
      <c r="R31" s="161"/>
      <c r="S31" s="161"/>
      <c r="T31" s="161"/>
      <c r="U31" s="161"/>
      <c r="V31" s="206"/>
      <c r="W31" s="206"/>
      <c r="X31" s="206"/>
      <c r="Y31" s="153"/>
      <c r="Z31" s="239">
        <f>Z32</f>
        <v>0</v>
      </c>
      <c r="AA31" s="239">
        <f>AA32</f>
        <v>0</v>
      </c>
      <c r="AB31" s="239">
        <f>AB32</f>
        <v>0</v>
      </c>
      <c r="AC31" s="570">
        <f>AC32</f>
        <v>0</v>
      </c>
    </row>
    <row r="32" spans="1:31" s="275" customFormat="1" ht="87.75" hidden="1" customHeight="1" x14ac:dyDescent="0.3">
      <c r="A32" s="135" t="s">
        <v>281</v>
      </c>
      <c r="B32" s="136" t="s">
        <v>15</v>
      </c>
      <c r="C32" s="136" t="s">
        <v>122</v>
      </c>
      <c r="D32" s="136" t="s">
        <v>136</v>
      </c>
      <c r="E32" s="234" t="s">
        <v>870</v>
      </c>
      <c r="F32" s="136"/>
      <c r="G32" s="136"/>
      <c r="H32" s="136"/>
      <c r="I32" s="136"/>
      <c r="J32" s="136"/>
      <c r="K32" s="136"/>
      <c r="L32" s="136"/>
      <c r="M32" s="136"/>
      <c r="N32" s="136"/>
      <c r="O32" s="136"/>
      <c r="P32" s="136"/>
      <c r="Q32" s="136"/>
      <c r="R32" s="136"/>
      <c r="S32" s="136"/>
      <c r="T32" s="136" t="s">
        <v>275</v>
      </c>
      <c r="U32" s="136"/>
      <c r="V32" s="137"/>
      <c r="W32" s="137"/>
      <c r="X32" s="137"/>
      <c r="Y32" s="135"/>
      <c r="Z32" s="212">
        <v>0</v>
      </c>
      <c r="AA32" s="212">
        <v>0</v>
      </c>
      <c r="AB32" s="212">
        <v>0</v>
      </c>
      <c r="AC32" s="571"/>
    </row>
    <row r="33" spans="1:29" ht="84.75" customHeight="1" x14ac:dyDescent="0.3">
      <c r="A33" s="153" t="s">
        <v>283</v>
      </c>
      <c r="B33" s="161" t="s">
        <v>15</v>
      </c>
      <c r="C33" s="161" t="s">
        <v>122</v>
      </c>
      <c r="D33" s="161" t="s">
        <v>136</v>
      </c>
      <c r="E33" s="234" t="s">
        <v>528</v>
      </c>
      <c r="F33" s="161"/>
      <c r="G33" s="161"/>
      <c r="H33" s="161"/>
      <c r="I33" s="161"/>
      <c r="J33" s="161"/>
      <c r="K33" s="161"/>
      <c r="L33" s="161"/>
      <c r="M33" s="161"/>
      <c r="N33" s="161"/>
      <c r="O33" s="161"/>
      <c r="P33" s="161"/>
      <c r="Q33" s="161"/>
      <c r="R33" s="161"/>
      <c r="S33" s="161"/>
      <c r="T33" s="161"/>
      <c r="U33" s="161"/>
      <c r="V33" s="206"/>
      <c r="W33" s="206"/>
      <c r="X33" s="206"/>
      <c r="Y33" s="153" t="s">
        <v>283</v>
      </c>
      <c r="Z33" s="239">
        <f>Z34+Z35</f>
        <v>150000</v>
      </c>
      <c r="AA33" s="239">
        <f>AA34+AA35</f>
        <v>150000</v>
      </c>
      <c r="AB33" s="239">
        <f>AB34+AB35</f>
        <v>150000</v>
      </c>
      <c r="AC33" s="568" t="s">
        <v>283</v>
      </c>
    </row>
    <row r="34" spans="1:29" ht="114.75" customHeight="1" x14ac:dyDescent="0.3">
      <c r="A34" s="154" t="s">
        <v>726</v>
      </c>
      <c r="B34" s="136" t="s">
        <v>15</v>
      </c>
      <c r="C34" s="136" t="s">
        <v>122</v>
      </c>
      <c r="D34" s="136" t="s">
        <v>136</v>
      </c>
      <c r="E34" s="234" t="s">
        <v>528</v>
      </c>
      <c r="F34" s="136"/>
      <c r="G34" s="136"/>
      <c r="H34" s="136"/>
      <c r="I34" s="136"/>
      <c r="J34" s="136"/>
      <c r="K34" s="136"/>
      <c r="L34" s="136"/>
      <c r="M34" s="136"/>
      <c r="N34" s="136"/>
      <c r="O34" s="136"/>
      <c r="P34" s="136"/>
      <c r="Q34" s="136"/>
      <c r="R34" s="136"/>
      <c r="S34" s="136"/>
      <c r="T34" s="136" t="s">
        <v>38</v>
      </c>
      <c r="U34" s="136"/>
      <c r="V34" s="137"/>
      <c r="W34" s="137"/>
      <c r="X34" s="137"/>
      <c r="Y34" s="154" t="s">
        <v>284</v>
      </c>
      <c r="Z34" s="212">
        <v>100000</v>
      </c>
      <c r="AA34" s="212">
        <v>100000</v>
      </c>
      <c r="AB34" s="212">
        <v>100000</v>
      </c>
      <c r="AC34" s="569" t="s">
        <v>284</v>
      </c>
    </row>
    <row r="35" spans="1:29" ht="72.75" customHeight="1" x14ac:dyDescent="0.3">
      <c r="A35" s="135" t="s">
        <v>565</v>
      </c>
      <c r="B35" s="136" t="s">
        <v>15</v>
      </c>
      <c r="C35" s="136" t="s">
        <v>122</v>
      </c>
      <c r="D35" s="136" t="s">
        <v>136</v>
      </c>
      <c r="E35" s="234" t="s">
        <v>528</v>
      </c>
      <c r="F35" s="136"/>
      <c r="G35" s="136"/>
      <c r="H35" s="136"/>
      <c r="I35" s="136"/>
      <c r="J35" s="136"/>
      <c r="K35" s="136"/>
      <c r="L35" s="136"/>
      <c r="M35" s="136"/>
      <c r="N35" s="136"/>
      <c r="O35" s="136"/>
      <c r="P35" s="136"/>
      <c r="Q35" s="136"/>
      <c r="R35" s="136"/>
      <c r="S35" s="136"/>
      <c r="T35" s="136" t="s">
        <v>275</v>
      </c>
      <c r="U35" s="136"/>
      <c r="V35" s="137"/>
      <c r="W35" s="137"/>
      <c r="X35" s="137"/>
      <c r="Y35" s="135" t="s">
        <v>285</v>
      </c>
      <c r="Z35" s="212">
        <v>50000</v>
      </c>
      <c r="AA35" s="212">
        <v>50000</v>
      </c>
      <c r="AB35" s="212">
        <v>50000</v>
      </c>
      <c r="AC35" s="213" t="s">
        <v>285</v>
      </c>
    </row>
    <row r="36" spans="1:29" ht="39.75" customHeight="1" x14ac:dyDescent="0.3">
      <c r="A36" s="159" t="s">
        <v>137</v>
      </c>
      <c r="B36" s="160" t="s">
        <v>15</v>
      </c>
      <c r="C36" s="160" t="s">
        <v>122</v>
      </c>
      <c r="D36" s="160" t="s">
        <v>124</v>
      </c>
      <c r="E36" s="160"/>
      <c r="F36" s="160"/>
      <c r="G36" s="160"/>
      <c r="H36" s="160"/>
      <c r="I36" s="160"/>
      <c r="J36" s="160"/>
      <c r="K36" s="160"/>
      <c r="L36" s="160"/>
      <c r="M36" s="160"/>
      <c r="N36" s="160"/>
      <c r="O36" s="160"/>
      <c r="P36" s="160"/>
      <c r="Q36" s="160"/>
      <c r="R36" s="160"/>
      <c r="S36" s="160"/>
      <c r="T36" s="160"/>
      <c r="U36" s="160"/>
      <c r="V36" s="214"/>
      <c r="W36" s="214"/>
      <c r="X36" s="214"/>
      <c r="Y36" s="159" t="s">
        <v>137</v>
      </c>
      <c r="Z36" s="215">
        <f>Z37</f>
        <v>27892</v>
      </c>
      <c r="AA36" s="215">
        <f t="shared" ref="Z36:AB37" si="2">AA37</f>
        <v>29405</v>
      </c>
      <c r="AB36" s="215">
        <f t="shared" si="2"/>
        <v>31153</v>
      </c>
      <c r="AC36" s="583" t="s">
        <v>137</v>
      </c>
    </row>
    <row r="37" spans="1:29" ht="79.5" customHeight="1" x14ac:dyDescent="0.3">
      <c r="A37" s="295" t="s">
        <v>230</v>
      </c>
      <c r="B37" s="161" t="s">
        <v>15</v>
      </c>
      <c r="C37" s="161" t="s">
        <v>122</v>
      </c>
      <c r="D37" s="161" t="s">
        <v>124</v>
      </c>
      <c r="E37" s="161" t="s">
        <v>1424</v>
      </c>
      <c r="F37" s="161"/>
      <c r="G37" s="161"/>
      <c r="H37" s="161"/>
      <c r="I37" s="161"/>
      <c r="J37" s="161"/>
      <c r="K37" s="161"/>
      <c r="L37" s="161"/>
      <c r="M37" s="161"/>
      <c r="N37" s="161"/>
      <c r="O37" s="161"/>
      <c r="P37" s="161"/>
      <c r="Q37" s="161"/>
      <c r="R37" s="161"/>
      <c r="S37" s="161"/>
      <c r="T37" s="161"/>
      <c r="U37" s="161"/>
      <c r="V37" s="206"/>
      <c r="W37" s="206"/>
      <c r="X37" s="206"/>
      <c r="Y37" s="153" t="s">
        <v>230</v>
      </c>
      <c r="Z37" s="239">
        <f t="shared" si="2"/>
        <v>27892</v>
      </c>
      <c r="AA37" s="239">
        <f t="shared" si="2"/>
        <v>29405</v>
      </c>
      <c r="AB37" s="239">
        <f t="shared" si="2"/>
        <v>31153</v>
      </c>
      <c r="AC37" s="568" t="s">
        <v>230</v>
      </c>
    </row>
    <row r="38" spans="1:29" ht="54" customHeight="1" x14ac:dyDescent="0.3">
      <c r="A38" s="343" t="s">
        <v>565</v>
      </c>
      <c r="B38" s="136" t="s">
        <v>15</v>
      </c>
      <c r="C38" s="136" t="s">
        <v>122</v>
      </c>
      <c r="D38" s="136" t="s">
        <v>124</v>
      </c>
      <c r="E38" s="161" t="s">
        <v>1424</v>
      </c>
      <c r="F38" s="136"/>
      <c r="G38" s="136"/>
      <c r="H38" s="136"/>
      <c r="I38" s="136"/>
      <c r="J38" s="136"/>
      <c r="K38" s="136"/>
      <c r="L38" s="136"/>
      <c r="M38" s="136"/>
      <c r="N38" s="136"/>
      <c r="O38" s="136"/>
      <c r="P38" s="136"/>
      <c r="Q38" s="136"/>
      <c r="R38" s="136"/>
      <c r="S38" s="136"/>
      <c r="T38" s="136" t="s">
        <v>275</v>
      </c>
      <c r="U38" s="136"/>
      <c r="V38" s="137"/>
      <c r="W38" s="137"/>
      <c r="X38" s="137"/>
      <c r="Y38" s="135" t="s">
        <v>286</v>
      </c>
      <c r="Z38" s="212">
        <f>27900-8</f>
        <v>27892</v>
      </c>
      <c r="AA38" s="212">
        <f>29400+5</f>
        <v>29405</v>
      </c>
      <c r="AB38" s="212">
        <f>31100+53</f>
        <v>31153</v>
      </c>
      <c r="AC38" s="213" t="s">
        <v>286</v>
      </c>
    </row>
    <row r="39" spans="1:29" ht="74.25" customHeight="1" x14ac:dyDescent="0.3">
      <c r="A39" s="159" t="s">
        <v>250</v>
      </c>
      <c r="B39" s="160" t="s">
        <v>15</v>
      </c>
      <c r="C39" s="160" t="s">
        <v>122</v>
      </c>
      <c r="D39" s="160" t="s">
        <v>125</v>
      </c>
      <c r="E39" s="160"/>
      <c r="F39" s="160"/>
      <c r="G39" s="160"/>
      <c r="H39" s="160"/>
      <c r="I39" s="160"/>
      <c r="J39" s="160"/>
      <c r="K39" s="160"/>
      <c r="L39" s="160"/>
      <c r="M39" s="160"/>
      <c r="N39" s="160"/>
      <c r="O39" s="160"/>
      <c r="P39" s="160"/>
      <c r="Q39" s="160"/>
      <c r="R39" s="160"/>
      <c r="S39" s="160"/>
      <c r="T39" s="160"/>
      <c r="U39" s="160"/>
      <c r="V39" s="214"/>
      <c r="W39" s="214"/>
      <c r="X39" s="214"/>
      <c r="Y39" s="159" t="s">
        <v>250</v>
      </c>
      <c r="Z39" s="215">
        <f t="shared" ref="Z39:AB40" si="3">Z40</f>
        <v>570430.68000000005</v>
      </c>
      <c r="AA39" s="215">
        <f t="shared" si="3"/>
        <v>570430.68000000005</v>
      </c>
      <c r="AB39" s="215">
        <f t="shared" si="3"/>
        <v>570430.68000000005</v>
      </c>
      <c r="AC39" s="292" t="s">
        <v>250</v>
      </c>
    </row>
    <row r="40" spans="1:29" ht="74.45" customHeight="1" x14ac:dyDescent="0.3">
      <c r="A40" s="153" t="s">
        <v>239</v>
      </c>
      <c r="B40" s="161" t="s">
        <v>15</v>
      </c>
      <c r="C40" s="161" t="s">
        <v>122</v>
      </c>
      <c r="D40" s="161" t="s">
        <v>125</v>
      </c>
      <c r="E40" s="234" t="s">
        <v>529</v>
      </c>
      <c r="F40" s="161"/>
      <c r="G40" s="161"/>
      <c r="H40" s="161"/>
      <c r="I40" s="161"/>
      <c r="J40" s="161"/>
      <c r="K40" s="161"/>
      <c r="L40" s="161"/>
      <c r="M40" s="161"/>
      <c r="N40" s="161"/>
      <c r="O40" s="161"/>
      <c r="P40" s="161"/>
      <c r="Q40" s="161"/>
      <c r="R40" s="161"/>
      <c r="S40" s="161"/>
      <c r="T40" s="161"/>
      <c r="U40" s="161"/>
      <c r="V40" s="206"/>
      <c r="W40" s="206"/>
      <c r="X40" s="206"/>
      <c r="Y40" s="153" t="s">
        <v>239</v>
      </c>
      <c r="Z40" s="239">
        <f t="shared" si="3"/>
        <v>570430.68000000005</v>
      </c>
      <c r="AA40" s="239">
        <f t="shared" si="3"/>
        <v>570430.68000000005</v>
      </c>
      <c r="AB40" s="239">
        <f t="shared" si="3"/>
        <v>570430.68000000005</v>
      </c>
      <c r="AC40" s="568" t="s">
        <v>239</v>
      </c>
    </row>
    <row r="41" spans="1:29" ht="115.5" customHeight="1" x14ac:dyDescent="0.3">
      <c r="A41" s="154" t="s">
        <v>726</v>
      </c>
      <c r="B41" s="136" t="s">
        <v>15</v>
      </c>
      <c r="C41" s="136" t="s">
        <v>122</v>
      </c>
      <c r="D41" s="136" t="s">
        <v>125</v>
      </c>
      <c r="E41" s="234" t="s">
        <v>529</v>
      </c>
      <c r="F41" s="136"/>
      <c r="G41" s="136"/>
      <c r="H41" s="136"/>
      <c r="I41" s="136"/>
      <c r="J41" s="136"/>
      <c r="K41" s="136"/>
      <c r="L41" s="136"/>
      <c r="M41" s="136"/>
      <c r="N41" s="136"/>
      <c r="O41" s="136"/>
      <c r="P41" s="136"/>
      <c r="Q41" s="136"/>
      <c r="R41" s="136"/>
      <c r="S41" s="136"/>
      <c r="T41" s="136" t="s">
        <v>38</v>
      </c>
      <c r="U41" s="136"/>
      <c r="V41" s="137"/>
      <c r="W41" s="137"/>
      <c r="X41" s="137"/>
      <c r="Y41" s="154" t="s">
        <v>287</v>
      </c>
      <c r="Z41" s="212">
        <f>408410.1+1114.06+123339.85+21315+16251.67</f>
        <v>570430.68000000005</v>
      </c>
      <c r="AA41" s="212">
        <v>570430.68000000005</v>
      </c>
      <c r="AB41" s="212">
        <v>570430.68000000005</v>
      </c>
      <c r="AC41" s="569" t="s">
        <v>287</v>
      </c>
    </row>
    <row r="42" spans="1:29" ht="42.75" customHeight="1" x14ac:dyDescent="0.35">
      <c r="A42" s="209" t="s">
        <v>139</v>
      </c>
      <c r="B42" s="160" t="s">
        <v>15</v>
      </c>
      <c r="C42" s="160" t="s">
        <v>122</v>
      </c>
      <c r="D42" s="160" t="s">
        <v>138</v>
      </c>
      <c r="E42" s="139"/>
      <c r="F42" s="216"/>
      <c r="G42" s="216"/>
      <c r="H42" s="216"/>
      <c r="I42" s="216"/>
      <c r="J42" s="216"/>
      <c r="K42" s="216"/>
      <c r="L42" s="216"/>
      <c r="M42" s="216"/>
      <c r="N42" s="216"/>
      <c r="O42" s="216"/>
      <c r="P42" s="216"/>
      <c r="Q42" s="216"/>
      <c r="R42" s="216"/>
      <c r="S42" s="216"/>
      <c r="T42" s="216"/>
      <c r="U42" s="216"/>
      <c r="V42" s="217"/>
      <c r="W42" s="217"/>
      <c r="X42" s="217"/>
      <c r="Y42" s="218"/>
      <c r="Z42" s="215">
        <f t="shared" ref="Z42:AB43" si="4">Z43</f>
        <v>2646000</v>
      </c>
      <c r="AA42" s="219">
        <f t="shared" si="4"/>
        <v>0</v>
      </c>
      <c r="AB42" s="219">
        <f t="shared" si="4"/>
        <v>0</v>
      </c>
      <c r="AC42" s="569"/>
    </row>
    <row r="43" spans="1:29" ht="170.25" customHeight="1" x14ac:dyDescent="0.3">
      <c r="A43" s="492" t="s">
        <v>1239</v>
      </c>
      <c r="B43" s="161" t="s">
        <v>15</v>
      </c>
      <c r="C43" s="161" t="s">
        <v>122</v>
      </c>
      <c r="D43" s="161" t="s">
        <v>138</v>
      </c>
      <c r="E43" s="234" t="s">
        <v>713</v>
      </c>
      <c r="F43" s="136"/>
      <c r="G43" s="136"/>
      <c r="H43" s="136"/>
      <c r="I43" s="136"/>
      <c r="J43" s="136"/>
      <c r="K43" s="136"/>
      <c r="L43" s="136"/>
      <c r="M43" s="136"/>
      <c r="N43" s="136"/>
      <c r="O43" s="136"/>
      <c r="P43" s="136"/>
      <c r="Q43" s="136"/>
      <c r="R43" s="136"/>
      <c r="S43" s="136"/>
      <c r="T43" s="136"/>
      <c r="U43" s="136"/>
      <c r="V43" s="137"/>
      <c r="W43" s="137"/>
      <c r="X43" s="137"/>
      <c r="Y43" s="154"/>
      <c r="Z43" s="212">
        <f t="shared" si="4"/>
        <v>2646000</v>
      </c>
      <c r="AA43" s="212">
        <f t="shared" si="4"/>
        <v>0</v>
      </c>
      <c r="AB43" s="212">
        <f t="shared" si="4"/>
        <v>0</v>
      </c>
      <c r="AC43" s="569"/>
    </row>
    <row r="44" spans="1:29" ht="39.75" customHeight="1" x14ac:dyDescent="0.3">
      <c r="A44" s="154" t="s">
        <v>724</v>
      </c>
      <c r="B44" s="161" t="s">
        <v>15</v>
      </c>
      <c r="C44" s="161" t="s">
        <v>122</v>
      </c>
      <c r="D44" s="161" t="s">
        <v>138</v>
      </c>
      <c r="E44" s="234" t="s">
        <v>713</v>
      </c>
      <c r="F44" s="136"/>
      <c r="G44" s="136"/>
      <c r="H44" s="136"/>
      <c r="I44" s="136"/>
      <c r="J44" s="136"/>
      <c r="K44" s="136"/>
      <c r="L44" s="136"/>
      <c r="M44" s="136"/>
      <c r="N44" s="136"/>
      <c r="O44" s="136"/>
      <c r="P44" s="136"/>
      <c r="Q44" s="136"/>
      <c r="R44" s="136"/>
      <c r="S44" s="136"/>
      <c r="T44" s="136" t="s">
        <v>243</v>
      </c>
      <c r="U44" s="136"/>
      <c r="V44" s="137"/>
      <c r="W44" s="137"/>
      <c r="X44" s="137"/>
      <c r="Y44" s="154"/>
      <c r="Z44" s="212">
        <v>2646000</v>
      </c>
      <c r="AA44" s="212">
        <v>0</v>
      </c>
      <c r="AB44" s="212">
        <v>0</v>
      </c>
      <c r="AC44" s="569"/>
    </row>
    <row r="45" spans="1:29" ht="28.5" customHeight="1" x14ac:dyDescent="0.3">
      <c r="A45" s="159" t="s">
        <v>140</v>
      </c>
      <c r="B45" s="160" t="s">
        <v>15</v>
      </c>
      <c r="C45" s="160" t="s">
        <v>122</v>
      </c>
      <c r="D45" s="160" t="s">
        <v>128</v>
      </c>
      <c r="E45" s="160"/>
      <c r="F45" s="160"/>
      <c r="G45" s="160"/>
      <c r="H45" s="160"/>
      <c r="I45" s="160"/>
      <c r="J45" s="160"/>
      <c r="K45" s="160"/>
      <c r="L45" s="160"/>
      <c r="M45" s="160"/>
      <c r="N45" s="160"/>
      <c r="O45" s="160"/>
      <c r="P45" s="160"/>
      <c r="Q45" s="160"/>
      <c r="R45" s="160"/>
      <c r="S45" s="160"/>
      <c r="T45" s="160"/>
      <c r="U45" s="160"/>
      <c r="V45" s="214"/>
      <c r="W45" s="214"/>
      <c r="X45" s="214"/>
      <c r="Y45" s="159" t="s">
        <v>140</v>
      </c>
      <c r="Z45" s="215">
        <f t="shared" ref="Z45:AB46" si="5">Z46</f>
        <v>351931</v>
      </c>
      <c r="AA45" s="215">
        <f t="shared" si="5"/>
        <v>351931</v>
      </c>
      <c r="AB45" s="215">
        <f t="shared" si="5"/>
        <v>351931</v>
      </c>
      <c r="AC45" s="292" t="s">
        <v>140</v>
      </c>
    </row>
    <row r="46" spans="1:29" ht="153" customHeight="1" x14ac:dyDescent="0.3">
      <c r="A46" s="153" t="s">
        <v>1345</v>
      </c>
      <c r="B46" s="161" t="s">
        <v>15</v>
      </c>
      <c r="C46" s="161" t="s">
        <v>122</v>
      </c>
      <c r="D46" s="161" t="s">
        <v>128</v>
      </c>
      <c r="E46" s="234" t="s">
        <v>530</v>
      </c>
      <c r="F46" s="161"/>
      <c r="G46" s="161"/>
      <c r="H46" s="161"/>
      <c r="I46" s="161"/>
      <c r="J46" s="161"/>
      <c r="K46" s="161"/>
      <c r="L46" s="161"/>
      <c r="M46" s="161"/>
      <c r="N46" s="161"/>
      <c r="O46" s="161"/>
      <c r="P46" s="161"/>
      <c r="Q46" s="161"/>
      <c r="R46" s="161"/>
      <c r="S46" s="161"/>
      <c r="T46" s="161"/>
      <c r="U46" s="161"/>
      <c r="V46" s="206"/>
      <c r="W46" s="206"/>
      <c r="X46" s="206"/>
      <c r="Y46" s="153" t="s">
        <v>288</v>
      </c>
      <c r="Z46" s="239">
        <f t="shared" si="5"/>
        <v>351931</v>
      </c>
      <c r="AA46" s="239">
        <f t="shared" si="5"/>
        <v>351931</v>
      </c>
      <c r="AB46" s="239">
        <f t="shared" si="5"/>
        <v>351931</v>
      </c>
      <c r="AC46" s="568" t="s">
        <v>288</v>
      </c>
    </row>
    <row r="47" spans="1:29" ht="30.75" customHeight="1" x14ac:dyDescent="0.3">
      <c r="A47" s="135" t="s">
        <v>763</v>
      </c>
      <c r="B47" s="136" t="s">
        <v>15</v>
      </c>
      <c r="C47" s="136" t="s">
        <v>122</v>
      </c>
      <c r="D47" s="136" t="s">
        <v>128</v>
      </c>
      <c r="E47" s="234" t="s">
        <v>530</v>
      </c>
      <c r="F47" s="136"/>
      <c r="G47" s="136"/>
      <c r="H47" s="136"/>
      <c r="I47" s="136"/>
      <c r="J47" s="136"/>
      <c r="K47" s="136"/>
      <c r="L47" s="136"/>
      <c r="M47" s="136"/>
      <c r="N47" s="136"/>
      <c r="O47" s="136"/>
      <c r="P47" s="136"/>
      <c r="Q47" s="136"/>
      <c r="R47" s="136"/>
      <c r="S47" s="136"/>
      <c r="T47" s="136" t="s">
        <v>243</v>
      </c>
      <c r="U47" s="136"/>
      <c r="V47" s="137"/>
      <c r="W47" s="137"/>
      <c r="X47" s="137"/>
      <c r="Y47" s="135" t="s">
        <v>289</v>
      </c>
      <c r="Z47" s="212">
        <v>351931</v>
      </c>
      <c r="AA47" s="212">
        <v>351931</v>
      </c>
      <c r="AB47" s="212">
        <v>351931</v>
      </c>
      <c r="AC47" s="213" t="s">
        <v>289</v>
      </c>
    </row>
    <row r="48" spans="1:29" ht="32.25" customHeight="1" x14ac:dyDescent="0.3">
      <c r="A48" s="159" t="s">
        <v>141</v>
      </c>
      <c r="B48" s="160" t="s">
        <v>15</v>
      </c>
      <c r="C48" s="160" t="s">
        <v>122</v>
      </c>
      <c r="D48" s="160" t="s">
        <v>130</v>
      </c>
      <c r="E48" s="160"/>
      <c r="F48" s="160"/>
      <c r="G48" s="160"/>
      <c r="H48" s="160"/>
      <c r="I48" s="160"/>
      <c r="J48" s="160"/>
      <c r="K48" s="160"/>
      <c r="L48" s="160"/>
      <c r="M48" s="160"/>
      <c r="N48" s="160"/>
      <c r="O48" s="160"/>
      <c r="P48" s="160"/>
      <c r="Q48" s="160"/>
      <c r="R48" s="160"/>
      <c r="S48" s="160"/>
      <c r="T48" s="160"/>
      <c r="U48" s="160"/>
      <c r="V48" s="214"/>
      <c r="W48" s="214"/>
      <c r="X48" s="214"/>
      <c r="Y48" s="159" t="s">
        <v>141</v>
      </c>
      <c r="Z48" s="215">
        <f>Z49+Z53+Z82+Z88+Z57+Z85+Z55+Z76+Z79+Z51+Z59+Z61+Z64+Z74+Z67+Z72+Z69</f>
        <v>64232452.310000002</v>
      </c>
      <c r="AA48" s="215">
        <f>AA49+AA53+AA82+AA88+AA57+AA85+AA55+AA76+AA79+AA51+AA59+AA61+AA64</f>
        <v>41072730.650000006</v>
      </c>
      <c r="AB48" s="215">
        <f>AB49+AB53+AB82+AB88+AB57+AB85+AB55+AB76+AB79+AB51+AB59+AB61+AB64</f>
        <v>41140359.530000001</v>
      </c>
      <c r="AC48" s="292" t="s">
        <v>141</v>
      </c>
    </row>
    <row r="49" spans="1:31" ht="44.25" hidden="1" customHeight="1" x14ac:dyDescent="0.3">
      <c r="A49" s="153" t="s">
        <v>594</v>
      </c>
      <c r="B49" s="161" t="s">
        <v>15</v>
      </c>
      <c r="C49" s="161" t="s">
        <v>122</v>
      </c>
      <c r="D49" s="161" t="s">
        <v>130</v>
      </c>
      <c r="E49" s="234" t="s">
        <v>531</v>
      </c>
      <c r="F49" s="161"/>
      <c r="G49" s="161"/>
      <c r="H49" s="161"/>
      <c r="I49" s="161"/>
      <c r="J49" s="161"/>
      <c r="K49" s="161"/>
      <c r="L49" s="161"/>
      <c r="M49" s="161"/>
      <c r="N49" s="161"/>
      <c r="O49" s="161"/>
      <c r="P49" s="161"/>
      <c r="Q49" s="161"/>
      <c r="R49" s="161"/>
      <c r="S49" s="161"/>
      <c r="T49" s="161"/>
      <c r="U49" s="161"/>
      <c r="V49" s="206"/>
      <c r="W49" s="206"/>
      <c r="X49" s="206"/>
      <c r="Y49" s="153" t="s">
        <v>290</v>
      </c>
      <c r="Z49" s="239">
        <f>Z50</f>
        <v>0</v>
      </c>
      <c r="AA49" s="239">
        <f>AA50</f>
        <v>0</v>
      </c>
      <c r="AB49" s="239">
        <f>AB50</f>
        <v>0</v>
      </c>
      <c r="AC49" s="568" t="s">
        <v>290</v>
      </c>
    </row>
    <row r="50" spans="1:31" ht="114" hidden="1" customHeight="1" x14ac:dyDescent="0.3">
      <c r="A50" s="135" t="s">
        <v>291</v>
      </c>
      <c r="B50" s="136" t="s">
        <v>15</v>
      </c>
      <c r="C50" s="136" t="s">
        <v>122</v>
      </c>
      <c r="D50" s="136" t="s">
        <v>130</v>
      </c>
      <c r="E50" s="234" t="s">
        <v>531</v>
      </c>
      <c r="F50" s="136"/>
      <c r="G50" s="136"/>
      <c r="H50" s="136"/>
      <c r="I50" s="136"/>
      <c r="J50" s="136"/>
      <c r="K50" s="136"/>
      <c r="L50" s="136"/>
      <c r="M50" s="136"/>
      <c r="N50" s="136"/>
      <c r="O50" s="136"/>
      <c r="P50" s="136"/>
      <c r="Q50" s="136"/>
      <c r="R50" s="136"/>
      <c r="S50" s="136"/>
      <c r="T50" s="136" t="s">
        <v>275</v>
      </c>
      <c r="U50" s="136"/>
      <c r="V50" s="137"/>
      <c r="W50" s="137"/>
      <c r="X50" s="137"/>
      <c r="Y50" s="135" t="s">
        <v>291</v>
      </c>
      <c r="Z50" s="212">
        <f>800000-800000</f>
        <v>0</v>
      </c>
      <c r="AA50" s="212">
        <v>0</v>
      </c>
      <c r="AB50" s="212">
        <v>0</v>
      </c>
      <c r="AC50" s="213" t="s">
        <v>291</v>
      </c>
    </row>
    <row r="51" spans="1:31" ht="173.25" customHeight="1" x14ac:dyDescent="0.3">
      <c r="A51" s="155" t="s">
        <v>1331</v>
      </c>
      <c r="B51" s="136" t="s">
        <v>15</v>
      </c>
      <c r="C51" s="136" t="s">
        <v>122</v>
      </c>
      <c r="D51" s="136" t="s">
        <v>130</v>
      </c>
      <c r="E51" s="234" t="s">
        <v>1125</v>
      </c>
      <c r="F51" s="136"/>
      <c r="G51" s="136"/>
      <c r="H51" s="136"/>
      <c r="I51" s="136"/>
      <c r="J51" s="136"/>
      <c r="K51" s="136"/>
      <c r="L51" s="136"/>
      <c r="M51" s="136"/>
      <c r="N51" s="136"/>
      <c r="O51" s="136"/>
      <c r="P51" s="136"/>
      <c r="Q51" s="136"/>
      <c r="R51" s="136"/>
      <c r="S51" s="136"/>
      <c r="T51" s="136"/>
      <c r="U51" s="136"/>
      <c r="V51" s="137"/>
      <c r="W51" s="137"/>
      <c r="X51" s="137"/>
      <c r="Y51" s="135"/>
      <c r="Z51" s="212">
        <f>Z52</f>
        <v>21986350.640000001</v>
      </c>
      <c r="AA51" s="212">
        <f>AA52</f>
        <v>21986350.640000001</v>
      </c>
      <c r="AB51" s="212">
        <f>AB52</f>
        <v>21986350.640000001</v>
      </c>
      <c r="AC51" s="213"/>
    </row>
    <row r="52" spans="1:31" ht="60" customHeight="1" x14ac:dyDescent="0.3">
      <c r="A52" s="135" t="s">
        <v>711</v>
      </c>
      <c r="B52" s="136" t="s">
        <v>15</v>
      </c>
      <c r="C52" s="136" t="s">
        <v>122</v>
      </c>
      <c r="D52" s="136" t="s">
        <v>130</v>
      </c>
      <c r="E52" s="234" t="s">
        <v>1125</v>
      </c>
      <c r="F52" s="136"/>
      <c r="G52" s="136"/>
      <c r="H52" s="136"/>
      <c r="I52" s="136"/>
      <c r="J52" s="136"/>
      <c r="K52" s="136"/>
      <c r="L52" s="136"/>
      <c r="M52" s="136"/>
      <c r="N52" s="136"/>
      <c r="O52" s="136"/>
      <c r="P52" s="136"/>
      <c r="Q52" s="136"/>
      <c r="R52" s="136"/>
      <c r="S52" s="136"/>
      <c r="T52" s="136" t="s">
        <v>294</v>
      </c>
      <c r="U52" s="136"/>
      <c r="V52" s="137"/>
      <c r="W52" s="137"/>
      <c r="X52" s="137"/>
      <c r="Y52" s="135"/>
      <c r="Z52" s="212">
        <f>12896493+9089857.64</f>
        <v>21986350.640000001</v>
      </c>
      <c r="AA52" s="212">
        <f>12896493+9089857.64</f>
        <v>21986350.640000001</v>
      </c>
      <c r="AB52" s="212">
        <f>12896493+9089857.64</f>
        <v>21986350.640000001</v>
      </c>
      <c r="AC52" s="213"/>
    </row>
    <row r="53" spans="1:31" ht="199.5" customHeight="1" x14ac:dyDescent="0.3">
      <c r="A53" s="153" t="s">
        <v>1420</v>
      </c>
      <c r="B53" s="161" t="s">
        <v>15</v>
      </c>
      <c r="C53" s="161" t="s">
        <v>122</v>
      </c>
      <c r="D53" s="161" t="s">
        <v>130</v>
      </c>
      <c r="E53" s="234" t="s">
        <v>532</v>
      </c>
      <c r="F53" s="161"/>
      <c r="G53" s="161"/>
      <c r="H53" s="161"/>
      <c r="I53" s="161"/>
      <c r="J53" s="161"/>
      <c r="K53" s="161"/>
      <c r="L53" s="161"/>
      <c r="M53" s="161"/>
      <c r="N53" s="161"/>
      <c r="O53" s="161"/>
      <c r="P53" s="161"/>
      <c r="Q53" s="161"/>
      <c r="R53" s="161"/>
      <c r="S53" s="161"/>
      <c r="T53" s="161"/>
      <c r="U53" s="161"/>
      <c r="V53" s="206"/>
      <c r="W53" s="206"/>
      <c r="X53" s="206"/>
      <c r="Y53" s="153" t="s">
        <v>292</v>
      </c>
      <c r="Z53" s="239">
        <f>Z54</f>
        <v>4750000</v>
      </c>
      <c r="AA53" s="239">
        <f>AA54</f>
        <v>0</v>
      </c>
      <c r="AB53" s="239">
        <f>AB54</f>
        <v>0</v>
      </c>
      <c r="AC53" s="568" t="s">
        <v>292</v>
      </c>
    </row>
    <row r="54" spans="1:31" ht="69.75" customHeight="1" thickBot="1" x14ac:dyDescent="0.35">
      <c r="A54" s="154" t="s">
        <v>711</v>
      </c>
      <c r="B54" s="136" t="s">
        <v>15</v>
      </c>
      <c r="C54" s="136" t="s">
        <v>122</v>
      </c>
      <c r="D54" s="136" t="s">
        <v>130</v>
      </c>
      <c r="E54" s="234" t="s">
        <v>532</v>
      </c>
      <c r="F54" s="136"/>
      <c r="G54" s="136"/>
      <c r="H54" s="136"/>
      <c r="I54" s="136"/>
      <c r="J54" s="136"/>
      <c r="K54" s="136"/>
      <c r="L54" s="136"/>
      <c r="M54" s="136"/>
      <c r="N54" s="136"/>
      <c r="O54" s="136"/>
      <c r="P54" s="136"/>
      <c r="Q54" s="136"/>
      <c r="R54" s="136"/>
      <c r="S54" s="136"/>
      <c r="T54" s="136" t="s">
        <v>294</v>
      </c>
      <c r="U54" s="136"/>
      <c r="V54" s="137"/>
      <c r="W54" s="137"/>
      <c r="X54" s="137"/>
      <c r="Y54" s="154" t="s">
        <v>293</v>
      </c>
      <c r="Z54" s="212">
        <f>2580000+2170000</f>
        <v>4750000</v>
      </c>
      <c r="AA54" s="212">
        <v>0</v>
      </c>
      <c r="AB54" s="212">
        <v>0</v>
      </c>
      <c r="AC54" s="569" t="s">
        <v>293</v>
      </c>
    </row>
    <row r="55" spans="1:31" ht="48" hidden="1" customHeight="1" thickBot="1" x14ac:dyDescent="0.35">
      <c r="A55" s="492" t="s">
        <v>1002</v>
      </c>
      <c r="B55" s="136" t="s">
        <v>15</v>
      </c>
      <c r="C55" s="136" t="s">
        <v>122</v>
      </c>
      <c r="D55" s="136" t="s">
        <v>130</v>
      </c>
      <c r="E55" s="234" t="s">
        <v>805</v>
      </c>
      <c r="F55" s="136"/>
      <c r="G55" s="136"/>
      <c r="H55" s="136"/>
      <c r="I55" s="136"/>
      <c r="J55" s="136"/>
      <c r="K55" s="136"/>
      <c r="L55" s="136"/>
      <c r="M55" s="136"/>
      <c r="N55" s="136"/>
      <c r="O55" s="136"/>
      <c r="P55" s="136"/>
      <c r="Q55" s="136"/>
      <c r="R55" s="136"/>
      <c r="S55" s="136"/>
      <c r="T55" s="136"/>
      <c r="U55" s="136"/>
      <c r="V55" s="137"/>
      <c r="W55" s="137"/>
      <c r="X55" s="137"/>
      <c r="Y55" s="154"/>
      <c r="Z55" s="212">
        <f>Z56</f>
        <v>0</v>
      </c>
      <c r="AA55" s="212">
        <v>0</v>
      </c>
      <c r="AB55" s="212">
        <v>0</v>
      </c>
      <c r="AC55" s="569"/>
    </row>
    <row r="56" spans="1:31" ht="45.75" hidden="1" customHeight="1" thickBot="1" x14ac:dyDescent="0.35">
      <c r="A56" s="154" t="s">
        <v>804</v>
      </c>
      <c r="B56" s="136" t="s">
        <v>15</v>
      </c>
      <c r="C56" s="136" t="s">
        <v>122</v>
      </c>
      <c r="D56" s="136" t="s">
        <v>130</v>
      </c>
      <c r="E56" s="234" t="s">
        <v>805</v>
      </c>
      <c r="F56" s="136"/>
      <c r="G56" s="136"/>
      <c r="H56" s="136"/>
      <c r="I56" s="136"/>
      <c r="J56" s="136"/>
      <c r="K56" s="136"/>
      <c r="L56" s="136"/>
      <c r="M56" s="136"/>
      <c r="N56" s="136"/>
      <c r="O56" s="136"/>
      <c r="P56" s="136"/>
      <c r="Q56" s="136"/>
      <c r="R56" s="136"/>
      <c r="S56" s="136"/>
      <c r="T56" s="136" t="s">
        <v>243</v>
      </c>
      <c r="U56" s="136"/>
      <c r="V56" s="137"/>
      <c r="W56" s="137"/>
      <c r="X56" s="137"/>
      <c r="Y56" s="154"/>
      <c r="Z56" s="212">
        <v>0</v>
      </c>
      <c r="AA56" s="212">
        <v>0</v>
      </c>
      <c r="AB56" s="212">
        <v>0</v>
      </c>
      <c r="AC56" s="569"/>
    </row>
    <row r="57" spans="1:31" s="275" customFormat="1" ht="45.75" hidden="1" customHeight="1" thickBot="1" x14ac:dyDescent="0.35">
      <c r="A57" s="155" t="s">
        <v>757</v>
      </c>
      <c r="B57" s="136" t="s">
        <v>15</v>
      </c>
      <c r="C57" s="136" t="s">
        <v>122</v>
      </c>
      <c r="D57" s="136" t="s">
        <v>130</v>
      </c>
      <c r="E57" s="234" t="s">
        <v>755</v>
      </c>
      <c r="F57" s="136"/>
      <c r="G57" s="136"/>
      <c r="H57" s="136"/>
      <c r="I57" s="136"/>
      <c r="J57" s="136"/>
      <c r="K57" s="136"/>
      <c r="L57" s="136"/>
      <c r="M57" s="136"/>
      <c r="N57" s="136"/>
      <c r="O57" s="136"/>
      <c r="P57" s="136"/>
      <c r="Q57" s="136"/>
      <c r="R57" s="136"/>
      <c r="S57" s="136"/>
      <c r="T57" s="136"/>
      <c r="U57" s="136"/>
      <c r="V57" s="137"/>
      <c r="W57" s="137"/>
      <c r="X57" s="137"/>
      <c r="Y57" s="154"/>
      <c r="Z57" s="212">
        <f>Z58</f>
        <v>0</v>
      </c>
      <c r="AA57" s="212">
        <f>AA58</f>
        <v>0</v>
      </c>
      <c r="AB57" s="212">
        <f>AB58</f>
        <v>0</v>
      </c>
      <c r="AC57" s="572"/>
    </row>
    <row r="58" spans="1:31" s="275" customFormat="1" ht="107.25" hidden="1" customHeight="1" thickBot="1" x14ac:dyDescent="0.35">
      <c r="A58" s="154" t="s">
        <v>758</v>
      </c>
      <c r="B58" s="136" t="s">
        <v>15</v>
      </c>
      <c r="C58" s="136" t="s">
        <v>122</v>
      </c>
      <c r="D58" s="136" t="s">
        <v>130</v>
      </c>
      <c r="E58" s="234" t="s">
        <v>755</v>
      </c>
      <c r="F58" s="136"/>
      <c r="G58" s="136"/>
      <c r="H58" s="136"/>
      <c r="I58" s="136"/>
      <c r="J58" s="136"/>
      <c r="K58" s="136"/>
      <c r="L58" s="136"/>
      <c r="M58" s="136"/>
      <c r="N58" s="136"/>
      <c r="O58" s="136"/>
      <c r="P58" s="136"/>
      <c r="Q58" s="136"/>
      <c r="R58" s="136"/>
      <c r="S58" s="136"/>
      <c r="T58" s="136" t="s">
        <v>275</v>
      </c>
      <c r="U58" s="136"/>
      <c r="V58" s="137"/>
      <c r="W58" s="137"/>
      <c r="X58" s="137"/>
      <c r="Y58" s="154"/>
      <c r="Z58" s="212">
        <v>0</v>
      </c>
      <c r="AA58" s="212">
        <v>0</v>
      </c>
      <c r="AB58" s="212">
        <v>0</v>
      </c>
      <c r="AC58" s="572"/>
    </row>
    <row r="59" spans="1:31" s="275" customFormat="1" ht="149.25" customHeight="1" thickBot="1" x14ac:dyDescent="0.35">
      <c r="A59" s="165" t="s">
        <v>1404</v>
      </c>
      <c r="B59" s="136" t="s">
        <v>15</v>
      </c>
      <c r="C59" s="136" t="s">
        <v>122</v>
      </c>
      <c r="D59" s="136" t="s">
        <v>130</v>
      </c>
      <c r="E59" s="234" t="s">
        <v>1388</v>
      </c>
      <c r="F59" s="136"/>
      <c r="G59" s="136"/>
      <c r="H59" s="136"/>
      <c r="I59" s="136"/>
      <c r="J59" s="136"/>
      <c r="K59" s="136"/>
      <c r="L59" s="136"/>
      <c r="M59" s="136"/>
      <c r="N59" s="136"/>
      <c r="O59" s="136"/>
      <c r="P59" s="136"/>
      <c r="Q59" s="136"/>
      <c r="R59" s="136"/>
      <c r="S59" s="136"/>
      <c r="T59" s="136"/>
      <c r="U59" s="136"/>
      <c r="V59" s="137"/>
      <c r="W59" s="137"/>
      <c r="X59" s="137"/>
      <c r="Y59" s="154"/>
      <c r="Z59" s="212">
        <f>Z60</f>
        <v>2427810.9699999997</v>
      </c>
      <c r="AA59" s="212">
        <f>AA60</f>
        <v>3489834.84</v>
      </c>
      <c r="AB59" s="212">
        <f>AB60</f>
        <v>3489834.84</v>
      </c>
      <c r="AC59" s="572"/>
    </row>
    <row r="60" spans="1:31" s="275" customFormat="1" ht="55.5" customHeight="1" x14ac:dyDescent="0.3">
      <c r="A60" s="135" t="s">
        <v>711</v>
      </c>
      <c r="B60" s="136" t="s">
        <v>15</v>
      </c>
      <c r="C60" s="136" t="s">
        <v>122</v>
      </c>
      <c r="D60" s="136" t="s">
        <v>130</v>
      </c>
      <c r="E60" s="234" t="s">
        <v>1388</v>
      </c>
      <c r="F60" s="136"/>
      <c r="G60" s="136"/>
      <c r="H60" s="136"/>
      <c r="I60" s="136"/>
      <c r="J60" s="136"/>
      <c r="K60" s="136"/>
      <c r="L60" s="136"/>
      <c r="M60" s="136"/>
      <c r="N60" s="136"/>
      <c r="O60" s="136"/>
      <c r="P60" s="136"/>
      <c r="Q60" s="136"/>
      <c r="R60" s="136"/>
      <c r="S60" s="136"/>
      <c r="T60" s="136" t="s">
        <v>294</v>
      </c>
      <c r="U60" s="136"/>
      <c r="V60" s="137"/>
      <c r="W60" s="137"/>
      <c r="X60" s="137"/>
      <c r="Y60" s="154"/>
      <c r="Z60" s="212">
        <f>3489834.84+3000000+100000+100000+100000-3000000+40000+40000-1442023.87</f>
        <v>2427810.9699999997</v>
      </c>
      <c r="AA60" s="212">
        <v>3489834.84</v>
      </c>
      <c r="AB60" s="212">
        <v>3489834.84</v>
      </c>
      <c r="AC60" s="572"/>
      <c r="AE60" s="672"/>
    </row>
    <row r="61" spans="1:31" s="275" customFormat="1" ht="162.75" customHeight="1" x14ac:dyDescent="0.3">
      <c r="A61" s="492" t="s">
        <v>1405</v>
      </c>
      <c r="B61" s="136" t="s">
        <v>15</v>
      </c>
      <c r="C61" s="136" t="s">
        <v>122</v>
      </c>
      <c r="D61" s="136" t="s">
        <v>130</v>
      </c>
      <c r="E61" s="234" t="s">
        <v>1389</v>
      </c>
      <c r="F61" s="136"/>
      <c r="G61" s="136"/>
      <c r="H61" s="136"/>
      <c r="I61" s="136"/>
      <c r="J61" s="136"/>
      <c r="K61" s="136"/>
      <c r="L61" s="136"/>
      <c r="M61" s="136"/>
      <c r="N61" s="136"/>
      <c r="O61" s="136"/>
      <c r="P61" s="136"/>
      <c r="Q61" s="136"/>
      <c r="R61" s="136"/>
      <c r="S61" s="136"/>
      <c r="T61" s="136"/>
      <c r="U61" s="136"/>
      <c r="V61" s="137"/>
      <c r="W61" s="137"/>
      <c r="X61" s="137"/>
      <c r="Y61" s="154"/>
      <c r="Z61" s="212">
        <f>Z62+Z63</f>
        <v>8531043.8099999987</v>
      </c>
      <c r="AA61" s="212">
        <f>AA62+AA63</f>
        <v>8281043.8099999996</v>
      </c>
      <c r="AB61" s="212">
        <f>AB62+AB63</f>
        <v>8281043.8099999996</v>
      </c>
      <c r="AC61" s="572"/>
    </row>
    <row r="62" spans="1:31" s="275" customFormat="1" ht="103.5" customHeight="1" x14ac:dyDescent="0.3">
      <c r="A62" s="154" t="s">
        <v>726</v>
      </c>
      <c r="B62" s="136" t="s">
        <v>15</v>
      </c>
      <c r="C62" s="136" t="s">
        <v>122</v>
      </c>
      <c r="D62" s="136" t="s">
        <v>130</v>
      </c>
      <c r="E62" s="234" t="s">
        <v>1389</v>
      </c>
      <c r="F62" s="136"/>
      <c r="G62" s="136"/>
      <c r="H62" s="136"/>
      <c r="I62" s="136"/>
      <c r="J62" s="136"/>
      <c r="K62" s="136"/>
      <c r="L62" s="136"/>
      <c r="M62" s="136"/>
      <c r="N62" s="136"/>
      <c r="O62" s="136"/>
      <c r="P62" s="136"/>
      <c r="Q62" s="136"/>
      <c r="R62" s="136"/>
      <c r="S62" s="136"/>
      <c r="T62" s="136" t="s">
        <v>38</v>
      </c>
      <c r="U62" s="136"/>
      <c r="V62" s="137"/>
      <c r="W62" s="137"/>
      <c r="X62" s="137"/>
      <c r="Y62" s="154"/>
      <c r="Z62" s="212">
        <f>8281043.81-100000+100000</f>
        <v>8281043.8099999996</v>
      </c>
      <c r="AA62" s="212">
        <v>8181043.8099999996</v>
      </c>
      <c r="AB62" s="212">
        <v>8181043.8099999996</v>
      </c>
      <c r="AC62" s="572"/>
    </row>
    <row r="63" spans="1:31" s="275" customFormat="1" ht="60" customHeight="1" x14ac:dyDescent="0.3">
      <c r="A63" s="154" t="s">
        <v>565</v>
      </c>
      <c r="B63" s="136" t="s">
        <v>15</v>
      </c>
      <c r="C63" s="136" t="s">
        <v>122</v>
      </c>
      <c r="D63" s="136" t="s">
        <v>130</v>
      </c>
      <c r="E63" s="234" t="s">
        <v>1389</v>
      </c>
      <c r="F63" s="136"/>
      <c r="G63" s="136"/>
      <c r="H63" s="136"/>
      <c r="I63" s="136"/>
      <c r="J63" s="136"/>
      <c r="K63" s="136"/>
      <c r="L63" s="136"/>
      <c r="M63" s="136"/>
      <c r="N63" s="136"/>
      <c r="O63" s="136"/>
      <c r="P63" s="136"/>
      <c r="Q63" s="136"/>
      <c r="R63" s="136"/>
      <c r="S63" s="136"/>
      <c r="T63" s="136" t="s">
        <v>275</v>
      </c>
      <c r="U63" s="136"/>
      <c r="V63" s="137"/>
      <c r="W63" s="137"/>
      <c r="X63" s="137"/>
      <c r="Y63" s="154"/>
      <c r="Z63" s="212">
        <f>100000+150000</f>
        <v>250000</v>
      </c>
      <c r="AA63" s="212">
        <v>100000</v>
      </c>
      <c r="AB63" s="212">
        <v>100000</v>
      </c>
      <c r="AC63" s="572"/>
    </row>
    <row r="64" spans="1:31" s="275" customFormat="1" ht="162" customHeight="1" x14ac:dyDescent="0.3">
      <c r="A64" s="492" t="s">
        <v>1406</v>
      </c>
      <c r="B64" s="136" t="s">
        <v>15</v>
      </c>
      <c r="C64" s="136" t="s">
        <v>122</v>
      </c>
      <c r="D64" s="136" t="s">
        <v>130</v>
      </c>
      <c r="E64" s="234" t="s">
        <v>1390</v>
      </c>
      <c r="F64" s="136"/>
      <c r="G64" s="136"/>
      <c r="H64" s="136"/>
      <c r="I64" s="136"/>
      <c r="J64" s="136"/>
      <c r="K64" s="136"/>
      <c r="L64" s="136"/>
      <c r="M64" s="136"/>
      <c r="N64" s="136"/>
      <c r="O64" s="136"/>
      <c r="P64" s="136"/>
      <c r="Q64" s="136"/>
      <c r="R64" s="136"/>
      <c r="S64" s="136"/>
      <c r="T64" s="136"/>
      <c r="U64" s="136"/>
      <c r="V64" s="137"/>
      <c r="W64" s="137"/>
      <c r="X64" s="137"/>
      <c r="Y64" s="154"/>
      <c r="Z64" s="212">
        <f>Z65+Z66</f>
        <v>5531834.3799999999</v>
      </c>
      <c r="AA64" s="212">
        <f>AA65+AA66</f>
        <v>5431834.3799999999</v>
      </c>
      <c r="AB64" s="212">
        <f>AB65+AB66</f>
        <v>5431834.3799999999</v>
      </c>
      <c r="AC64" s="572"/>
    </row>
    <row r="65" spans="1:29" s="275" customFormat="1" ht="99.75" customHeight="1" x14ac:dyDescent="0.3">
      <c r="A65" s="154" t="s">
        <v>726</v>
      </c>
      <c r="B65" s="136" t="s">
        <v>15</v>
      </c>
      <c r="C65" s="136" t="s">
        <v>122</v>
      </c>
      <c r="D65" s="136" t="s">
        <v>130</v>
      </c>
      <c r="E65" s="234" t="s">
        <v>1390</v>
      </c>
      <c r="F65" s="136"/>
      <c r="G65" s="136"/>
      <c r="H65" s="136"/>
      <c r="I65" s="136"/>
      <c r="J65" s="136"/>
      <c r="K65" s="136"/>
      <c r="L65" s="136"/>
      <c r="M65" s="136"/>
      <c r="N65" s="136"/>
      <c r="O65" s="136"/>
      <c r="P65" s="136"/>
      <c r="Q65" s="136"/>
      <c r="R65" s="136"/>
      <c r="S65" s="136"/>
      <c r="T65" s="136" t="s">
        <v>38</v>
      </c>
      <c r="U65" s="136"/>
      <c r="V65" s="137"/>
      <c r="W65" s="137"/>
      <c r="X65" s="137"/>
      <c r="Y65" s="154"/>
      <c r="Z65" s="212">
        <f>5431834.38-100000+100000</f>
        <v>5431834.3799999999</v>
      </c>
      <c r="AA65" s="212">
        <v>5331834.38</v>
      </c>
      <c r="AB65" s="212">
        <v>5331834.38</v>
      </c>
      <c r="AC65" s="572"/>
    </row>
    <row r="66" spans="1:29" s="275" customFormat="1" ht="60" customHeight="1" x14ac:dyDescent="0.3">
      <c r="A66" s="793" t="s">
        <v>565</v>
      </c>
      <c r="B66" s="136" t="s">
        <v>15</v>
      </c>
      <c r="C66" s="136" t="s">
        <v>122</v>
      </c>
      <c r="D66" s="136" t="s">
        <v>130</v>
      </c>
      <c r="E66" s="234" t="s">
        <v>1390</v>
      </c>
      <c r="F66" s="136"/>
      <c r="G66" s="136"/>
      <c r="H66" s="136"/>
      <c r="I66" s="136"/>
      <c r="J66" s="136"/>
      <c r="K66" s="136"/>
      <c r="L66" s="136"/>
      <c r="M66" s="136"/>
      <c r="N66" s="136"/>
      <c r="O66" s="136"/>
      <c r="P66" s="136"/>
      <c r="Q66" s="136"/>
      <c r="R66" s="136"/>
      <c r="S66" s="136"/>
      <c r="T66" s="136" t="s">
        <v>275</v>
      </c>
      <c r="U66" s="136"/>
      <c r="V66" s="137"/>
      <c r="W66" s="137"/>
      <c r="X66" s="137"/>
      <c r="Y66" s="154"/>
      <c r="Z66" s="212">
        <v>100000</v>
      </c>
      <c r="AA66" s="212">
        <v>100000</v>
      </c>
      <c r="AB66" s="212">
        <v>100000</v>
      </c>
      <c r="AC66" s="572"/>
    </row>
    <row r="67" spans="1:29" s="275" customFormat="1" ht="154.5" customHeight="1" x14ac:dyDescent="0.3">
      <c r="A67" s="794" t="s">
        <v>1458</v>
      </c>
      <c r="B67" s="136" t="s">
        <v>15</v>
      </c>
      <c r="C67" s="136" t="s">
        <v>122</v>
      </c>
      <c r="D67" s="136" t="s">
        <v>130</v>
      </c>
      <c r="E67" s="234" t="s">
        <v>1457</v>
      </c>
      <c r="F67" s="136"/>
      <c r="G67" s="136"/>
      <c r="H67" s="136"/>
      <c r="I67" s="136"/>
      <c r="J67" s="136"/>
      <c r="K67" s="136"/>
      <c r="L67" s="136"/>
      <c r="M67" s="136"/>
      <c r="N67" s="136"/>
      <c r="O67" s="136"/>
      <c r="P67" s="136"/>
      <c r="Q67" s="136"/>
      <c r="R67" s="136"/>
      <c r="S67" s="136"/>
      <c r="T67" s="136"/>
      <c r="U67" s="136"/>
      <c r="V67" s="137"/>
      <c r="W67" s="137"/>
      <c r="X67" s="137"/>
      <c r="Y67" s="154"/>
      <c r="Z67" s="212">
        <f>Z68</f>
        <v>3000000</v>
      </c>
      <c r="AA67" s="212">
        <v>0</v>
      </c>
      <c r="AB67" s="212">
        <v>0</v>
      </c>
      <c r="AC67" s="572"/>
    </row>
    <row r="68" spans="1:29" s="275" customFormat="1" ht="60" customHeight="1" thickBot="1" x14ac:dyDescent="0.35">
      <c r="A68" s="264" t="s">
        <v>711</v>
      </c>
      <c r="B68" s="136" t="s">
        <v>15</v>
      </c>
      <c r="C68" s="136" t="s">
        <v>122</v>
      </c>
      <c r="D68" s="136" t="s">
        <v>130</v>
      </c>
      <c r="E68" s="234" t="s">
        <v>1457</v>
      </c>
      <c r="F68" s="136"/>
      <c r="G68" s="136"/>
      <c r="H68" s="136"/>
      <c r="I68" s="136"/>
      <c r="J68" s="136"/>
      <c r="K68" s="136"/>
      <c r="L68" s="136"/>
      <c r="M68" s="136"/>
      <c r="N68" s="136"/>
      <c r="O68" s="136"/>
      <c r="P68" s="136"/>
      <c r="Q68" s="136"/>
      <c r="R68" s="136"/>
      <c r="S68" s="136"/>
      <c r="T68" s="136" t="s">
        <v>294</v>
      </c>
      <c r="U68" s="136"/>
      <c r="V68" s="137"/>
      <c r="W68" s="137"/>
      <c r="X68" s="137"/>
      <c r="Y68" s="154"/>
      <c r="Z68" s="212">
        <v>3000000</v>
      </c>
      <c r="AA68" s="212">
        <v>0</v>
      </c>
      <c r="AB68" s="212">
        <v>0</v>
      </c>
      <c r="AC68" s="572"/>
    </row>
    <row r="69" spans="1:29" s="275" customFormat="1" ht="164.25" customHeight="1" thickBot="1" x14ac:dyDescent="0.35">
      <c r="A69" s="165" t="s">
        <v>1513</v>
      </c>
      <c r="B69" s="249" t="s">
        <v>15</v>
      </c>
      <c r="C69" s="136" t="s">
        <v>122</v>
      </c>
      <c r="D69" s="136" t="s">
        <v>130</v>
      </c>
      <c r="E69" s="234" t="s">
        <v>1514</v>
      </c>
      <c r="F69" s="136"/>
      <c r="G69" s="136"/>
      <c r="H69" s="136"/>
      <c r="I69" s="136"/>
      <c r="J69" s="136"/>
      <c r="K69" s="136"/>
      <c r="L69" s="136"/>
      <c r="M69" s="136"/>
      <c r="N69" s="136"/>
      <c r="O69" s="136"/>
      <c r="P69" s="136"/>
      <c r="Q69" s="136"/>
      <c r="R69" s="136"/>
      <c r="S69" s="136"/>
      <c r="T69" s="136"/>
      <c r="U69" s="136"/>
      <c r="V69" s="137"/>
      <c r="W69" s="137"/>
      <c r="X69" s="137"/>
      <c r="Y69" s="154"/>
      <c r="Z69" s="212">
        <f>Z70+Z71</f>
        <v>1442023.87</v>
      </c>
      <c r="AA69" s="212">
        <v>0</v>
      </c>
      <c r="AB69" s="212">
        <v>0</v>
      </c>
      <c r="AC69" s="572"/>
    </row>
    <row r="70" spans="1:29" s="275" customFormat="1" ht="113.25" customHeight="1" x14ac:dyDescent="0.3">
      <c r="A70" s="154" t="s">
        <v>726</v>
      </c>
      <c r="B70" s="249" t="s">
        <v>15</v>
      </c>
      <c r="C70" s="136" t="s">
        <v>122</v>
      </c>
      <c r="D70" s="136" t="s">
        <v>130</v>
      </c>
      <c r="E70" s="234" t="s">
        <v>1514</v>
      </c>
      <c r="F70" s="136"/>
      <c r="G70" s="136"/>
      <c r="H70" s="136"/>
      <c r="I70" s="136"/>
      <c r="J70" s="136"/>
      <c r="K70" s="136"/>
      <c r="L70" s="136"/>
      <c r="M70" s="136"/>
      <c r="N70" s="136"/>
      <c r="O70" s="136"/>
      <c r="P70" s="136"/>
      <c r="Q70" s="136"/>
      <c r="R70" s="136"/>
      <c r="S70" s="136"/>
      <c r="T70" s="136" t="s">
        <v>38</v>
      </c>
      <c r="U70" s="136"/>
      <c r="V70" s="137"/>
      <c r="W70" s="137"/>
      <c r="X70" s="137"/>
      <c r="Y70" s="154"/>
      <c r="Z70" s="212">
        <v>1173001.8700000001</v>
      </c>
      <c r="AA70" s="212">
        <v>0</v>
      </c>
      <c r="AB70" s="212">
        <v>0</v>
      </c>
      <c r="AC70" s="572"/>
    </row>
    <row r="71" spans="1:29" s="275" customFormat="1" ht="60" customHeight="1" x14ac:dyDescent="0.3">
      <c r="A71" s="793" t="s">
        <v>565</v>
      </c>
      <c r="B71" s="249" t="s">
        <v>15</v>
      </c>
      <c r="C71" s="136" t="s">
        <v>122</v>
      </c>
      <c r="D71" s="136" t="s">
        <v>130</v>
      </c>
      <c r="E71" s="234" t="s">
        <v>1514</v>
      </c>
      <c r="F71" s="136"/>
      <c r="G71" s="136"/>
      <c r="H71" s="136"/>
      <c r="I71" s="136"/>
      <c r="J71" s="136"/>
      <c r="K71" s="136"/>
      <c r="L71" s="136"/>
      <c r="M71" s="136"/>
      <c r="N71" s="136"/>
      <c r="O71" s="136"/>
      <c r="P71" s="136"/>
      <c r="Q71" s="136"/>
      <c r="R71" s="136"/>
      <c r="S71" s="136"/>
      <c r="T71" s="136" t="s">
        <v>275</v>
      </c>
      <c r="U71" s="136"/>
      <c r="V71" s="137"/>
      <c r="W71" s="137"/>
      <c r="X71" s="137"/>
      <c r="Y71" s="154"/>
      <c r="Z71" s="212">
        <v>269022</v>
      </c>
      <c r="AA71" s="212">
        <v>0</v>
      </c>
      <c r="AB71" s="212">
        <v>0</v>
      </c>
      <c r="AC71" s="572"/>
    </row>
    <row r="72" spans="1:29" s="275" customFormat="1" ht="168" customHeight="1" x14ac:dyDescent="0.3">
      <c r="A72" s="748" t="s">
        <v>1493</v>
      </c>
      <c r="B72" s="861" t="s">
        <v>15</v>
      </c>
      <c r="C72" s="161" t="s">
        <v>122</v>
      </c>
      <c r="D72" s="161" t="s">
        <v>130</v>
      </c>
      <c r="E72" s="234" t="s">
        <v>771</v>
      </c>
      <c r="F72" s="161"/>
      <c r="G72" s="161"/>
      <c r="H72" s="161"/>
      <c r="I72" s="161"/>
      <c r="J72" s="161"/>
      <c r="K72" s="161"/>
      <c r="L72" s="161"/>
      <c r="M72" s="161"/>
      <c r="N72" s="161"/>
      <c r="O72" s="161"/>
      <c r="P72" s="161"/>
      <c r="Q72" s="161"/>
      <c r="R72" s="161"/>
      <c r="S72" s="161"/>
      <c r="T72" s="161"/>
      <c r="U72" s="161"/>
      <c r="V72" s="206"/>
      <c r="W72" s="206"/>
      <c r="X72" s="206"/>
      <c r="Y72" s="155"/>
      <c r="Z72" s="239">
        <f>Z73</f>
        <v>154966</v>
      </c>
      <c r="AA72" s="239">
        <f t="shared" ref="AA72:AB72" si="6">AA73</f>
        <v>0</v>
      </c>
      <c r="AB72" s="239">
        <f t="shared" si="6"/>
        <v>0</v>
      </c>
      <c r="AC72" s="828"/>
    </row>
    <row r="73" spans="1:29" s="829" customFormat="1" ht="26.25" customHeight="1" x14ac:dyDescent="0.3">
      <c r="A73" s="593" t="s">
        <v>763</v>
      </c>
      <c r="B73" s="249" t="s">
        <v>15</v>
      </c>
      <c r="C73" s="136" t="s">
        <v>122</v>
      </c>
      <c r="D73" s="136" t="s">
        <v>130</v>
      </c>
      <c r="E73" s="234" t="s">
        <v>771</v>
      </c>
      <c r="F73" s="136"/>
      <c r="G73" s="136"/>
      <c r="H73" s="136"/>
      <c r="I73" s="136"/>
      <c r="J73" s="136"/>
      <c r="K73" s="136"/>
      <c r="L73" s="136"/>
      <c r="M73" s="136"/>
      <c r="N73" s="136"/>
      <c r="O73" s="136"/>
      <c r="P73" s="136"/>
      <c r="Q73" s="136"/>
      <c r="R73" s="136"/>
      <c r="S73" s="136"/>
      <c r="T73" s="136" t="s">
        <v>243</v>
      </c>
      <c r="U73" s="136"/>
      <c r="V73" s="137"/>
      <c r="W73" s="137"/>
      <c r="X73" s="137"/>
      <c r="Y73" s="154"/>
      <c r="Z73" s="212">
        <f>93800+1348551.43-90351.74+300498.57-197532.26-1300000</f>
        <v>154966</v>
      </c>
      <c r="AA73" s="212">
        <v>0</v>
      </c>
      <c r="AB73" s="212">
        <v>0</v>
      </c>
      <c r="AC73" s="572"/>
    </row>
    <row r="74" spans="1:29" s="275" customFormat="1" ht="152.25" customHeight="1" x14ac:dyDescent="0.3">
      <c r="A74" s="284" t="s">
        <v>1418</v>
      </c>
      <c r="B74" s="140" t="s">
        <v>15</v>
      </c>
      <c r="C74" s="140" t="s">
        <v>122</v>
      </c>
      <c r="D74" s="140" t="s">
        <v>130</v>
      </c>
      <c r="E74" s="234" t="s">
        <v>1419</v>
      </c>
      <c r="F74" s="140"/>
      <c r="G74" s="140"/>
      <c r="H74" s="140"/>
      <c r="I74" s="140"/>
      <c r="J74" s="140"/>
      <c r="K74" s="140"/>
      <c r="L74" s="140"/>
      <c r="M74" s="140"/>
      <c r="N74" s="140"/>
      <c r="O74" s="140"/>
      <c r="P74" s="140"/>
      <c r="Q74" s="140"/>
      <c r="R74" s="140"/>
      <c r="S74" s="140"/>
      <c r="T74" s="140"/>
      <c r="U74" s="136"/>
      <c r="V74" s="137"/>
      <c r="W74" s="137"/>
      <c r="X74" s="137"/>
      <c r="Y74" s="154"/>
      <c r="Z74" s="212">
        <f>Z75</f>
        <v>12625117.310000001</v>
      </c>
      <c r="AA74" s="212">
        <v>0</v>
      </c>
      <c r="AB74" s="212">
        <v>0</v>
      </c>
      <c r="AC74" s="572"/>
    </row>
    <row r="75" spans="1:29" s="275" customFormat="1" ht="60" customHeight="1" x14ac:dyDescent="0.3">
      <c r="A75" s="154" t="s">
        <v>565</v>
      </c>
      <c r="B75" s="140" t="s">
        <v>15</v>
      </c>
      <c r="C75" s="140" t="s">
        <v>122</v>
      </c>
      <c r="D75" s="140" t="s">
        <v>130</v>
      </c>
      <c r="E75" s="234" t="s">
        <v>1419</v>
      </c>
      <c r="F75" s="140"/>
      <c r="G75" s="140"/>
      <c r="H75" s="140"/>
      <c r="I75" s="140"/>
      <c r="J75" s="140"/>
      <c r="K75" s="140"/>
      <c r="L75" s="140"/>
      <c r="M75" s="140"/>
      <c r="N75" s="140"/>
      <c r="O75" s="140"/>
      <c r="P75" s="140"/>
      <c r="Q75" s="140"/>
      <c r="R75" s="140"/>
      <c r="S75" s="140"/>
      <c r="T75" s="140" t="s">
        <v>275</v>
      </c>
      <c r="U75" s="136"/>
      <c r="V75" s="137"/>
      <c r="W75" s="137"/>
      <c r="X75" s="137"/>
      <c r="Y75" s="154"/>
      <c r="Z75" s="212">
        <f>10665000+2300000-339882.69</f>
        <v>12625117.310000001</v>
      </c>
      <c r="AA75" s="212">
        <v>0</v>
      </c>
      <c r="AB75" s="212">
        <v>0</v>
      </c>
      <c r="AC75" s="572"/>
    </row>
    <row r="76" spans="1:29" s="275" customFormat="1" ht="186" customHeight="1" x14ac:dyDescent="0.3">
      <c r="A76" s="286" t="s">
        <v>1296</v>
      </c>
      <c r="B76" s="136" t="s">
        <v>15</v>
      </c>
      <c r="C76" s="136" t="s">
        <v>122</v>
      </c>
      <c r="D76" s="136" t="s">
        <v>130</v>
      </c>
      <c r="E76" s="234" t="s">
        <v>910</v>
      </c>
      <c r="F76" s="136"/>
      <c r="G76" s="136"/>
      <c r="H76" s="136"/>
      <c r="I76" s="136"/>
      <c r="J76" s="136"/>
      <c r="K76" s="136"/>
      <c r="L76" s="136"/>
      <c r="M76" s="136"/>
      <c r="N76" s="136"/>
      <c r="O76" s="136"/>
      <c r="P76" s="136"/>
      <c r="Q76" s="136"/>
      <c r="R76" s="136"/>
      <c r="S76" s="136"/>
      <c r="T76" s="136"/>
      <c r="U76" s="136"/>
      <c r="V76" s="137"/>
      <c r="W76" s="137"/>
      <c r="X76" s="137"/>
      <c r="Y76" s="154"/>
      <c r="Z76" s="212">
        <f>Z77+Z78</f>
        <v>600773.47</v>
      </c>
      <c r="AA76" s="212">
        <f>AA77+AA78</f>
        <v>624227.66</v>
      </c>
      <c r="AB76" s="212">
        <f>AB77+AB78</f>
        <v>646770.62</v>
      </c>
      <c r="AC76" s="582"/>
    </row>
    <row r="77" spans="1:29" s="275" customFormat="1" ht="106.5" customHeight="1" x14ac:dyDescent="0.3">
      <c r="A77" s="154" t="s">
        <v>726</v>
      </c>
      <c r="B77" s="140" t="s">
        <v>15</v>
      </c>
      <c r="C77" s="136" t="s">
        <v>122</v>
      </c>
      <c r="D77" s="136" t="s">
        <v>130</v>
      </c>
      <c r="E77" s="234" t="s">
        <v>910</v>
      </c>
      <c r="F77" s="140"/>
      <c r="G77" s="140"/>
      <c r="H77" s="140"/>
      <c r="I77" s="140"/>
      <c r="J77" s="140"/>
      <c r="K77" s="140"/>
      <c r="L77" s="140"/>
      <c r="M77" s="140"/>
      <c r="N77" s="140"/>
      <c r="O77" s="140"/>
      <c r="P77" s="140"/>
      <c r="Q77" s="140"/>
      <c r="R77" s="140"/>
      <c r="S77" s="140"/>
      <c r="T77" s="140" t="s">
        <v>38</v>
      </c>
      <c r="U77" s="140"/>
      <c r="V77" s="141"/>
      <c r="W77" s="141"/>
      <c r="X77" s="141"/>
      <c r="Y77" s="142" t="s">
        <v>377</v>
      </c>
      <c r="Z77" s="143">
        <f>539687+21267.24+6135.71-26.53</f>
        <v>567063.41999999993</v>
      </c>
      <c r="AA77" s="144">
        <f>560951.29+29535.71+27.66</f>
        <v>590514.66</v>
      </c>
      <c r="AB77" s="212">
        <f>560951.29+70735.71-18600-29.38</f>
        <v>613057.62</v>
      </c>
      <c r="AC77" s="572"/>
    </row>
    <row r="78" spans="1:29" s="275" customFormat="1" ht="49.5" customHeight="1" x14ac:dyDescent="0.3">
      <c r="A78" s="154" t="s">
        <v>565</v>
      </c>
      <c r="B78" s="140" t="s">
        <v>15</v>
      </c>
      <c r="C78" s="136" t="s">
        <v>122</v>
      </c>
      <c r="D78" s="136" t="s">
        <v>130</v>
      </c>
      <c r="E78" s="234" t="s">
        <v>910</v>
      </c>
      <c r="F78" s="140"/>
      <c r="G78" s="140"/>
      <c r="H78" s="140"/>
      <c r="I78" s="140"/>
      <c r="J78" s="140"/>
      <c r="K78" s="140"/>
      <c r="L78" s="140"/>
      <c r="M78" s="140"/>
      <c r="N78" s="140"/>
      <c r="O78" s="140"/>
      <c r="P78" s="140"/>
      <c r="Q78" s="140"/>
      <c r="R78" s="140"/>
      <c r="S78" s="140"/>
      <c r="T78" s="140" t="s">
        <v>275</v>
      </c>
      <c r="U78" s="140"/>
      <c r="V78" s="141"/>
      <c r="W78" s="141"/>
      <c r="X78" s="141"/>
      <c r="Y78" s="142" t="s">
        <v>378</v>
      </c>
      <c r="Z78" s="143">
        <f>33713-2.95</f>
        <v>33710.050000000003</v>
      </c>
      <c r="AA78" s="144">
        <v>33713</v>
      </c>
      <c r="AB78" s="212">
        <v>33713</v>
      </c>
      <c r="AC78" s="572"/>
    </row>
    <row r="79" spans="1:29" s="275" customFormat="1" ht="281.25" customHeight="1" x14ac:dyDescent="0.3">
      <c r="A79" s="285" t="s">
        <v>1297</v>
      </c>
      <c r="B79" s="140" t="s">
        <v>15</v>
      </c>
      <c r="C79" s="136" t="s">
        <v>122</v>
      </c>
      <c r="D79" s="136" t="s">
        <v>130</v>
      </c>
      <c r="E79" s="234" t="s">
        <v>911</v>
      </c>
      <c r="F79" s="136"/>
      <c r="G79" s="136"/>
      <c r="H79" s="136"/>
      <c r="I79" s="136"/>
      <c r="J79" s="136"/>
      <c r="K79" s="136"/>
      <c r="L79" s="136"/>
      <c r="M79" s="136"/>
      <c r="N79" s="136"/>
      <c r="O79" s="136"/>
      <c r="P79" s="136"/>
      <c r="Q79" s="136"/>
      <c r="R79" s="136"/>
      <c r="S79" s="136"/>
      <c r="T79" s="136"/>
      <c r="U79" s="136"/>
      <c r="V79" s="137"/>
      <c r="W79" s="137"/>
      <c r="X79" s="137"/>
      <c r="Y79" s="154"/>
      <c r="Z79" s="212">
        <f>Z80+Z81</f>
        <v>600773.46999999986</v>
      </c>
      <c r="AA79" s="212">
        <f>AA80+AA81</f>
        <v>624227.65999999992</v>
      </c>
      <c r="AB79" s="212">
        <f>AB80+AB81</f>
        <v>646770.61999999988</v>
      </c>
      <c r="AC79" s="582"/>
    </row>
    <row r="80" spans="1:29" s="275" customFormat="1" ht="101.25" customHeight="1" x14ac:dyDescent="0.3">
      <c r="A80" s="154" t="s">
        <v>727</v>
      </c>
      <c r="B80" s="140" t="s">
        <v>15</v>
      </c>
      <c r="C80" s="140" t="s">
        <v>122</v>
      </c>
      <c r="D80" s="140" t="s">
        <v>130</v>
      </c>
      <c r="E80" s="234" t="s">
        <v>911</v>
      </c>
      <c r="F80" s="140"/>
      <c r="G80" s="140"/>
      <c r="H80" s="140"/>
      <c r="I80" s="140"/>
      <c r="J80" s="140"/>
      <c r="K80" s="140"/>
      <c r="L80" s="140"/>
      <c r="M80" s="140"/>
      <c r="N80" s="140"/>
      <c r="O80" s="140"/>
      <c r="P80" s="140"/>
      <c r="Q80" s="140"/>
      <c r="R80" s="140"/>
      <c r="S80" s="140"/>
      <c r="T80" s="140" t="s">
        <v>38</v>
      </c>
      <c r="U80" s="136"/>
      <c r="V80" s="137"/>
      <c r="W80" s="137"/>
      <c r="X80" s="137"/>
      <c r="Y80" s="154" t="s">
        <v>388</v>
      </c>
      <c r="Z80" s="212">
        <f>540519.58+21267.24+6135.71-26.53</f>
        <v>567895.99999999988</v>
      </c>
      <c r="AA80" s="212">
        <f>561786.82+29535.71+27.66</f>
        <v>591350.18999999994</v>
      </c>
      <c r="AB80" s="212">
        <f>561786.82+70735.71-18600-29.38</f>
        <v>613893.14999999991</v>
      </c>
      <c r="AC80" s="572"/>
    </row>
    <row r="81" spans="1:29" s="275" customFormat="1" ht="71.25" customHeight="1" x14ac:dyDescent="0.3">
      <c r="A81" s="154" t="s">
        <v>565</v>
      </c>
      <c r="B81" s="140" t="s">
        <v>15</v>
      </c>
      <c r="C81" s="140" t="s">
        <v>122</v>
      </c>
      <c r="D81" s="140" t="s">
        <v>130</v>
      </c>
      <c r="E81" s="234" t="s">
        <v>911</v>
      </c>
      <c r="F81" s="140"/>
      <c r="G81" s="140"/>
      <c r="H81" s="140"/>
      <c r="I81" s="140"/>
      <c r="J81" s="140"/>
      <c r="K81" s="140"/>
      <c r="L81" s="140"/>
      <c r="M81" s="140"/>
      <c r="N81" s="140"/>
      <c r="O81" s="140"/>
      <c r="P81" s="140"/>
      <c r="Q81" s="140"/>
      <c r="R81" s="140"/>
      <c r="S81" s="140"/>
      <c r="T81" s="140" t="s">
        <v>275</v>
      </c>
      <c r="U81" s="136"/>
      <c r="V81" s="137"/>
      <c r="W81" s="137"/>
      <c r="X81" s="137"/>
      <c r="Y81" s="154" t="s">
        <v>389</v>
      </c>
      <c r="Z81" s="212">
        <f>32880.42-2.95</f>
        <v>32877.47</v>
      </c>
      <c r="AA81" s="212">
        <v>32877.47</v>
      </c>
      <c r="AB81" s="212">
        <v>32877.47</v>
      </c>
      <c r="AC81" s="572"/>
    </row>
    <row r="82" spans="1:29" ht="190.5" customHeight="1" x14ac:dyDescent="0.3">
      <c r="A82" s="285" t="s">
        <v>1298</v>
      </c>
      <c r="B82" s="234" t="s">
        <v>15</v>
      </c>
      <c r="C82" s="234" t="s">
        <v>122</v>
      </c>
      <c r="D82" s="234" t="s">
        <v>130</v>
      </c>
      <c r="E82" s="234" t="s">
        <v>908</v>
      </c>
      <c r="F82" s="234"/>
      <c r="G82" s="234"/>
      <c r="H82" s="234"/>
      <c r="I82" s="234"/>
      <c r="J82" s="234"/>
      <c r="K82" s="234"/>
      <c r="L82" s="234"/>
      <c r="M82" s="234"/>
      <c r="N82" s="234"/>
      <c r="O82" s="234"/>
      <c r="P82" s="234"/>
      <c r="Q82" s="234"/>
      <c r="R82" s="234"/>
      <c r="S82" s="234"/>
      <c r="T82" s="234"/>
      <c r="U82" s="161"/>
      <c r="V82" s="206"/>
      <c r="W82" s="206"/>
      <c r="X82" s="206"/>
      <c r="Y82" s="155" t="s">
        <v>231</v>
      </c>
      <c r="Z82" s="239">
        <f>Z83+Z84</f>
        <v>611757.47</v>
      </c>
      <c r="AA82" s="239">
        <f>AA83+AA84</f>
        <v>635211.66</v>
      </c>
      <c r="AB82" s="239">
        <f>AB83+AB84</f>
        <v>657754.62</v>
      </c>
      <c r="AC82" s="584" t="s">
        <v>231</v>
      </c>
    </row>
    <row r="83" spans="1:29" ht="115.5" customHeight="1" x14ac:dyDescent="0.3">
      <c r="A83" s="154" t="s">
        <v>726</v>
      </c>
      <c r="B83" s="140" t="s">
        <v>15</v>
      </c>
      <c r="C83" s="140" t="s">
        <v>122</v>
      </c>
      <c r="D83" s="140" t="s">
        <v>130</v>
      </c>
      <c r="E83" s="234" t="s">
        <v>908</v>
      </c>
      <c r="F83" s="140"/>
      <c r="G83" s="140"/>
      <c r="H83" s="140"/>
      <c r="I83" s="140"/>
      <c r="J83" s="140"/>
      <c r="K83" s="140"/>
      <c r="L83" s="140"/>
      <c r="M83" s="140"/>
      <c r="N83" s="140"/>
      <c r="O83" s="140"/>
      <c r="P83" s="140"/>
      <c r="Q83" s="140"/>
      <c r="R83" s="140"/>
      <c r="S83" s="140"/>
      <c r="T83" s="140" t="s">
        <v>38</v>
      </c>
      <c r="U83" s="136"/>
      <c r="V83" s="137"/>
      <c r="W83" s="137"/>
      <c r="X83" s="137"/>
      <c r="Y83" s="154" t="s">
        <v>295</v>
      </c>
      <c r="Z83" s="212">
        <f>538300+21267.24+6151.71-42.53</f>
        <v>565676.41999999993</v>
      </c>
      <c r="AA83" s="212">
        <f>559567.24+29551.71+11.66</f>
        <v>589130.61</v>
      </c>
      <c r="AB83" s="212">
        <f>559567.24+70651.71-18500-45.38</f>
        <v>611673.56999999995</v>
      </c>
      <c r="AC83" s="569" t="s">
        <v>295</v>
      </c>
    </row>
    <row r="84" spans="1:29" ht="56.25" customHeight="1" x14ac:dyDescent="0.3">
      <c r="A84" s="154" t="s">
        <v>565</v>
      </c>
      <c r="B84" s="140" t="s">
        <v>15</v>
      </c>
      <c r="C84" s="140" t="s">
        <v>122</v>
      </c>
      <c r="D84" s="140" t="s">
        <v>130</v>
      </c>
      <c r="E84" s="234" t="s">
        <v>908</v>
      </c>
      <c r="F84" s="140"/>
      <c r="G84" s="140"/>
      <c r="H84" s="140"/>
      <c r="I84" s="140"/>
      <c r="J84" s="140"/>
      <c r="K84" s="140"/>
      <c r="L84" s="140"/>
      <c r="M84" s="140"/>
      <c r="N84" s="140"/>
      <c r="O84" s="140"/>
      <c r="P84" s="140"/>
      <c r="Q84" s="140"/>
      <c r="R84" s="140"/>
      <c r="S84" s="140"/>
      <c r="T84" s="140" t="s">
        <v>275</v>
      </c>
      <c r="U84" s="136"/>
      <c r="V84" s="137"/>
      <c r="W84" s="137"/>
      <c r="X84" s="137"/>
      <c r="Y84" s="154" t="s">
        <v>296</v>
      </c>
      <c r="Z84" s="212">
        <f>46100-18.95</f>
        <v>46081.05</v>
      </c>
      <c r="AA84" s="212">
        <f>46100-18.95</f>
        <v>46081.05</v>
      </c>
      <c r="AB84" s="212">
        <f>46100-18.95</f>
        <v>46081.05</v>
      </c>
      <c r="AC84" s="569" t="s">
        <v>296</v>
      </c>
    </row>
    <row r="85" spans="1:29" ht="58.5" customHeight="1" x14ac:dyDescent="0.3">
      <c r="A85" s="155" t="s">
        <v>1414</v>
      </c>
      <c r="B85" s="140" t="s">
        <v>15</v>
      </c>
      <c r="C85" s="140" t="s">
        <v>122</v>
      </c>
      <c r="D85" s="140" t="s">
        <v>130</v>
      </c>
      <c r="E85" s="234" t="s">
        <v>1415</v>
      </c>
      <c r="F85" s="140"/>
      <c r="G85" s="140"/>
      <c r="H85" s="140"/>
      <c r="I85" s="140"/>
      <c r="J85" s="140"/>
      <c r="K85" s="140"/>
      <c r="L85" s="140"/>
      <c r="M85" s="140"/>
      <c r="N85" s="140"/>
      <c r="O85" s="140"/>
      <c r="P85" s="140"/>
      <c r="Q85" s="140"/>
      <c r="R85" s="140"/>
      <c r="S85" s="140"/>
      <c r="T85" s="140"/>
      <c r="U85" s="136"/>
      <c r="V85" s="137"/>
      <c r="W85" s="137"/>
      <c r="X85" s="137"/>
      <c r="Y85" s="154"/>
      <c r="Z85" s="212">
        <f>Z86</f>
        <v>1970000.92</v>
      </c>
      <c r="AA85" s="212">
        <v>0</v>
      </c>
      <c r="AB85" s="212">
        <v>0</v>
      </c>
      <c r="AC85" s="569"/>
    </row>
    <row r="86" spans="1:29" ht="75.75" customHeight="1" x14ac:dyDescent="0.3">
      <c r="A86" s="154" t="s">
        <v>1422</v>
      </c>
      <c r="B86" s="140" t="s">
        <v>15</v>
      </c>
      <c r="C86" s="140" t="s">
        <v>122</v>
      </c>
      <c r="D86" s="140" t="s">
        <v>130</v>
      </c>
      <c r="E86" s="234" t="s">
        <v>1415</v>
      </c>
      <c r="F86" s="140"/>
      <c r="G86" s="140"/>
      <c r="H86" s="140"/>
      <c r="I86" s="140"/>
      <c r="J86" s="140"/>
      <c r="K86" s="140"/>
      <c r="L86" s="140"/>
      <c r="M86" s="140"/>
      <c r="N86" s="140"/>
      <c r="O86" s="140"/>
      <c r="P86" s="140"/>
      <c r="Q86" s="140"/>
      <c r="R86" s="140"/>
      <c r="S86" s="140"/>
      <c r="T86" s="140" t="s">
        <v>350</v>
      </c>
      <c r="U86" s="136"/>
      <c r="V86" s="137"/>
      <c r="W86" s="137"/>
      <c r="X86" s="137"/>
      <c r="Y86" s="154"/>
      <c r="Z86" s="212">
        <f>520000.47+1450000.45</f>
        <v>1970000.92</v>
      </c>
      <c r="AA86" s="212">
        <v>0</v>
      </c>
      <c r="AB86" s="212">
        <v>0</v>
      </c>
      <c r="AC86" s="569"/>
    </row>
    <row r="87" spans="1:29" ht="0.75" hidden="1" customHeight="1" x14ac:dyDescent="0.3">
      <c r="A87" s="590"/>
      <c r="B87" s="140"/>
      <c r="C87" s="140"/>
      <c r="D87" s="140"/>
      <c r="E87" s="234"/>
      <c r="F87" s="140"/>
      <c r="G87" s="140"/>
      <c r="H87" s="140"/>
      <c r="I87" s="140"/>
      <c r="J87" s="140"/>
      <c r="K87" s="140"/>
      <c r="L87" s="140"/>
      <c r="M87" s="140"/>
      <c r="N87" s="140"/>
      <c r="O87" s="140"/>
      <c r="P87" s="140"/>
      <c r="Q87" s="140"/>
      <c r="R87" s="140"/>
      <c r="S87" s="140"/>
      <c r="T87" s="140"/>
      <c r="U87" s="136"/>
      <c r="V87" s="137"/>
      <c r="W87" s="137"/>
      <c r="X87" s="137"/>
      <c r="Y87" s="154"/>
      <c r="Z87" s="212"/>
      <c r="AA87" s="212"/>
      <c r="AB87" s="212"/>
      <c r="AC87" s="569"/>
    </row>
    <row r="88" spans="1:29" ht="48" hidden="1" customHeight="1" x14ac:dyDescent="0.3">
      <c r="A88" s="492" t="s">
        <v>1046</v>
      </c>
      <c r="B88" s="140" t="s">
        <v>15</v>
      </c>
      <c r="C88" s="140" t="s">
        <v>122</v>
      </c>
      <c r="D88" s="140" t="s">
        <v>130</v>
      </c>
      <c r="E88" s="234" t="s">
        <v>1047</v>
      </c>
      <c r="F88" s="140"/>
      <c r="G88" s="140"/>
      <c r="H88" s="140"/>
      <c r="I88" s="140"/>
      <c r="J88" s="140"/>
      <c r="K88" s="140"/>
      <c r="L88" s="140"/>
      <c r="M88" s="140"/>
      <c r="N88" s="140"/>
      <c r="O88" s="140"/>
      <c r="P88" s="140"/>
      <c r="Q88" s="140"/>
      <c r="R88" s="140"/>
      <c r="S88" s="140"/>
      <c r="T88" s="140"/>
      <c r="U88" s="136"/>
      <c r="V88" s="137"/>
      <c r="W88" s="137"/>
      <c r="X88" s="137"/>
      <c r="Y88" s="154"/>
      <c r="Z88" s="212">
        <f>Z89</f>
        <v>0</v>
      </c>
      <c r="AA88" s="212">
        <f>AA89</f>
        <v>0</v>
      </c>
      <c r="AB88" s="212">
        <f>AB89</f>
        <v>0</v>
      </c>
      <c r="AC88" s="569"/>
    </row>
    <row r="89" spans="1:29" ht="45" hidden="1" customHeight="1" x14ac:dyDescent="0.3">
      <c r="A89" s="154" t="s">
        <v>565</v>
      </c>
      <c r="B89" s="140" t="s">
        <v>15</v>
      </c>
      <c r="C89" s="140" t="s">
        <v>122</v>
      </c>
      <c r="D89" s="140" t="s">
        <v>130</v>
      </c>
      <c r="E89" s="234" t="s">
        <v>1047</v>
      </c>
      <c r="F89" s="140"/>
      <c r="G89" s="140"/>
      <c r="H89" s="140"/>
      <c r="I89" s="140"/>
      <c r="J89" s="140"/>
      <c r="K89" s="140"/>
      <c r="L89" s="140"/>
      <c r="M89" s="140"/>
      <c r="N89" s="140"/>
      <c r="O89" s="140"/>
      <c r="P89" s="140"/>
      <c r="Q89" s="140"/>
      <c r="R89" s="140"/>
      <c r="S89" s="140"/>
      <c r="T89" s="140" t="s">
        <v>275</v>
      </c>
      <c r="U89" s="136"/>
      <c r="V89" s="137"/>
      <c r="W89" s="137"/>
      <c r="X89" s="137"/>
      <c r="Y89" s="154"/>
      <c r="Z89" s="212">
        <v>0</v>
      </c>
      <c r="AA89" s="212">
        <v>0</v>
      </c>
      <c r="AB89" s="212">
        <v>0</v>
      </c>
      <c r="AC89" s="569"/>
    </row>
    <row r="90" spans="1:29" ht="55.9" customHeight="1" x14ac:dyDescent="0.3">
      <c r="A90" s="159" t="s">
        <v>297</v>
      </c>
      <c r="B90" s="160" t="s">
        <v>15</v>
      </c>
      <c r="C90" s="160" t="s">
        <v>123</v>
      </c>
      <c r="D90" s="160" t="s">
        <v>133</v>
      </c>
      <c r="E90" s="160"/>
      <c r="F90" s="160"/>
      <c r="G90" s="160"/>
      <c r="H90" s="160"/>
      <c r="I90" s="160"/>
      <c r="J90" s="160"/>
      <c r="K90" s="160"/>
      <c r="L90" s="160"/>
      <c r="M90" s="160"/>
      <c r="N90" s="160"/>
      <c r="O90" s="160"/>
      <c r="P90" s="160"/>
      <c r="Q90" s="160"/>
      <c r="R90" s="160"/>
      <c r="S90" s="160"/>
      <c r="T90" s="160"/>
      <c r="U90" s="160"/>
      <c r="V90" s="214"/>
      <c r="W90" s="214"/>
      <c r="X90" s="214"/>
      <c r="Y90" s="159" t="s">
        <v>297</v>
      </c>
      <c r="Z90" s="215">
        <f>Z91+Z102</f>
        <v>920000</v>
      </c>
      <c r="AA90" s="215">
        <f>AA91+AA102</f>
        <v>600000</v>
      </c>
      <c r="AB90" s="215">
        <f>AB91+AB102</f>
        <v>600000</v>
      </c>
      <c r="AC90" s="292" t="s">
        <v>297</v>
      </c>
    </row>
    <row r="91" spans="1:29" ht="74.45" customHeight="1" x14ac:dyDescent="0.3">
      <c r="A91" s="159" t="s">
        <v>251</v>
      </c>
      <c r="B91" s="160" t="s">
        <v>15</v>
      </c>
      <c r="C91" s="160" t="s">
        <v>123</v>
      </c>
      <c r="D91" s="160" t="s">
        <v>127</v>
      </c>
      <c r="E91" s="160"/>
      <c r="F91" s="160"/>
      <c r="G91" s="160"/>
      <c r="H91" s="160"/>
      <c r="I91" s="160"/>
      <c r="J91" s="160"/>
      <c r="K91" s="160"/>
      <c r="L91" s="160"/>
      <c r="M91" s="160"/>
      <c r="N91" s="160"/>
      <c r="O91" s="160"/>
      <c r="P91" s="160"/>
      <c r="Q91" s="160"/>
      <c r="R91" s="160"/>
      <c r="S91" s="160"/>
      <c r="T91" s="160"/>
      <c r="U91" s="160"/>
      <c r="V91" s="214"/>
      <c r="W91" s="214"/>
      <c r="X91" s="214"/>
      <c r="Y91" s="159" t="s">
        <v>251</v>
      </c>
      <c r="Z91" s="215">
        <f>Z94+Z98+Z100+Z96+Z92</f>
        <v>920000</v>
      </c>
      <c r="AA91" s="215">
        <f>AA94+AA98+AA100+AA96+AA92</f>
        <v>600000</v>
      </c>
      <c r="AB91" s="215">
        <f>AB94+AB98+AB100+AB96+AB92</f>
        <v>600000</v>
      </c>
      <c r="AC91" s="292" t="s">
        <v>251</v>
      </c>
    </row>
    <row r="92" spans="1:29" ht="121.5" customHeight="1" x14ac:dyDescent="0.3">
      <c r="A92" s="155" t="s">
        <v>1243</v>
      </c>
      <c r="B92" s="140" t="s">
        <v>15</v>
      </c>
      <c r="C92" s="140" t="s">
        <v>123</v>
      </c>
      <c r="D92" s="140" t="s">
        <v>127</v>
      </c>
      <c r="E92" s="234" t="s">
        <v>537</v>
      </c>
      <c r="F92" s="140"/>
      <c r="G92" s="140"/>
      <c r="H92" s="140"/>
      <c r="I92" s="140"/>
      <c r="J92" s="140"/>
      <c r="K92" s="140"/>
      <c r="L92" s="140"/>
      <c r="M92" s="140"/>
      <c r="N92" s="140"/>
      <c r="O92" s="140"/>
      <c r="P92" s="140"/>
      <c r="Q92" s="140"/>
      <c r="R92" s="140"/>
      <c r="S92" s="140"/>
      <c r="T92" s="140"/>
      <c r="U92" s="160"/>
      <c r="V92" s="214"/>
      <c r="W92" s="214"/>
      <c r="X92" s="214"/>
      <c r="Y92" s="159"/>
      <c r="Z92" s="239">
        <f>Z93</f>
        <v>100000</v>
      </c>
      <c r="AA92" s="239">
        <f>AA93</f>
        <v>100000</v>
      </c>
      <c r="AB92" s="239">
        <f>AB93</f>
        <v>100000</v>
      </c>
      <c r="AC92" s="292"/>
    </row>
    <row r="93" spans="1:29" ht="66" customHeight="1" x14ac:dyDescent="0.3">
      <c r="A93" s="154" t="s">
        <v>565</v>
      </c>
      <c r="B93" s="140" t="s">
        <v>15</v>
      </c>
      <c r="C93" s="140" t="s">
        <v>123</v>
      </c>
      <c r="D93" s="140" t="s">
        <v>127</v>
      </c>
      <c r="E93" s="234" t="s">
        <v>537</v>
      </c>
      <c r="F93" s="140"/>
      <c r="G93" s="140"/>
      <c r="H93" s="140"/>
      <c r="I93" s="140"/>
      <c r="J93" s="140"/>
      <c r="K93" s="140"/>
      <c r="L93" s="140"/>
      <c r="M93" s="140"/>
      <c r="N93" s="140"/>
      <c r="O93" s="140"/>
      <c r="P93" s="140"/>
      <c r="Q93" s="140"/>
      <c r="R93" s="140"/>
      <c r="S93" s="140"/>
      <c r="T93" s="140" t="s">
        <v>275</v>
      </c>
      <c r="U93" s="160"/>
      <c r="V93" s="214"/>
      <c r="W93" s="214"/>
      <c r="X93" s="214"/>
      <c r="Y93" s="159"/>
      <c r="Z93" s="239">
        <v>100000</v>
      </c>
      <c r="AA93" s="239">
        <v>100000</v>
      </c>
      <c r="AB93" s="239">
        <v>100000</v>
      </c>
      <c r="AC93" s="292"/>
    </row>
    <row r="94" spans="1:29" ht="236.25" customHeight="1" x14ac:dyDescent="0.3">
      <c r="A94" s="153" t="s">
        <v>1299</v>
      </c>
      <c r="B94" s="161" t="s">
        <v>15</v>
      </c>
      <c r="C94" s="161" t="s">
        <v>123</v>
      </c>
      <c r="D94" s="161" t="s">
        <v>127</v>
      </c>
      <c r="E94" s="234" t="s">
        <v>533</v>
      </c>
      <c r="F94" s="161"/>
      <c r="G94" s="161"/>
      <c r="H94" s="161"/>
      <c r="I94" s="161"/>
      <c r="J94" s="161"/>
      <c r="K94" s="161"/>
      <c r="L94" s="161"/>
      <c r="M94" s="161"/>
      <c r="N94" s="161"/>
      <c r="O94" s="161"/>
      <c r="P94" s="161"/>
      <c r="Q94" s="161"/>
      <c r="R94" s="161"/>
      <c r="S94" s="161"/>
      <c r="T94" s="161"/>
      <c r="U94" s="161"/>
      <c r="V94" s="206"/>
      <c r="W94" s="206"/>
      <c r="X94" s="206"/>
      <c r="Y94" s="153" t="s">
        <v>298</v>
      </c>
      <c r="Z94" s="239">
        <f>Z95</f>
        <v>100000</v>
      </c>
      <c r="AA94" s="239">
        <f>AA95</f>
        <v>100000</v>
      </c>
      <c r="AB94" s="239">
        <f>AB95</f>
        <v>100000</v>
      </c>
      <c r="AC94" s="568" t="s">
        <v>298</v>
      </c>
    </row>
    <row r="95" spans="1:29" ht="61.5" customHeight="1" x14ac:dyDescent="0.3">
      <c r="A95" s="135" t="s">
        <v>565</v>
      </c>
      <c r="B95" s="136" t="s">
        <v>15</v>
      </c>
      <c r="C95" s="136" t="s">
        <v>123</v>
      </c>
      <c r="D95" s="136" t="s">
        <v>127</v>
      </c>
      <c r="E95" s="234" t="s">
        <v>533</v>
      </c>
      <c r="F95" s="136"/>
      <c r="G95" s="136"/>
      <c r="H95" s="136"/>
      <c r="I95" s="136"/>
      <c r="J95" s="136"/>
      <c r="K95" s="136"/>
      <c r="L95" s="136"/>
      <c r="M95" s="136"/>
      <c r="N95" s="136"/>
      <c r="O95" s="136"/>
      <c r="P95" s="136"/>
      <c r="Q95" s="136"/>
      <c r="R95" s="136"/>
      <c r="S95" s="136"/>
      <c r="T95" s="136" t="s">
        <v>275</v>
      </c>
      <c r="U95" s="136"/>
      <c r="V95" s="137"/>
      <c r="W95" s="137"/>
      <c r="X95" s="137"/>
      <c r="Y95" s="135" t="s">
        <v>299</v>
      </c>
      <c r="Z95" s="212">
        <f>5100000-5000000</f>
        <v>100000</v>
      </c>
      <c r="AA95" s="212">
        <v>100000</v>
      </c>
      <c r="AB95" s="212">
        <v>100000</v>
      </c>
      <c r="AC95" s="213" t="s">
        <v>299</v>
      </c>
    </row>
    <row r="96" spans="1:29" ht="235.5" customHeight="1" x14ac:dyDescent="0.3">
      <c r="A96" s="153" t="s">
        <v>1300</v>
      </c>
      <c r="B96" s="136" t="s">
        <v>15</v>
      </c>
      <c r="C96" s="136" t="s">
        <v>123</v>
      </c>
      <c r="D96" s="136" t="s">
        <v>127</v>
      </c>
      <c r="E96" s="234" t="s">
        <v>786</v>
      </c>
      <c r="F96" s="136"/>
      <c r="G96" s="136"/>
      <c r="H96" s="136"/>
      <c r="I96" s="136"/>
      <c r="J96" s="136"/>
      <c r="K96" s="136"/>
      <c r="L96" s="136"/>
      <c r="M96" s="136"/>
      <c r="N96" s="136"/>
      <c r="O96" s="136"/>
      <c r="P96" s="136"/>
      <c r="Q96" s="136"/>
      <c r="R96" s="136"/>
      <c r="S96" s="136"/>
      <c r="T96" s="136"/>
      <c r="U96" s="136"/>
      <c r="V96" s="137"/>
      <c r="W96" s="137"/>
      <c r="X96" s="137"/>
      <c r="Y96" s="135"/>
      <c r="Z96" s="212">
        <f>Z97</f>
        <v>220000</v>
      </c>
      <c r="AA96" s="212">
        <f>AA97</f>
        <v>350000</v>
      </c>
      <c r="AB96" s="212">
        <f>AB97</f>
        <v>350000</v>
      </c>
      <c r="AC96" s="213"/>
    </row>
    <row r="97" spans="1:29" ht="55.5" customHeight="1" x14ac:dyDescent="0.3">
      <c r="A97" s="135" t="s">
        <v>565</v>
      </c>
      <c r="B97" s="136" t="s">
        <v>15</v>
      </c>
      <c r="C97" s="136" t="s">
        <v>123</v>
      </c>
      <c r="D97" s="136" t="s">
        <v>127</v>
      </c>
      <c r="E97" s="234" t="s">
        <v>786</v>
      </c>
      <c r="F97" s="136"/>
      <c r="G97" s="136"/>
      <c r="H97" s="136"/>
      <c r="I97" s="136"/>
      <c r="J97" s="136"/>
      <c r="K97" s="136"/>
      <c r="L97" s="136"/>
      <c r="M97" s="136"/>
      <c r="N97" s="136"/>
      <c r="O97" s="136"/>
      <c r="P97" s="136"/>
      <c r="Q97" s="136"/>
      <c r="R97" s="136"/>
      <c r="S97" s="136"/>
      <c r="T97" s="136" t="s">
        <v>275</v>
      </c>
      <c r="U97" s="136"/>
      <c r="V97" s="137"/>
      <c r="W97" s="137"/>
      <c r="X97" s="137"/>
      <c r="Y97" s="135"/>
      <c r="Z97" s="212">
        <f>350000-60000-70000</f>
        <v>220000</v>
      </c>
      <c r="AA97" s="212">
        <v>350000</v>
      </c>
      <c r="AB97" s="212">
        <v>350000</v>
      </c>
      <c r="AC97" s="213"/>
    </row>
    <row r="98" spans="1:29" ht="177.75" customHeight="1" x14ac:dyDescent="0.3">
      <c r="A98" s="153" t="s">
        <v>1346</v>
      </c>
      <c r="B98" s="161" t="s">
        <v>15</v>
      </c>
      <c r="C98" s="161" t="s">
        <v>123</v>
      </c>
      <c r="D98" s="161" t="s">
        <v>127</v>
      </c>
      <c r="E98" s="234" t="s">
        <v>534</v>
      </c>
      <c r="F98" s="161"/>
      <c r="G98" s="161"/>
      <c r="H98" s="161"/>
      <c r="I98" s="161"/>
      <c r="J98" s="161"/>
      <c r="K98" s="161"/>
      <c r="L98" s="161"/>
      <c r="M98" s="161"/>
      <c r="N98" s="161"/>
      <c r="O98" s="161"/>
      <c r="P98" s="161"/>
      <c r="Q98" s="161"/>
      <c r="R98" s="161"/>
      <c r="S98" s="161"/>
      <c r="T98" s="161"/>
      <c r="U98" s="161"/>
      <c r="V98" s="206"/>
      <c r="W98" s="206"/>
      <c r="X98" s="206"/>
      <c r="Y98" s="153" t="s">
        <v>300</v>
      </c>
      <c r="Z98" s="239">
        <f>Z99</f>
        <v>500000</v>
      </c>
      <c r="AA98" s="239">
        <f>AA99</f>
        <v>50000</v>
      </c>
      <c r="AB98" s="239">
        <f>AB99</f>
        <v>50000</v>
      </c>
      <c r="AC98" s="568" t="s">
        <v>300</v>
      </c>
    </row>
    <row r="99" spans="1:29" ht="63.75" customHeight="1" x14ac:dyDescent="0.3">
      <c r="A99" s="135" t="s">
        <v>565</v>
      </c>
      <c r="B99" s="136" t="s">
        <v>15</v>
      </c>
      <c r="C99" s="136" t="s">
        <v>123</v>
      </c>
      <c r="D99" s="136" t="s">
        <v>127</v>
      </c>
      <c r="E99" s="234" t="s">
        <v>534</v>
      </c>
      <c r="F99" s="136"/>
      <c r="G99" s="136"/>
      <c r="H99" s="136"/>
      <c r="I99" s="136"/>
      <c r="J99" s="136"/>
      <c r="K99" s="136"/>
      <c r="L99" s="136"/>
      <c r="M99" s="136"/>
      <c r="N99" s="136"/>
      <c r="O99" s="136"/>
      <c r="P99" s="136"/>
      <c r="Q99" s="136"/>
      <c r="R99" s="136"/>
      <c r="S99" s="136"/>
      <c r="T99" s="136" t="s">
        <v>275</v>
      </c>
      <c r="U99" s="136"/>
      <c r="V99" s="137"/>
      <c r="W99" s="137"/>
      <c r="X99" s="137"/>
      <c r="Y99" s="135" t="s">
        <v>301</v>
      </c>
      <c r="Z99" s="268">
        <f>900000-400000</f>
        <v>500000</v>
      </c>
      <c r="AA99" s="212">
        <v>50000</v>
      </c>
      <c r="AB99" s="212">
        <v>50000</v>
      </c>
      <c r="AC99" s="213" t="s">
        <v>301</v>
      </c>
    </row>
    <row r="100" spans="1:29" ht="37.5" hidden="1" customHeight="1" x14ac:dyDescent="0.3">
      <c r="A100" s="155" t="s">
        <v>241</v>
      </c>
      <c r="B100" s="161" t="s">
        <v>15</v>
      </c>
      <c r="C100" s="161" t="s">
        <v>123</v>
      </c>
      <c r="D100" s="161" t="s">
        <v>127</v>
      </c>
      <c r="E100" s="234" t="s">
        <v>535</v>
      </c>
      <c r="F100" s="161"/>
      <c r="G100" s="161"/>
      <c r="H100" s="161"/>
      <c r="I100" s="161"/>
      <c r="J100" s="161"/>
      <c r="K100" s="161"/>
      <c r="L100" s="161"/>
      <c r="M100" s="161"/>
      <c r="N100" s="161"/>
      <c r="O100" s="161"/>
      <c r="P100" s="161"/>
      <c r="Q100" s="161"/>
      <c r="R100" s="161"/>
      <c r="S100" s="161"/>
      <c r="T100" s="161"/>
      <c r="U100" s="161"/>
      <c r="V100" s="206"/>
      <c r="W100" s="206"/>
      <c r="X100" s="206"/>
      <c r="Y100" s="155" t="s">
        <v>241</v>
      </c>
      <c r="Z100" s="239">
        <f>Z101</f>
        <v>0</v>
      </c>
      <c r="AA100" s="239">
        <f>AA101</f>
        <v>0</v>
      </c>
      <c r="AB100" s="239">
        <f>AB101</f>
        <v>0</v>
      </c>
      <c r="AC100" s="573" t="s">
        <v>241</v>
      </c>
    </row>
    <row r="101" spans="1:29" ht="48.75" hidden="1" customHeight="1" x14ac:dyDescent="0.3">
      <c r="A101" s="154" t="s">
        <v>302</v>
      </c>
      <c r="B101" s="136" t="s">
        <v>15</v>
      </c>
      <c r="C101" s="136" t="s">
        <v>123</v>
      </c>
      <c r="D101" s="136" t="s">
        <v>127</v>
      </c>
      <c r="E101" s="234" t="s">
        <v>535</v>
      </c>
      <c r="F101" s="136"/>
      <c r="G101" s="136"/>
      <c r="H101" s="136"/>
      <c r="I101" s="136"/>
      <c r="J101" s="136"/>
      <c r="K101" s="136"/>
      <c r="L101" s="136"/>
      <c r="M101" s="136"/>
      <c r="N101" s="136"/>
      <c r="O101" s="136"/>
      <c r="P101" s="136"/>
      <c r="Q101" s="136"/>
      <c r="R101" s="136"/>
      <c r="S101" s="136"/>
      <c r="T101" s="136" t="s">
        <v>275</v>
      </c>
      <c r="U101" s="136"/>
      <c r="V101" s="137"/>
      <c r="W101" s="137"/>
      <c r="X101" s="137"/>
      <c r="Y101" s="154" t="s">
        <v>302</v>
      </c>
      <c r="Z101" s="212">
        <f>12000+238000+100000-350000</f>
        <v>0</v>
      </c>
      <c r="AA101" s="212">
        <f>400000-400000</f>
        <v>0</v>
      </c>
      <c r="AB101" s="212">
        <f>400000-400000</f>
        <v>0</v>
      </c>
      <c r="AC101" s="569" t="s">
        <v>302</v>
      </c>
    </row>
    <row r="102" spans="1:29" ht="38.25" hidden="1" customHeight="1" x14ac:dyDescent="0.3">
      <c r="A102" s="209" t="s">
        <v>144</v>
      </c>
      <c r="B102" s="139" t="s">
        <v>15</v>
      </c>
      <c r="C102" s="139" t="s">
        <v>123</v>
      </c>
      <c r="D102" s="139" t="s">
        <v>143</v>
      </c>
      <c r="E102" s="140"/>
      <c r="F102" s="140"/>
      <c r="G102" s="140"/>
      <c r="H102" s="140"/>
      <c r="I102" s="140"/>
      <c r="J102" s="140"/>
      <c r="K102" s="140"/>
      <c r="L102" s="140"/>
      <c r="M102" s="140"/>
      <c r="N102" s="140"/>
      <c r="O102" s="140"/>
      <c r="P102" s="140"/>
      <c r="Q102" s="140"/>
      <c r="R102" s="140"/>
      <c r="S102" s="140"/>
      <c r="T102" s="140"/>
      <c r="U102" s="140"/>
      <c r="V102" s="141"/>
      <c r="W102" s="141"/>
      <c r="X102" s="141"/>
      <c r="Y102" s="142"/>
      <c r="Z102" s="169">
        <f t="shared" ref="Z102:AB103" si="7">Z103</f>
        <v>0</v>
      </c>
      <c r="AA102" s="170">
        <f t="shared" si="7"/>
        <v>0</v>
      </c>
      <c r="AB102" s="215">
        <f t="shared" si="7"/>
        <v>0</v>
      </c>
      <c r="AC102" s="569"/>
    </row>
    <row r="103" spans="1:29" ht="116.25" hidden="1" customHeight="1" x14ac:dyDescent="0.3">
      <c r="A103" s="155" t="s">
        <v>536</v>
      </c>
      <c r="B103" s="140" t="s">
        <v>15</v>
      </c>
      <c r="C103" s="140" t="s">
        <v>123</v>
      </c>
      <c r="D103" s="140" t="s">
        <v>143</v>
      </c>
      <c r="E103" s="234" t="s">
        <v>537</v>
      </c>
      <c r="F103" s="140"/>
      <c r="G103" s="140"/>
      <c r="H103" s="140"/>
      <c r="I103" s="140"/>
      <c r="J103" s="140"/>
      <c r="K103" s="140"/>
      <c r="L103" s="140"/>
      <c r="M103" s="140"/>
      <c r="N103" s="140"/>
      <c r="O103" s="140"/>
      <c r="P103" s="140"/>
      <c r="Q103" s="140"/>
      <c r="R103" s="140"/>
      <c r="S103" s="140"/>
      <c r="T103" s="140"/>
      <c r="U103" s="140"/>
      <c r="V103" s="141"/>
      <c r="W103" s="141"/>
      <c r="X103" s="141"/>
      <c r="Y103" s="142"/>
      <c r="Z103" s="143">
        <f t="shared" si="7"/>
        <v>0</v>
      </c>
      <c r="AA103" s="144">
        <f t="shared" si="7"/>
        <v>0</v>
      </c>
      <c r="AB103" s="212">
        <f t="shared" si="7"/>
        <v>0</v>
      </c>
      <c r="AC103" s="569"/>
    </row>
    <row r="104" spans="1:29" ht="0.75" hidden="1" customHeight="1" x14ac:dyDescent="0.3">
      <c r="A104" s="154" t="s">
        <v>735</v>
      </c>
      <c r="B104" s="140" t="s">
        <v>15</v>
      </c>
      <c r="C104" s="140" t="s">
        <v>123</v>
      </c>
      <c r="D104" s="140" t="s">
        <v>143</v>
      </c>
      <c r="E104" s="234" t="s">
        <v>537</v>
      </c>
      <c r="F104" s="140"/>
      <c r="G104" s="140"/>
      <c r="H104" s="140"/>
      <c r="I104" s="140"/>
      <c r="J104" s="140"/>
      <c r="K104" s="140"/>
      <c r="L104" s="140"/>
      <c r="M104" s="140"/>
      <c r="N104" s="140"/>
      <c r="O104" s="140"/>
      <c r="P104" s="140"/>
      <c r="Q104" s="140"/>
      <c r="R104" s="140"/>
      <c r="S104" s="140"/>
      <c r="T104" s="140" t="s">
        <v>275</v>
      </c>
      <c r="U104" s="140"/>
      <c r="V104" s="141"/>
      <c r="W104" s="141"/>
      <c r="X104" s="141"/>
      <c r="Y104" s="142"/>
      <c r="Z104" s="143">
        <f>100000-100000</f>
        <v>0</v>
      </c>
      <c r="AA104" s="144">
        <f>100000-100000</f>
        <v>0</v>
      </c>
      <c r="AB104" s="212">
        <f>100000-100000</f>
        <v>0</v>
      </c>
      <c r="AC104" s="569"/>
    </row>
    <row r="105" spans="1:29" ht="18.600000000000001" customHeight="1" x14ac:dyDescent="0.3">
      <c r="A105" s="159" t="s">
        <v>303</v>
      </c>
      <c r="B105" s="160" t="s">
        <v>15</v>
      </c>
      <c r="C105" s="160" t="s">
        <v>136</v>
      </c>
      <c r="D105" s="160" t="s">
        <v>133</v>
      </c>
      <c r="E105" s="160"/>
      <c r="F105" s="160"/>
      <c r="G105" s="160"/>
      <c r="H105" s="160"/>
      <c r="I105" s="160"/>
      <c r="J105" s="160"/>
      <c r="K105" s="160"/>
      <c r="L105" s="160"/>
      <c r="M105" s="160"/>
      <c r="N105" s="160"/>
      <c r="O105" s="160"/>
      <c r="P105" s="160"/>
      <c r="Q105" s="160"/>
      <c r="R105" s="160"/>
      <c r="S105" s="160"/>
      <c r="T105" s="160"/>
      <c r="U105" s="160"/>
      <c r="V105" s="214"/>
      <c r="W105" s="214"/>
      <c r="X105" s="214"/>
      <c r="Y105" s="159" t="s">
        <v>303</v>
      </c>
      <c r="Z105" s="215">
        <f>Z106+Z137+Z144+Z169+Z182</f>
        <v>39242175.660000004</v>
      </c>
      <c r="AA105" s="215">
        <f>AA106+AA137+AA144+AA169+AA182</f>
        <v>26209102.100000001</v>
      </c>
      <c r="AB105" s="215">
        <f>AB106+AB137+AB144+AB169+AB182</f>
        <v>22391365.640000001</v>
      </c>
      <c r="AC105" s="292" t="s">
        <v>303</v>
      </c>
    </row>
    <row r="106" spans="1:29" ht="32.25" customHeight="1" x14ac:dyDescent="0.3">
      <c r="A106" s="159" t="s">
        <v>147</v>
      </c>
      <c r="B106" s="160" t="s">
        <v>15</v>
      </c>
      <c r="C106" s="160" t="s">
        <v>136</v>
      </c>
      <c r="D106" s="160" t="s">
        <v>124</v>
      </c>
      <c r="E106" s="160"/>
      <c r="F106" s="160"/>
      <c r="G106" s="160"/>
      <c r="H106" s="160"/>
      <c r="I106" s="160"/>
      <c r="J106" s="160"/>
      <c r="K106" s="160"/>
      <c r="L106" s="160"/>
      <c r="M106" s="160"/>
      <c r="N106" s="160"/>
      <c r="O106" s="160"/>
      <c r="P106" s="160"/>
      <c r="Q106" s="160"/>
      <c r="R106" s="160"/>
      <c r="S106" s="160"/>
      <c r="T106" s="160"/>
      <c r="U106" s="160"/>
      <c r="V106" s="214"/>
      <c r="W106" s="214"/>
      <c r="X106" s="214"/>
      <c r="Y106" s="159" t="s">
        <v>147</v>
      </c>
      <c r="Z106" s="215">
        <f>Z107+Z109+Z111+Z113+Z119+Z121+Z129+Z133+Z135+Z117+Z115+Z127+Z123+Z131+Z125</f>
        <v>465321.43</v>
      </c>
      <c r="AA106" s="215">
        <f>AA107+AA109+AA111+AA113+AA119+AA121+AA129+AA133+AA135+AA117+AA115</f>
        <v>247321.43</v>
      </c>
      <c r="AB106" s="215">
        <f>AB107+AB109+AB111+AB113+AB119+AB121+AB129+AB133+AB135+AB117+AB115</f>
        <v>247321.43</v>
      </c>
      <c r="AC106" s="292" t="s">
        <v>147</v>
      </c>
    </row>
    <row r="107" spans="1:29" s="275" customFormat="1" ht="54" hidden="1" customHeight="1" x14ac:dyDescent="0.3">
      <c r="A107" s="153" t="s">
        <v>595</v>
      </c>
      <c r="B107" s="161" t="s">
        <v>15</v>
      </c>
      <c r="C107" s="161" t="s">
        <v>136</v>
      </c>
      <c r="D107" s="161" t="s">
        <v>124</v>
      </c>
      <c r="E107" s="234" t="s">
        <v>538</v>
      </c>
      <c r="F107" s="161"/>
      <c r="G107" s="161"/>
      <c r="H107" s="161"/>
      <c r="I107" s="161"/>
      <c r="J107" s="161"/>
      <c r="K107" s="161"/>
      <c r="L107" s="161"/>
      <c r="M107" s="161"/>
      <c r="N107" s="161"/>
      <c r="O107" s="161"/>
      <c r="P107" s="161"/>
      <c r="Q107" s="161"/>
      <c r="R107" s="161"/>
      <c r="S107" s="161"/>
      <c r="T107" s="161"/>
      <c r="U107" s="161"/>
      <c r="V107" s="206"/>
      <c r="W107" s="206"/>
      <c r="X107" s="206"/>
      <c r="Y107" s="153" t="s">
        <v>304</v>
      </c>
      <c r="Z107" s="239">
        <f>Z108</f>
        <v>0</v>
      </c>
      <c r="AA107" s="239">
        <f>AA108</f>
        <v>0</v>
      </c>
      <c r="AB107" s="239">
        <f>AB108</f>
        <v>0</v>
      </c>
      <c r="AC107" s="574" t="s">
        <v>304</v>
      </c>
    </row>
    <row r="108" spans="1:29" s="275" customFormat="1" ht="108" hidden="1" customHeight="1" x14ac:dyDescent="0.3">
      <c r="A108" s="135" t="s">
        <v>305</v>
      </c>
      <c r="B108" s="136" t="s">
        <v>15</v>
      </c>
      <c r="C108" s="136" t="s">
        <v>136</v>
      </c>
      <c r="D108" s="136" t="s">
        <v>124</v>
      </c>
      <c r="E108" s="234" t="s">
        <v>538</v>
      </c>
      <c r="F108" s="136"/>
      <c r="G108" s="136"/>
      <c r="H108" s="136"/>
      <c r="I108" s="136"/>
      <c r="J108" s="136"/>
      <c r="K108" s="136"/>
      <c r="L108" s="136"/>
      <c r="M108" s="136"/>
      <c r="N108" s="136"/>
      <c r="O108" s="136"/>
      <c r="P108" s="136"/>
      <c r="Q108" s="136"/>
      <c r="R108" s="136"/>
      <c r="S108" s="136"/>
      <c r="T108" s="136" t="s">
        <v>275</v>
      </c>
      <c r="U108" s="136"/>
      <c r="V108" s="137"/>
      <c r="W108" s="137"/>
      <c r="X108" s="137"/>
      <c r="Y108" s="135" t="s">
        <v>305</v>
      </c>
      <c r="Z108" s="212">
        <v>0</v>
      </c>
      <c r="AA108" s="212">
        <v>0</v>
      </c>
      <c r="AB108" s="212">
        <v>0</v>
      </c>
      <c r="AC108" s="571" t="s">
        <v>305</v>
      </c>
    </row>
    <row r="109" spans="1:29" s="275" customFormat="1" ht="132" customHeight="1" x14ac:dyDescent="0.3">
      <c r="A109" s="153" t="s">
        <v>1247</v>
      </c>
      <c r="B109" s="161" t="s">
        <v>15</v>
      </c>
      <c r="C109" s="161" t="s">
        <v>136</v>
      </c>
      <c r="D109" s="161" t="s">
        <v>124</v>
      </c>
      <c r="E109" s="234" t="s">
        <v>539</v>
      </c>
      <c r="F109" s="161"/>
      <c r="G109" s="161"/>
      <c r="H109" s="161"/>
      <c r="I109" s="161"/>
      <c r="J109" s="161"/>
      <c r="K109" s="161"/>
      <c r="L109" s="161"/>
      <c r="M109" s="161"/>
      <c r="N109" s="161"/>
      <c r="O109" s="161"/>
      <c r="P109" s="161"/>
      <c r="Q109" s="161"/>
      <c r="R109" s="161"/>
      <c r="S109" s="161"/>
      <c r="T109" s="161"/>
      <c r="U109" s="161"/>
      <c r="V109" s="206"/>
      <c r="W109" s="206"/>
      <c r="X109" s="206"/>
      <c r="Y109" s="153" t="s">
        <v>306</v>
      </c>
      <c r="Z109" s="239">
        <f>Z110</f>
        <v>0</v>
      </c>
      <c r="AA109" s="239">
        <f>AA110</f>
        <v>100000</v>
      </c>
      <c r="AB109" s="239">
        <f>AB110</f>
        <v>100000</v>
      </c>
      <c r="AC109" s="574" t="s">
        <v>306</v>
      </c>
    </row>
    <row r="110" spans="1:29" s="275" customFormat="1" ht="37.5" customHeight="1" x14ac:dyDescent="0.3">
      <c r="A110" s="135" t="s">
        <v>763</v>
      </c>
      <c r="B110" s="136" t="s">
        <v>15</v>
      </c>
      <c r="C110" s="136" t="s">
        <v>136</v>
      </c>
      <c r="D110" s="136" t="s">
        <v>124</v>
      </c>
      <c r="E110" s="234" t="s">
        <v>539</v>
      </c>
      <c r="F110" s="136"/>
      <c r="G110" s="136"/>
      <c r="H110" s="136"/>
      <c r="I110" s="136"/>
      <c r="J110" s="136"/>
      <c r="K110" s="136"/>
      <c r="L110" s="136"/>
      <c r="M110" s="136"/>
      <c r="N110" s="136"/>
      <c r="O110" s="136"/>
      <c r="P110" s="136"/>
      <c r="Q110" s="136"/>
      <c r="R110" s="136"/>
      <c r="S110" s="136"/>
      <c r="T110" s="136" t="s">
        <v>243</v>
      </c>
      <c r="U110" s="136"/>
      <c r="V110" s="137"/>
      <c r="W110" s="137"/>
      <c r="X110" s="137"/>
      <c r="Y110" s="135" t="s">
        <v>307</v>
      </c>
      <c r="Z110" s="268">
        <f>100000-100000</f>
        <v>0</v>
      </c>
      <c r="AA110" s="212">
        <v>100000</v>
      </c>
      <c r="AB110" s="212">
        <v>100000</v>
      </c>
      <c r="AC110" s="571" t="s">
        <v>307</v>
      </c>
    </row>
    <row r="111" spans="1:29" s="275" customFormat="1" ht="155.25" hidden="1" customHeight="1" x14ac:dyDescent="0.3">
      <c r="A111" s="153" t="s">
        <v>596</v>
      </c>
      <c r="B111" s="161" t="s">
        <v>15</v>
      </c>
      <c r="C111" s="161" t="s">
        <v>136</v>
      </c>
      <c r="D111" s="161" t="s">
        <v>124</v>
      </c>
      <c r="E111" s="234" t="s">
        <v>540</v>
      </c>
      <c r="F111" s="161"/>
      <c r="G111" s="161"/>
      <c r="H111" s="161"/>
      <c r="I111" s="161"/>
      <c r="J111" s="161"/>
      <c r="K111" s="161"/>
      <c r="L111" s="161"/>
      <c r="M111" s="161"/>
      <c r="N111" s="161"/>
      <c r="O111" s="161"/>
      <c r="P111" s="161"/>
      <c r="Q111" s="161"/>
      <c r="R111" s="161"/>
      <c r="S111" s="161"/>
      <c r="T111" s="161"/>
      <c r="U111" s="161"/>
      <c r="V111" s="206"/>
      <c r="W111" s="206"/>
      <c r="X111" s="206"/>
      <c r="Y111" s="153" t="s">
        <v>308</v>
      </c>
      <c r="Z111" s="267">
        <f>Z112</f>
        <v>0</v>
      </c>
      <c r="AA111" s="239">
        <f>AA112</f>
        <v>0</v>
      </c>
      <c r="AB111" s="239">
        <f>AB112</f>
        <v>0</v>
      </c>
      <c r="AC111" s="574" t="s">
        <v>308</v>
      </c>
    </row>
    <row r="112" spans="1:29" s="275" customFormat="1" ht="129.75" hidden="1" customHeight="1" x14ac:dyDescent="0.3">
      <c r="A112" s="135" t="s">
        <v>309</v>
      </c>
      <c r="B112" s="136" t="s">
        <v>15</v>
      </c>
      <c r="C112" s="136" t="s">
        <v>136</v>
      </c>
      <c r="D112" s="136" t="s">
        <v>124</v>
      </c>
      <c r="E112" s="234" t="s">
        <v>540</v>
      </c>
      <c r="F112" s="136"/>
      <c r="G112" s="136"/>
      <c r="H112" s="136"/>
      <c r="I112" s="136"/>
      <c r="J112" s="136"/>
      <c r="K112" s="136"/>
      <c r="L112" s="136"/>
      <c r="M112" s="136"/>
      <c r="N112" s="136"/>
      <c r="O112" s="136"/>
      <c r="P112" s="136"/>
      <c r="Q112" s="136"/>
      <c r="R112" s="136"/>
      <c r="S112" s="136"/>
      <c r="T112" s="136" t="s">
        <v>275</v>
      </c>
      <c r="U112" s="136"/>
      <c r="V112" s="137"/>
      <c r="W112" s="137"/>
      <c r="X112" s="137"/>
      <c r="Y112" s="135" t="s">
        <v>309</v>
      </c>
      <c r="Z112" s="268">
        <v>0</v>
      </c>
      <c r="AA112" s="212">
        <v>0</v>
      </c>
      <c r="AB112" s="212">
        <v>0</v>
      </c>
      <c r="AC112" s="571" t="s">
        <v>309</v>
      </c>
    </row>
    <row r="113" spans="1:29" ht="120" customHeight="1" x14ac:dyDescent="0.3">
      <c r="A113" s="153" t="s">
        <v>1248</v>
      </c>
      <c r="B113" s="161" t="s">
        <v>15</v>
      </c>
      <c r="C113" s="161" t="s">
        <v>136</v>
      </c>
      <c r="D113" s="161" t="s">
        <v>124</v>
      </c>
      <c r="E113" s="234" t="s">
        <v>541</v>
      </c>
      <c r="F113" s="161"/>
      <c r="G113" s="161"/>
      <c r="H113" s="161"/>
      <c r="I113" s="161"/>
      <c r="J113" s="161"/>
      <c r="K113" s="161"/>
      <c r="L113" s="161"/>
      <c r="M113" s="161"/>
      <c r="N113" s="161"/>
      <c r="O113" s="161"/>
      <c r="P113" s="161"/>
      <c r="Q113" s="161"/>
      <c r="R113" s="161"/>
      <c r="S113" s="161"/>
      <c r="T113" s="161"/>
      <c r="U113" s="161"/>
      <c r="V113" s="206"/>
      <c r="W113" s="206"/>
      <c r="X113" s="206"/>
      <c r="Y113" s="153" t="s">
        <v>310</v>
      </c>
      <c r="Z113" s="239">
        <f>Z114</f>
        <v>10000</v>
      </c>
      <c r="AA113" s="239">
        <f>AA114</f>
        <v>25000</v>
      </c>
      <c r="AB113" s="239">
        <f>AB114</f>
        <v>25000</v>
      </c>
      <c r="AC113" s="568" t="s">
        <v>310</v>
      </c>
    </row>
    <row r="114" spans="1:29" ht="68.25" customHeight="1" x14ac:dyDescent="0.3">
      <c r="A114" s="135" t="s">
        <v>565</v>
      </c>
      <c r="B114" s="136" t="s">
        <v>15</v>
      </c>
      <c r="C114" s="136" t="s">
        <v>136</v>
      </c>
      <c r="D114" s="136" t="s">
        <v>124</v>
      </c>
      <c r="E114" s="234" t="s">
        <v>541</v>
      </c>
      <c r="F114" s="136"/>
      <c r="G114" s="136"/>
      <c r="H114" s="136"/>
      <c r="I114" s="136"/>
      <c r="J114" s="136"/>
      <c r="K114" s="136"/>
      <c r="L114" s="136"/>
      <c r="M114" s="136"/>
      <c r="N114" s="136"/>
      <c r="O114" s="136"/>
      <c r="P114" s="136"/>
      <c r="Q114" s="136"/>
      <c r="R114" s="136"/>
      <c r="S114" s="136"/>
      <c r="T114" s="136" t="s">
        <v>275</v>
      </c>
      <c r="U114" s="136"/>
      <c r="V114" s="137"/>
      <c r="W114" s="137"/>
      <c r="X114" s="137"/>
      <c r="Y114" s="135" t="s">
        <v>311</v>
      </c>
      <c r="Z114" s="212">
        <f>25000-15000</f>
        <v>10000</v>
      </c>
      <c r="AA114" s="212">
        <v>25000</v>
      </c>
      <c r="AB114" s="212">
        <v>25000</v>
      </c>
      <c r="AC114" s="213" t="s">
        <v>311</v>
      </c>
    </row>
    <row r="115" spans="1:29" s="275" customFormat="1" ht="138.75" customHeight="1" x14ac:dyDescent="0.3">
      <c r="A115" s="153" t="s">
        <v>1248</v>
      </c>
      <c r="B115" s="136" t="s">
        <v>15</v>
      </c>
      <c r="C115" s="136" t="s">
        <v>136</v>
      </c>
      <c r="D115" s="136" t="s">
        <v>124</v>
      </c>
      <c r="E115" s="234" t="s">
        <v>900</v>
      </c>
      <c r="F115" s="136"/>
      <c r="G115" s="136"/>
      <c r="H115" s="136"/>
      <c r="I115" s="136"/>
      <c r="J115" s="136"/>
      <c r="K115" s="136"/>
      <c r="L115" s="136"/>
      <c r="M115" s="136"/>
      <c r="N115" s="136"/>
      <c r="O115" s="136"/>
      <c r="P115" s="136"/>
      <c r="Q115" s="136"/>
      <c r="R115" s="136"/>
      <c r="S115" s="136"/>
      <c r="T115" s="136"/>
      <c r="U115" s="136"/>
      <c r="V115" s="137"/>
      <c r="W115" s="137"/>
      <c r="X115" s="137"/>
      <c r="Y115" s="135"/>
      <c r="Z115" s="212">
        <f>Z116</f>
        <v>0</v>
      </c>
      <c r="AA115" s="212">
        <f t="shared" ref="AA115:AC115" si="8">AA116</f>
        <v>100000</v>
      </c>
      <c r="AB115" s="212">
        <f t="shared" si="8"/>
        <v>100000</v>
      </c>
      <c r="AC115" s="575">
        <f t="shared" si="8"/>
        <v>0</v>
      </c>
    </row>
    <row r="116" spans="1:29" s="275" customFormat="1" ht="45" customHeight="1" x14ac:dyDescent="0.3">
      <c r="A116" s="135" t="s">
        <v>763</v>
      </c>
      <c r="B116" s="136" t="s">
        <v>15</v>
      </c>
      <c r="C116" s="136" t="s">
        <v>136</v>
      </c>
      <c r="D116" s="136" t="s">
        <v>124</v>
      </c>
      <c r="E116" s="234" t="s">
        <v>900</v>
      </c>
      <c r="F116" s="136"/>
      <c r="G116" s="136"/>
      <c r="H116" s="136"/>
      <c r="I116" s="136"/>
      <c r="J116" s="136"/>
      <c r="K116" s="136"/>
      <c r="L116" s="136"/>
      <c r="M116" s="136"/>
      <c r="N116" s="136"/>
      <c r="O116" s="136"/>
      <c r="P116" s="136"/>
      <c r="Q116" s="136"/>
      <c r="R116" s="136"/>
      <c r="S116" s="136"/>
      <c r="T116" s="136" t="s">
        <v>243</v>
      </c>
      <c r="U116" s="136"/>
      <c r="V116" s="137"/>
      <c r="W116" s="137"/>
      <c r="X116" s="137"/>
      <c r="Y116" s="135"/>
      <c r="Z116" s="212">
        <f>100000-100000</f>
        <v>0</v>
      </c>
      <c r="AA116" s="212">
        <v>100000</v>
      </c>
      <c r="AB116" s="212">
        <v>100000</v>
      </c>
      <c r="AC116" s="571"/>
    </row>
    <row r="117" spans="1:29" s="275" customFormat="1" ht="45" hidden="1" customHeight="1" x14ac:dyDescent="0.3">
      <c r="A117" s="153" t="s">
        <v>597</v>
      </c>
      <c r="B117" s="136" t="s">
        <v>15</v>
      </c>
      <c r="C117" s="136" t="s">
        <v>136</v>
      </c>
      <c r="D117" s="136" t="s">
        <v>124</v>
      </c>
      <c r="E117" s="234" t="s">
        <v>899</v>
      </c>
      <c r="F117" s="136"/>
      <c r="G117" s="136"/>
      <c r="H117" s="136"/>
      <c r="I117" s="136"/>
      <c r="J117" s="136"/>
      <c r="K117" s="136"/>
      <c r="L117" s="136"/>
      <c r="M117" s="136"/>
      <c r="N117" s="136"/>
      <c r="O117" s="136"/>
      <c r="P117" s="136"/>
      <c r="Q117" s="136"/>
      <c r="R117" s="136"/>
      <c r="S117" s="136"/>
      <c r="T117" s="136"/>
      <c r="U117" s="136"/>
      <c r="V117" s="137"/>
      <c r="W117" s="137"/>
      <c r="X117" s="137"/>
      <c r="Y117" s="135"/>
      <c r="Z117" s="212">
        <f>Z118</f>
        <v>0</v>
      </c>
      <c r="AA117" s="212">
        <f t="shared" ref="AA117:AB117" si="9">AA118</f>
        <v>0</v>
      </c>
      <c r="AB117" s="212">
        <f t="shared" si="9"/>
        <v>0</v>
      </c>
      <c r="AC117" s="571"/>
    </row>
    <row r="118" spans="1:29" s="275" customFormat="1" ht="36.75" hidden="1" customHeight="1" x14ac:dyDescent="0.3">
      <c r="A118" s="135" t="s">
        <v>872</v>
      </c>
      <c r="B118" s="136" t="s">
        <v>15</v>
      </c>
      <c r="C118" s="136" t="s">
        <v>136</v>
      </c>
      <c r="D118" s="136" t="s">
        <v>124</v>
      </c>
      <c r="E118" s="234" t="s">
        <v>899</v>
      </c>
      <c r="F118" s="136"/>
      <c r="G118" s="136"/>
      <c r="H118" s="136"/>
      <c r="I118" s="136"/>
      <c r="J118" s="136"/>
      <c r="K118" s="136"/>
      <c r="L118" s="136"/>
      <c r="M118" s="136"/>
      <c r="N118" s="136"/>
      <c r="O118" s="136"/>
      <c r="P118" s="136"/>
      <c r="Q118" s="136"/>
      <c r="R118" s="136"/>
      <c r="S118" s="136"/>
      <c r="T118" s="136" t="s">
        <v>275</v>
      </c>
      <c r="U118" s="136"/>
      <c r="V118" s="137"/>
      <c r="W118" s="137"/>
      <c r="X118" s="137"/>
      <c r="Y118" s="135"/>
      <c r="Z118" s="212">
        <v>0</v>
      </c>
      <c r="AA118" s="212">
        <v>0</v>
      </c>
      <c r="AB118" s="212">
        <v>0</v>
      </c>
      <c r="AC118" s="571"/>
    </row>
    <row r="119" spans="1:29" ht="37.5" hidden="1" customHeight="1" x14ac:dyDescent="0.3">
      <c r="A119" s="153" t="s">
        <v>598</v>
      </c>
      <c r="B119" s="161" t="s">
        <v>15</v>
      </c>
      <c r="C119" s="161" t="s">
        <v>136</v>
      </c>
      <c r="D119" s="161" t="s">
        <v>124</v>
      </c>
      <c r="E119" s="234" t="s">
        <v>542</v>
      </c>
      <c r="F119" s="161"/>
      <c r="G119" s="161"/>
      <c r="H119" s="161"/>
      <c r="I119" s="161"/>
      <c r="J119" s="161"/>
      <c r="K119" s="161"/>
      <c r="L119" s="161"/>
      <c r="M119" s="161"/>
      <c r="N119" s="161"/>
      <c r="O119" s="161"/>
      <c r="P119" s="161"/>
      <c r="Q119" s="161"/>
      <c r="R119" s="161"/>
      <c r="S119" s="161"/>
      <c r="T119" s="161"/>
      <c r="U119" s="161"/>
      <c r="V119" s="206"/>
      <c r="W119" s="206"/>
      <c r="X119" s="206"/>
      <c r="Y119" s="153" t="s">
        <v>312</v>
      </c>
      <c r="Z119" s="239">
        <f>Z120</f>
        <v>0</v>
      </c>
      <c r="AA119" s="239">
        <f>AA120</f>
        <v>0</v>
      </c>
      <c r="AB119" s="239">
        <f>AB120</f>
        <v>0</v>
      </c>
      <c r="AC119" s="568" t="s">
        <v>312</v>
      </c>
    </row>
    <row r="120" spans="1:29" ht="37.5" hidden="1" customHeight="1" x14ac:dyDescent="0.3">
      <c r="A120" s="135" t="s">
        <v>313</v>
      </c>
      <c r="B120" s="136" t="s">
        <v>15</v>
      </c>
      <c r="C120" s="136" t="s">
        <v>136</v>
      </c>
      <c r="D120" s="136" t="s">
        <v>124</v>
      </c>
      <c r="E120" s="234" t="s">
        <v>542</v>
      </c>
      <c r="F120" s="136"/>
      <c r="G120" s="136"/>
      <c r="H120" s="136"/>
      <c r="I120" s="136"/>
      <c r="J120" s="136"/>
      <c r="K120" s="136"/>
      <c r="L120" s="136"/>
      <c r="M120" s="136"/>
      <c r="N120" s="136"/>
      <c r="O120" s="136"/>
      <c r="P120" s="136"/>
      <c r="Q120" s="136"/>
      <c r="R120" s="136"/>
      <c r="S120" s="136"/>
      <c r="T120" s="136" t="s">
        <v>275</v>
      </c>
      <c r="U120" s="136"/>
      <c r="V120" s="137"/>
      <c r="W120" s="137"/>
      <c r="X120" s="137"/>
      <c r="Y120" s="135" t="s">
        <v>313</v>
      </c>
      <c r="Z120" s="212">
        <f>30000-30000</f>
        <v>0</v>
      </c>
      <c r="AA120" s="212">
        <v>0</v>
      </c>
      <c r="AB120" s="212">
        <v>0</v>
      </c>
      <c r="AC120" s="213" t="s">
        <v>313</v>
      </c>
    </row>
    <row r="121" spans="1:29" ht="39.75" hidden="1" customHeight="1" x14ac:dyDescent="0.3">
      <c r="A121" s="153" t="s">
        <v>599</v>
      </c>
      <c r="B121" s="161" t="s">
        <v>15</v>
      </c>
      <c r="C121" s="161" t="s">
        <v>136</v>
      </c>
      <c r="D121" s="161" t="s">
        <v>124</v>
      </c>
      <c r="E121" s="234" t="s">
        <v>543</v>
      </c>
      <c r="F121" s="161"/>
      <c r="G121" s="161"/>
      <c r="H121" s="161"/>
      <c r="I121" s="161"/>
      <c r="J121" s="161"/>
      <c r="K121" s="161"/>
      <c r="L121" s="161"/>
      <c r="M121" s="161"/>
      <c r="N121" s="161"/>
      <c r="O121" s="161"/>
      <c r="P121" s="161"/>
      <c r="Q121" s="161"/>
      <c r="R121" s="161"/>
      <c r="S121" s="161"/>
      <c r="T121" s="161"/>
      <c r="U121" s="161"/>
      <c r="V121" s="206"/>
      <c r="W121" s="206"/>
      <c r="X121" s="206"/>
      <c r="Y121" s="153" t="s">
        <v>314</v>
      </c>
      <c r="Z121" s="239">
        <f>Z122</f>
        <v>0</v>
      </c>
      <c r="AA121" s="239">
        <f>AA122</f>
        <v>0</v>
      </c>
      <c r="AB121" s="239">
        <f>AB122</f>
        <v>0</v>
      </c>
      <c r="AC121" s="568" t="s">
        <v>314</v>
      </c>
    </row>
    <row r="122" spans="1:29" ht="73.5" hidden="1" customHeight="1" x14ac:dyDescent="0.3">
      <c r="A122" s="135" t="s">
        <v>315</v>
      </c>
      <c r="B122" s="136" t="s">
        <v>15</v>
      </c>
      <c r="C122" s="136" t="s">
        <v>136</v>
      </c>
      <c r="D122" s="136" t="s">
        <v>124</v>
      </c>
      <c r="E122" s="234" t="s">
        <v>543</v>
      </c>
      <c r="F122" s="136"/>
      <c r="G122" s="136"/>
      <c r="H122" s="136"/>
      <c r="I122" s="136"/>
      <c r="J122" s="136"/>
      <c r="K122" s="136"/>
      <c r="L122" s="136"/>
      <c r="M122" s="136"/>
      <c r="N122" s="136"/>
      <c r="O122" s="136"/>
      <c r="P122" s="136"/>
      <c r="Q122" s="136"/>
      <c r="R122" s="136"/>
      <c r="S122" s="136"/>
      <c r="T122" s="136" t="s">
        <v>275</v>
      </c>
      <c r="U122" s="136"/>
      <c r="V122" s="137"/>
      <c r="W122" s="137"/>
      <c r="X122" s="137"/>
      <c r="Y122" s="135" t="s">
        <v>315</v>
      </c>
      <c r="Z122" s="212">
        <f>30000-30000</f>
        <v>0</v>
      </c>
      <c r="AA122" s="212">
        <v>0</v>
      </c>
      <c r="AB122" s="212">
        <v>0</v>
      </c>
      <c r="AC122" s="213" t="s">
        <v>315</v>
      </c>
    </row>
    <row r="123" spans="1:29" ht="116.25" hidden="1" customHeight="1" x14ac:dyDescent="0.3">
      <c r="A123" s="295" t="s">
        <v>597</v>
      </c>
      <c r="B123" s="136" t="s">
        <v>15</v>
      </c>
      <c r="C123" s="136" t="s">
        <v>136</v>
      </c>
      <c r="D123" s="136" t="s">
        <v>124</v>
      </c>
      <c r="E123" s="234" t="s">
        <v>899</v>
      </c>
      <c r="F123" s="136"/>
      <c r="G123" s="136"/>
      <c r="H123" s="136"/>
      <c r="I123" s="136"/>
      <c r="J123" s="136"/>
      <c r="K123" s="136"/>
      <c r="L123" s="136"/>
      <c r="M123" s="136"/>
      <c r="N123" s="136"/>
      <c r="O123" s="136"/>
      <c r="P123" s="136"/>
      <c r="Q123" s="136"/>
      <c r="R123" s="136"/>
      <c r="S123" s="136"/>
      <c r="T123" s="136"/>
      <c r="U123" s="136"/>
      <c r="V123" s="137"/>
      <c r="W123" s="137"/>
      <c r="X123" s="137"/>
      <c r="Y123" s="135"/>
      <c r="Z123" s="212">
        <f>Z124</f>
        <v>0</v>
      </c>
      <c r="AA123" s="212">
        <v>0</v>
      </c>
      <c r="AB123" s="212">
        <v>0</v>
      </c>
      <c r="AC123" s="213"/>
    </row>
    <row r="124" spans="1:29" ht="120.75" hidden="1" customHeight="1" x14ac:dyDescent="0.3">
      <c r="A124" s="529" t="s">
        <v>872</v>
      </c>
      <c r="B124" s="136" t="s">
        <v>15</v>
      </c>
      <c r="C124" s="136" t="s">
        <v>136</v>
      </c>
      <c r="D124" s="136" t="s">
        <v>124</v>
      </c>
      <c r="E124" s="234" t="s">
        <v>899</v>
      </c>
      <c r="F124" s="136"/>
      <c r="G124" s="136"/>
      <c r="H124" s="136"/>
      <c r="I124" s="136"/>
      <c r="J124" s="136"/>
      <c r="K124" s="136"/>
      <c r="L124" s="136"/>
      <c r="M124" s="136"/>
      <c r="N124" s="136"/>
      <c r="O124" s="136"/>
      <c r="P124" s="136"/>
      <c r="Q124" s="136"/>
      <c r="R124" s="136"/>
      <c r="S124" s="136"/>
      <c r="T124" s="136" t="s">
        <v>275</v>
      </c>
      <c r="U124" s="136"/>
      <c r="V124" s="137"/>
      <c r="W124" s="137"/>
      <c r="X124" s="137"/>
      <c r="Y124" s="135"/>
      <c r="Z124" s="212">
        <v>0</v>
      </c>
      <c r="AA124" s="212">
        <v>0</v>
      </c>
      <c r="AB124" s="212">
        <v>0</v>
      </c>
      <c r="AC124" s="213"/>
    </row>
    <row r="125" spans="1:29" ht="145.5" customHeight="1" x14ac:dyDescent="0.3">
      <c r="A125" s="266" t="s">
        <v>1249</v>
      </c>
      <c r="B125" s="249" t="s">
        <v>15</v>
      </c>
      <c r="C125" s="136" t="s">
        <v>136</v>
      </c>
      <c r="D125" s="136" t="s">
        <v>124</v>
      </c>
      <c r="E125" s="234" t="s">
        <v>1044</v>
      </c>
      <c r="F125" s="136"/>
      <c r="G125" s="136"/>
      <c r="H125" s="136"/>
      <c r="I125" s="136"/>
      <c r="J125" s="136"/>
      <c r="K125" s="136"/>
      <c r="L125" s="136"/>
      <c r="M125" s="136"/>
      <c r="N125" s="136"/>
      <c r="O125" s="136"/>
      <c r="P125" s="136"/>
      <c r="Q125" s="136"/>
      <c r="R125" s="136"/>
      <c r="S125" s="136"/>
      <c r="T125" s="136"/>
      <c r="U125" s="136"/>
      <c r="V125" s="137"/>
      <c r="W125" s="137"/>
      <c r="X125" s="137"/>
      <c r="Y125" s="135"/>
      <c r="Z125" s="212">
        <f>Z126</f>
        <v>313000</v>
      </c>
      <c r="AA125" s="212">
        <v>0</v>
      </c>
      <c r="AB125" s="212">
        <v>0</v>
      </c>
      <c r="AC125" s="213"/>
    </row>
    <row r="126" spans="1:29" ht="36" customHeight="1" x14ac:dyDescent="0.3">
      <c r="A126" s="449" t="s">
        <v>763</v>
      </c>
      <c r="B126" s="249" t="s">
        <v>15</v>
      </c>
      <c r="C126" s="136" t="s">
        <v>136</v>
      </c>
      <c r="D126" s="136" t="s">
        <v>124</v>
      </c>
      <c r="E126" s="234" t="s">
        <v>1044</v>
      </c>
      <c r="F126" s="136"/>
      <c r="G126" s="136"/>
      <c r="H126" s="136"/>
      <c r="I126" s="136"/>
      <c r="J126" s="136"/>
      <c r="K126" s="136"/>
      <c r="L126" s="136"/>
      <c r="M126" s="136"/>
      <c r="N126" s="136"/>
      <c r="O126" s="136"/>
      <c r="P126" s="136"/>
      <c r="Q126" s="136"/>
      <c r="R126" s="136"/>
      <c r="S126" s="136"/>
      <c r="T126" s="136" t="s">
        <v>243</v>
      </c>
      <c r="U126" s="136"/>
      <c r="V126" s="137"/>
      <c r="W126" s="137"/>
      <c r="X126" s="137"/>
      <c r="Y126" s="135"/>
      <c r="Z126" s="268">
        <f>250000+63000</f>
        <v>313000</v>
      </c>
      <c r="AA126" s="212">
        <v>0</v>
      </c>
      <c r="AB126" s="212">
        <v>0</v>
      </c>
      <c r="AC126" s="213"/>
    </row>
    <row r="127" spans="1:29" ht="147.75" hidden="1" customHeight="1" x14ac:dyDescent="0.3">
      <c r="A127" s="492" t="s">
        <v>989</v>
      </c>
      <c r="B127" s="136" t="s">
        <v>15</v>
      </c>
      <c r="C127" s="136" t="s">
        <v>136</v>
      </c>
      <c r="D127" s="136" t="s">
        <v>124</v>
      </c>
      <c r="E127" s="234" t="s">
        <v>991</v>
      </c>
      <c r="F127" s="136"/>
      <c r="G127" s="136"/>
      <c r="H127" s="136"/>
      <c r="I127" s="136"/>
      <c r="J127" s="136"/>
      <c r="K127" s="136"/>
      <c r="L127" s="136"/>
      <c r="M127" s="136"/>
      <c r="N127" s="136"/>
      <c r="O127" s="136"/>
      <c r="P127" s="136"/>
      <c r="Q127" s="136"/>
      <c r="R127" s="136"/>
      <c r="S127" s="136"/>
      <c r="T127" s="136"/>
      <c r="U127" s="136"/>
      <c r="V127" s="137"/>
      <c r="W127" s="137"/>
      <c r="X127" s="137"/>
      <c r="Y127" s="135"/>
      <c r="Z127" s="212">
        <f>Z128</f>
        <v>0</v>
      </c>
      <c r="AA127" s="212">
        <v>0</v>
      </c>
      <c r="AB127" s="212">
        <v>0</v>
      </c>
      <c r="AC127" s="213"/>
    </row>
    <row r="128" spans="1:29" ht="102" hidden="1" customHeight="1" x14ac:dyDescent="0.3">
      <c r="A128" s="343" t="s">
        <v>990</v>
      </c>
      <c r="B128" s="136" t="s">
        <v>15</v>
      </c>
      <c r="C128" s="136" t="s">
        <v>136</v>
      </c>
      <c r="D128" s="136" t="s">
        <v>124</v>
      </c>
      <c r="E128" s="234" t="s">
        <v>991</v>
      </c>
      <c r="F128" s="136"/>
      <c r="G128" s="136"/>
      <c r="H128" s="136"/>
      <c r="I128" s="136"/>
      <c r="J128" s="136"/>
      <c r="K128" s="136"/>
      <c r="L128" s="136"/>
      <c r="M128" s="136"/>
      <c r="N128" s="136"/>
      <c r="O128" s="136"/>
      <c r="P128" s="136"/>
      <c r="Q128" s="136"/>
      <c r="R128" s="136"/>
      <c r="S128" s="136"/>
      <c r="T128" s="136" t="s">
        <v>275</v>
      </c>
      <c r="U128" s="136"/>
      <c r="V128" s="137"/>
      <c r="W128" s="137"/>
      <c r="X128" s="137"/>
      <c r="Y128" s="135"/>
      <c r="Z128" s="212">
        <v>0</v>
      </c>
      <c r="AA128" s="212">
        <v>0</v>
      </c>
      <c r="AB128" s="212">
        <v>0</v>
      </c>
      <c r="AC128" s="213"/>
    </row>
    <row r="129" spans="1:29" ht="180" customHeight="1" x14ac:dyDescent="0.3">
      <c r="A129" s="286" t="s">
        <v>1250</v>
      </c>
      <c r="B129" s="161" t="s">
        <v>15</v>
      </c>
      <c r="C129" s="161" t="s">
        <v>136</v>
      </c>
      <c r="D129" s="161" t="s">
        <v>124</v>
      </c>
      <c r="E129" s="234" t="s">
        <v>909</v>
      </c>
      <c r="F129" s="161"/>
      <c r="G129" s="161"/>
      <c r="H129" s="161"/>
      <c r="I129" s="161"/>
      <c r="J129" s="161"/>
      <c r="K129" s="161"/>
      <c r="L129" s="161"/>
      <c r="M129" s="161"/>
      <c r="N129" s="161"/>
      <c r="O129" s="161"/>
      <c r="P129" s="161"/>
      <c r="Q129" s="161"/>
      <c r="R129" s="161"/>
      <c r="S129" s="161"/>
      <c r="T129" s="161"/>
      <c r="U129" s="161"/>
      <c r="V129" s="206"/>
      <c r="W129" s="206"/>
      <c r="X129" s="206"/>
      <c r="Y129" s="153" t="s">
        <v>316</v>
      </c>
      <c r="Z129" s="239">
        <f>Z130</f>
        <v>22321.43</v>
      </c>
      <c r="AA129" s="239">
        <f>AA130</f>
        <v>22321.43</v>
      </c>
      <c r="AB129" s="239">
        <f>AB130</f>
        <v>22321.43</v>
      </c>
      <c r="AC129" s="585" t="s">
        <v>316</v>
      </c>
    </row>
    <row r="130" spans="1:29" ht="60" customHeight="1" x14ac:dyDescent="0.3">
      <c r="A130" s="135" t="s">
        <v>565</v>
      </c>
      <c r="B130" s="136" t="s">
        <v>15</v>
      </c>
      <c r="C130" s="136" t="s">
        <v>136</v>
      </c>
      <c r="D130" s="136" t="s">
        <v>124</v>
      </c>
      <c r="E130" s="234" t="s">
        <v>909</v>
      </c>
      <c r="F130" s="136"/>
      <c r="G130" s="136"/>
      <c r="H130" s="136"/>
      <c r="I130" s="136"/>
      <c r="J130" s="136"/>
      <c r="K130" s="136"/>
      <c r="L130" s="136"/>
      <c r="M130" s="136"/>
      <c r="N130" s="136"/>
      <c r="O130" s="136"/>
      <c r="P130" s="136"/>
      <c r="Q130" s="136"/>
      <c r="R130" s="136"/>
      <c r="S130" s="136"/>
      <c r="T130" s="136" t="s">
        <v>275</v>
      </c>
      <c r="U130" s="136"/>
      <c r="V130" s="137"/>
      <c r="W130" s="137"/>
      <c r="X130" s="137"/>
      <c r="Y130" s="135" t="s">
        <v>317</v>
      </c>
      <c r="Z130" s="212">
        <f>21900+29.82+370.18+21.43</f>
        <v>22321.43</v>
      </c>
      <c r="AA130" s="212">
        <f>21900+29.82+370.18+21.43</f>
        <v>22321.43</v>
      </c>
      <c r="AB130" s="212">
        <f>21900+29.82+370.18+21.43</f>
        <v>22321.43</v>
      </c>
      <c r="AC130" s="213" t="s">
        <v>317</v>
      </c>
    </row>
    <row r="131" spans="1:29" ht="143.25" customHeight="1" x14ac:dyDescent="0.3">
      <c r="A131" s="295" t="s">
        <v>1251</v>
      </c>
      <c r="B131" s="136" t="s">
        <v>15</v>
      </c>
      <c r="C131" s="136" t="s">
        <v>136</v>
      </c>
      <c r="D131" s="136" t="s">
        <v>124</v>
      </c>
      <c r="E131" s="234" t="s">
        <v>1004</v>
      </c>
      <c r="F131" s="136"/>
      <c r="G131" s="136"/>
      <c r="H131" s="136"/>
      <c r="I131" s="136"/>
      <c r="J131" s="136"/>
      <c r="K131" s="136"/>
      <c r="L131" s="136"/>
      <c r="M131" s="136"/>
      <c r="N131" s="136"/>
      <c r="O131" s="136"/>
      <c r="P131" s="136"/>
      <c r="Q131" s="136"/>
      <c r="R131" s="136"/>
      <c r="S131" s="136"/>
      <c r="T131" s="136"/>
      <c r="U131" s="136"/>
      <c r="V131" s="137"/>
      <c r="W131" s="137"/>
      <c r="X131" s="137"/>
      <c r="Y131" s="135"/>
      <c r="Z131" s="212">
        <f>Z132</f>
        <v>120000</v>
      </c>
      <c r="AA131" s="212">
        <v>0</v>
      </c>
      <c r="AB131" s="212">
        <v>0</v>
      </c>
      <c r="AC131" s="213"/>
    </row>
    <row r="132" spans="1:29" ht="52.5" customHeight="1" x14ac:dyDescent="0.3">
      <c r="A132" s="343" t="s">
        <v>565</v>
      </c>
      <c r="B132" s="136" t="s">
        <v>15</v>
      </c>
      <c r="C132" s="136" t="s">
        <v>136</v>
      </c>
      <c r="D132" s="136" t="s">
        <v>124</v>
      </c>
      <c r="E132" s="234" t="s">
        <v>1004</v>
      </c>
      <c r="F132" s="136"/>
      <c r="G132" s="136"/>
      <c r="H132" s="136"/>
      <c r="I132" s="136"/>
      <c r="J132" s="136"/>
      <c r="K132" s="136"/>
      <c r="L132" s="136"/>
      <c r="M132" s="136"/>
      <c r="N132" s="136"/>
      <c r="O132" s="136"/>
      <c r="P132" s="136"/>
      <c r="Q132" s="136"/>
      <c r="R132" s="136"/>
      <c r="S132" s="136"/>
      <c r="T132" s="136" t="s">
        <v>275</v>
      </c>
      <c r="U132" s="136"/>
      <c r="V132" s="137"/>
      <c r="W132" s="137"/>
      <c r="X132" s="137"/>
      <c r="Y132" s="135"/>
      <c r="Z132" s="268">
        <f>120000+150000-150000</f>
        <v>120000</v>
      </c>
      <c r="AA132" s="212">
        <v>0</v>
      </c>
      <c r="AB132" s="212">
        <v>0</v>
      </c>
      <c r="AC132" s="213"/>
    </row>
    <row r="133" spans="1:29" ht="41.25" hidden="1" customHeight="1" x14ac:dyDescent="0.3">
      <c r="A133" s="272" t="s">
        <v>544</v>
      </c>
      <c r="B133" s="145" t="s">
        <v>15</v>
      </c>
      <c r="C133" s="146" t="s">
        <v>136</v>
      </c>
      <c r="D133" s="146" t="s">
        <v>124</v>
      </c>
      <c r="E133" s="247" t="s">
        <v>545</v>
      </c>
      <c r="F133" s="146"/>
      <c r="G133" s="146"/>
      <c r="H133" s="146"/>
      <c r="I133" s="146"/>
      <c r="J133" s="146"/>
      <c r="K133" s="146"/>
      <c r="L133" s="146"/>
      <c r="M133" s="146"/>
      <c r="N133" s="146"/>
      <c r="O133" s="146"/>
      <c r="P133" s="146"/>
      <c r="Q133" s="146"/>
      <c r="R133" s="146"/>
      <c r="S133" s="146"/>
      <c r="T133" s="146"/>
      <c r="U133" s="136"/>
      <c r="V133" s="137"/>
      <c r="W133" s="137"/>
      <c r="X133" s="137"/>
      <c r="Y133" s="135"/>
      <c r="Z133" s="212">
        <f>Z134</f>
        <v>0</v>
      </c>
      <c r="AA133" s="212">
        <f>AA134</f>
        <v>0</v>
      </c>
      <c r="AB133" s="212">
        <f>AB134</f>
        <v>0</v>
      </c>
      <c r="AC133" s="213"/>
    </row>
    <row r="134" spans="1:29" ht="43.5" hidden="1" customHeight="1" x14ac:dyDescent="0.3">
      <c r="A134" s="273" t="s">
        <v>731</v>
      </c>
      <c r="B134" s="146" t="s">
        <v>15</v>
      </c>
      <c r="C134" s="146" t="s">
        <v>136</v>
      </c>
      <c r="D134" s="146" t="s">
        <v>124</v>
      </c>
      <c r="E134" s="247" t="s">
        <v>545</v>
      </c>
      <c r="F134" s="146"/>
      <c r="G134" s="146"/>
      <c r="H134" s="146"/>
      <c r="I134" s="146"/>
      <c r="J134" s="146"/>
      <c r="K134" s="146"/>
      <c r="L134" s="146"/>
      <c r="M134" s="146"/>
      <c r="N134" s="146"/>
      <c r="O134" s="146"/>
      <c r="P134" s="146"/>
      <c r="Q134" s="146"/>
      <c r="R134" s="146"/>
      <c r="S134" s="146"/>
      <c r="T134" s="146" t="s">
        <v>243</v>
      </c>
      <c r="U134" s="136"/>
      <c r="V134" s="137"/>
      <c r="W134" s="137"/>
      <c r="X134" s="137"/>
      <c r="Y134" s="135"/>
      <c r="Z134" s="212">
        <v>0</v>
      </c>
      <c r="AA134" s="212">
        <v>0</v>
      </c>
      <c r="AB134" s="212">
        <v>0</v>
      </c>
      <c r="AC134" s="213"/>
    </row>
    <row r="135" spans="1:29" ht="34.5" hidden="1" customHeight="1" x14ac:dyDescent="0.3">
      <c r="A135" s="156" t="s">
        <v>546</v>
      </c>
      <c r="B135" s="146" t="s">
        <v>15</v>
      </c>
      <c r="C135" s="146" t="s">
        <v>136</v>
      </c>
      <c r="D135" s="146" t="s">
        <v>124</v>
      </c>
      <c r="E135" s="247" t="s">
        <v>547</v>
      </c>
      <c r="F135" s="146"/>
      <c r="G135" s="146"/>
      <c r="H135" s="146"/>
      <c r="I135" s="146"/>
      <c r="J135" s="146"/>
      <c r="K135" s="146"/>
      <c r="L135" s="146"/>
      <c r="M135" s="146"/>
      <c r="N135" s="146"/>
      <c r="O135" s="146"/>
      <c r="P135" s="146"/>
      <c r="Q135" s="146"/>
      <c r="R135" s="146"/>
      <c r="S135" s="146"/>
      <c r="T135" s="146"/>
      <c r="U135" s="136"/>
      <c r="V135" s="137"/>
      <c r="W135" s="137"/>
      <c r="X135" s="137"/>
      <c r="Y135" s="135"/>
      <c r="Z135" s="212">
        <f>Z136</f>
        <v>0</v>
      </c>
      <c r="AA135" s="212">
        <f>AA136</f>
        <v>0</v>
      </c>
      <c r="AB135" s="212">
        <f>AB136</f>
        <v>0</v>
      </c>
      <c r="AC135" s="213"/>
    </row>
    <row r="136" spans="1:29" ht="48.75" hidden="1" customHeight="1" x14ac:dyDescent="0.3">
      <c r="A136" s="157" t="s">
        <v>600</v>
      </c>
      <c r="B136" s="146" t="s">
        <v>15</v>
      </c>
      <c r="C136" s="146" t="s">
        <v>136</v>
      </c>
      <c r="D136" s="146" t="s">
        <v>124</v>
      </c>
      <c r="E136" s="247" t="s">
        <v>547</v>
      </c>
      <c r="F136" s="146"/>
      <c r="G136" s="146"/>
      <c r="H136" s="146"/>
      <c r="I136" s="146"/>
      <c r="J136" s="146"/>
      <c r="K136" s="146"/>
      <c r="L136" s="146"/>
      <c r="M136" s="146"/>
      <c r="N136" s="146"/>
      <c r="O136" s="146"/>
      <c r="P136" s="146"/>
      <c r="Q136" s="146"/>
      <c r="R136" s="146"/>
      <c r="S136" s="146"/>
      <c r="T136" s="146" t="s">
        <v>243</v>
      </c>
      <c r="U136" s="136"/>
      <c r="V136" s="137"/>
      <c r="W136" s="137"/>
      <c r="X136" s="137"/>
      <c r="Y136" s="135"/>
      <c r="Z136" s="212">
        <v>0</v>
      </c>
      <c r="AA136" s="212">
        <v>0</v>
      </c>
      <c r="AB136" s="212">
        <v>0</v>
      </c>
      <c r="AC136" s="213"/>
    </row>
    <row r="137" spans="1:29" ht="30" hidden="1" customHeight="1" x14ac:dyDescent="0.3">
      <c r="A137" s="159" t="s">
        <v>252</v>
      </c>
      <c r="B137" s="160" t="s">
        <v>15</v>
      </c>
      <c r="C137" s="160" t="s">
        <v>136</v>
      </c>
      <c r="D137" s="160" t="s">
        <v>125</v>
      </c>
      <c r="E137" s="160"/>
      <c r="F137" s="160"/>
      <c r="G137" s="160"/>
      <c r="H137" s="160"/>
      <c r="I137" s="160"/>
      <c r="J137" s="160"/>
      <c r="K137" s="160"/>
      <c r="L137" s="160"/>
      <c r="M137" s="160"/>
      <c r="N137" s="160"/>
      <c r="O137" s="160"/>
      <c r="P137" s="160"/>
      <c r="Q137" s="160"/>
      <c r="R137" s="160"/>
      <c r="S137" s="160"/>
      <c r="T137" s="160"/>
      <c r="U137" s="160"/>
      <c r="V137" s="214"/>
      <c r="W137" s="214"/>
      <c r="X137" s="214"/>
      <c r="Y137" s="159" t="s">
        <v>252</v>
      </c>
      <c r="Z137" s="215">
        <f>Z138+Z142+Z140</f>
        <v>0</v>
      </c>
      <c r="AA137" s="215">
        <f>AA138+AA142</f>
        <v>0</v>
      </c>
      <c r="AB137" s="215">
        <f>AB138+AB142</f>
        <v>0</v>
      </c>
      <c r="AC137" s="292" t="s">
        <v>252</v>
      </c>
    </row>
    <row r="138" spans="1:29" s="275" customFormat="1" ht="33.75" hidden="1" customHeight="1" x14ac:dyDescent="0.3">
      <c r="A138" s="153" t="s">
        <v>874</v>
      </c>
      <c r="B138" s="161" t="s">
        <v>15</v>
      </c>
      <c r="C138" s="161" t="s">
        <v>136</v>
      </c>
      <c r="D138" s="161" t="s">
        <v>125</v>
      </c>
      <c r="E138" s="234" t="s">
        <v>873</v>
      </c>
      <c r="F138" s="161"/>
      <c r="G138" s="161"/>
      <c r="H138" s="161"/>
      <c r="I138" s="161"/>
      <c r="J138" s="161"/>
      <c r="K138" s="161"/>
      <c r="L138" s="161"/>
      <c r="M138" s="161"/>
      <c r="N138" s="161"/>
      <c r="O138" s="161"/>
      <c r="P138" s="161"/>
      <c r="Q138" s="161"/>
      <c r="R138" s="161"/>
      <c r="S138" s="161"/>
      <c r="T138" s="161"/>
      <c r="U138" s="161"/>
      <c r="V138" s="206"/>
      <c r="W138" s="206"/>
      <c r="X138" s="206"/>
      <c r="Y138" s="153" t="s">
        <v>318</v>
      </c>
      <c r="Z138" s="239">
        <f>Z139</f>
        <v>0</v>
      </c>
      <c r="AA138" s="239">
        <f>AA139</f>
        <v>0</v>
      </c>
      <c r="AB138" s="239">
        <f>AB139</f>
        <v>0</v>
      </c>
      <c r="AC138" s="574" t="s">
        <v>318</v>
      </c>
    </row>
    <row r="139" spans="1:29" s="275" customFormat="1" ht="26.25" hidden="1" customHeight="1" x14ac:dyDescent="0.3">
      <c r="A139" s="135" t="s">
        <v>904</v>
      </c>
      <c r="B139" s="136" t="s">
        <v>15</v>
      </c>
      <c r="C139" s="136" t="s">
        <v>136</v>
      </c>
      <c r="D139" s="136" t="s">
        <v>125</v>
      </c>
      <c r="E139" s="234" t="s">
        <v>873</v>
      </c>
      <c r="F139" s="136"/>
      <c r="G139" s="136"/>
      <c r="H139" s="136"/>
      <c r="I139" s="136"/>
      <c r="J139" s="136"/>
      <c r="K139" s="136"/>
      <c r="L139" s="136"/>
      <c r="M139" s="136"/>
      <c r="N139" s="136"/>
      <c r="O139" s="136"/>
      <c r="P139" s="136"/>
      <c r="Q139" s="136"/>
      <c r="R139" s="136"/>
      <c r="S139" s="136"/>
      <c r="T139" s="136" t="s">
        <v>275</v>
      </c>
      <c r="U139" s="136"/>
      <c r="V139" s="137"/>
      <c r="W139" s="137"/>
      <c r="X139" s="137"/>
      <c r="Y139" s="135" t="s">
        <v>319</v>
      </c>
      <c r="Z139" s="212">
        <v>0</v>
      </c>
      <c r="AA139" s="212">
        <v>0</v>
      </c>
      <c r="AB139" s="212">
        <v>0</v>
      </c>
      <c r="AC139" s="571" t="s">
        <v>319</v>
      </c>
    </row>
    <row r="140" spans="1:29" s="275" customFormat="1" ht="144" hidden="1" customHeight="1" x14ac:dyDescent="0.3">
      <c r="A140" s="295" t="s">
        <v>992</v>
      </c>
      <c r="B140" s="161" t="s">
        <v>15</v>
      </c>
      <c r="C140" s="161" t="s">
        <v>136</v>
      </c>
      <c r="D140" s="161" t="s">
        <v>125</v>
      </c>
      <c r="E140" s="234" t="s">
        <v>993</v>
      </c>
      <c r="F140" s="161"/>
      <c r="G140" s="161"/>
      <c r="H140" s="161"/>
      <c r="I140" s="161"/>
      <c r="J140" s="161"/>
      <c r="K140" s="161"/>
      <c r="L140" s="161"/>
      <c r="M140" s="161"/>
      <c r="N140" s="161"/>
      <c r="O140" s="161"/>
      <c r="P140" s="161"/>
      <c r="Q140" s="161"/>
      <c r="R140" s="161"/>
      <c r="S140" s="161"/>
      <c r="T140" s="161"/>
      <c r="U140" s="136"/>
      <c r="V140" s="137"/>
      <c r="W140" s="137"/>
      <c r="X140" s="137"/>
      <c r="Y140" s="135"/>
      <c r="Z140" s="212">
        <f>Z141</f>
        <v>0</v>
      </c>
      <c r="AA140" s="212">
        <v>0</v>
      </c>
      <c r="AB140" s="212">
        <v>0</v>
      </c>
      <c r="AC140" s="571"/>
    </row>
    <row r="141" spans="1:29" s="275" customFormat="1" ht="49.5" hidden="1" customHeight="1" x14ac:dyDescent="0.3">
      <c r="A141" s="343" t="s">
        <v>565</v>
      </c>
      <c r="B141" s="136" t="s">
        <v>15</v>
      </c>
      <c r="C141" s="136" t="s">
        <v>136</v>
      </c>
      <c r="D141" s="136" t="s">
        <v>125</v>
      </c>
      <c r="E141" s="234" t="s">
        <v>993</v>
      </c>
      <c r="F141" s="136"/>
      <c r="G141" s="136"/>
      <c r="H141" s="136"/>
      <c r="I141" s="136"/>
      <c r="J141" s="136"/>
      <c r="K141" s="136"/>
      <c r="L141" s="136"/>
      <c r="M141" s="136"/>
      <c r="N141" s="136"/>
      <c r="O141" s="136"/>
      <c r="P141" s="136"/>
      <c r="Q141" s="136"/>
      <c r="R141" s="136"/>
      <c r="S141" s="136"/>
      <c r="T141" s="136" t="s">
        <v>275</v>
      </c>
      <c r="U141" s="136"/>
      <c r="V141" s="137"/>
      <c r="W141" s="137"/>
      <c r="X141" s="137"/>
      <c r="Y141" s="135"/>
      <c r="Z141" s="212">
        <v>0</v>
      </c>
      <c r="AA141" s="212">
        <v>0</v>
      </c>
      <c r="AB141" s="212">
        <v>0</v>
      </c>
      <c r="AC141" s="571"/>
    </row>
    <row r="142" spans="1:29" ht="36.75" hidden="1" customHeight="1" x14ac:dyDescent="0.3">
      <c r="A142" s="153" t="s">
        <v>601</v>
      </c>
      <c r="B142" s="161" t="s">
        <v>15</v>
      </c>
      <c r="C142" s="161" t="s">
        <v>136</v>
      </c>
      <c r="D142" s="161" t="s">
        <v>125</v>
      </c>
      <c r="E142" s="234" t="s">
        <v>548</v>
      </c>
      <c r="F142" s="161"/>
      <c r="G142" s="161"/>
      <c r="H142" s="161"/>
      <c r="I142" s="161"/>
      <c r="J142" s="161"/>
      <c r="K142" s="161"/>
      <c r="L142" s="161"/>
      <c r="M142" s="161"/>
      <c r="N142" s="161"/>
      <c r="O142" s="161"/>
      <c r="P142" s="161"/>
      <c r="Q142" s="161"/>
      <c r="R142" s="161"/>
      <c r="S142" s="161"/>
      <c r="T142" s="161"/>
      <c r="U142" s="161"/>
      <c r="V142" s="206"/>
      <c r="W142" s="206"/>
      <c r="X142" s="206"/>
      <c r="Y142" s="153" t="s">
        <v>320</v>
      </c>
      <c r="Z142" s="239">
        <f>Z143</f>
        <v>0</v>
      </c>
      <c r="AA142" s="239">
        <f>AA143</f>
        <v>0</v>
      </c>
      <c r="AB142" s="239">
        <f>AB143</f>
        <v>0</v>
      </c>
      <c r="AC142" s="568" t="s">
        <v>320</v>
      </c>
    </row>
    <row r="143" spans="1:29" ht="36.75" hidden="1" customHeight="1" x14ac:dyDescent="0.3">
      <c r="A143" s="135" t="s">
        <v>321</v>
      </c>
      <c r="B143" s="136" t="s">
        <v>15</v>
      </c>
      <c r="C143" s="136" t="s">
        <v>136</v>
      </c>
      <c r="D143" s="136" t="s">
        <v>125</v>
      </c>
      <c r="E143" s="234" t="s">
        <v>548</v>
      </c>
      <c r="F143" s="136"/>
      <c r="G143" s="136"/>
      <c r="H143" s="136"/>
      <c r="I143" s="136"/>
      <c r="J143" s="136"/>
      <c r="K143" s="136"/>
      <c r="L143" s="136"/>
      <c r="M143" s="136"/>
      <c r="N143" s="136"/>
      <c r="O143" s="136"/>
      <c r="P143" s="136"/>
      <c r="Q143" s="136"/>
      <c r="R143" s="136"/>
      <c r="S143" s="136"/>
      <c r="T143" s="136" t="s">
        <v>275</v>
      </c>
      <c r="U143" s="136"/>
      <c r="V143" s="137"/>
      <c r="W143" s="137"/>
      <c r="X143" s="137"/>
      <c r="Y143" s="135" t="s">
        <v>321</v>
      </c>
      <c r="Z143" s="212">
        <f>200000-200000</f>
        <v>0</v>
      </c>
      <c r="AA143" s="212">
        <v>0</v>
      </c>
      <c r="AB143" s="212">
        <v>0</v>
      </c>
      <c r="AC143" s="213" t="s">
        <v>321</v>
      </c>
    </row>
    <row r="144" spans="1:29" ht="37.5" customHeight="1" x14ac:dyDescent="0.3">
      <c r="A144" s="159" t="s">
        <v>148</v>
      </c>
      <c r="B144" s="160" t="s">
        <v>15</v>
      </c>
      <c r="C144" s="160" t="s">
        <v>136</v>
      </c>
      <c r="D144" s="160" t="s">
        <v>126</v>
      </c>
      <c r="E144" s="160"/>
      <c r="F144" s="160"/>
      <c r="G144" s="160"/>
      <c r="H144" s="160"/>
      <c r="I144" s="160"/>
      <c r="J144" s="160"/>
      <c r="K144" s="160"/>
      <c r="L144" s="160"/>
      <c r="M144" s="160"/>
      <c r="N144" s="160"/>
      <c r="O144" s="160"/>
      <c r="P144" s="160"/>
      <c r="Q144" s="160"/>
      <c r="R144" s="160"/>
      <c r="S144" s="160"/>
      <c r="T144" s="160"/>
      <c r="U144" s="160"/>
      <c r="V144" s="214"/>
      <c r="W144" s="214"/>
      <c r="X144" s="214"/>
      <c r="Y144" s="159" t="s">
        <v>148</v>
      </c>
      <c r="Z144" s="215">
        <f>Z145+Z147+Z151+Z153+Z155+Z157+Z161+Z165+Z167+Z149+Z159+Z163</f>
        <v>664000</v>
      </c>
      <c r="AA144" s="215">
        <f>AA145+AA147+AA151+AA153+AA155+AA157+AA161+AA165</f>
        <v>0</v>
      </c>
      <c r="AB144" s="215">
        <f>AB145+AB147+AB151+AB153+AB155+AB157+AB161+AB165</f>
        <v>0</v>
      </c>
      <c r="AC144" s="292" t="s">
        <v>148</v>
      </c>
    </row>
    <row r="145" spans="1:30" ht="104.25" hidden="1" customHeight="1" x14ac:dyDescent="0.3">
      <c r="A145" s="266" t="s">
        <v>549</v>
      </c>
      <c r="B145" s="274" t="s">
        <v>15</v>
      </c>
      <c r="C145" s="234" t="s">
        <v>136</v>
      </c>
      <c r="D145" s="234" t="s">
        <v>126</v>
      </c>
      <c r="E145" s="234" t="s">
        <v>550</v>
      </c>
      <c r="F145" s="139"/>
      <c r="G145" s="139"/>
      <c r="H145" s="139"/>
      <c r="I145" s="139"/>
      <c r="J145" s="139"/>
      <c r="K145" s="139"/>
      <c r="L145" s="139"/>
      <c r="M145" s="139"/>
      <c r="N145" s="139"/>
      <c r="O145" s="139"/>
      <c r="P145" s="139"/>
      <c r="Q145" s="139"/>
      <c r="R145" s="139"/>
      <c r="S145" s="139"/>
      <c r="T145" s="139"/>
      <c r="U145" s="160"/>
      <c r="V145" s="214"/>
      <c r="W145" s="214"/>
      <c r="X145" s="214"/>
      <c r="Y145" s="159"/>
      <c r="Z145" s="239">
        <f>Z146</f>
        <v>0</v>
      </c>
      <c r="AA145" s="239">
        <f>AA146</f>
        <v>0</v>
      </c>
      <c r="AB145" s="239">
        <f>AB146</f>
        <v>0</v>
      </c>
      <c r="AC145" s="292"/>
    </row>
    <row r="146" spans="1:30" ht="84.75" hidden="1" customHeight="1" x14ac:dyDescent="0.3">
      <c r="A146" s="252" t="s">
        <v>602</v>
      </c>
      <c r="B146" s="274" t="s">
        <v>15</v>
      </c>
      <c r="C146" s="234" t="s">
        <v>136</v>
      </c>
      <c r="D146" s="234" t="s">
        <v>126</v>
      </c>
      <c r="E146" s="234" t="s">
        <v>550</v>
      </c>
      <c r="F146" s="139"/>
      <c r="G146" s="139"/>
      <c r="H146" s="139"/>
      <c r="I146" s="139"/>
      <c r="J146" s="139"/>
      <c r="K146" s="139"/>
      <c r="L146" s="139"/>
      <c r="M146" s="139"/>
      <c r="N146" s="139"/>
      <c r="O146" s="139"/>
      <c r="P146" s="139"/>
      <c r="Q146" s="139"/>
      <c r="R146" s="139"/>
      <c r="S146" s="139"/>
      <c r="T146" s="234" t="s">
        <v>275</v>
      </c>
      <c r="U146" s="160"/>
      <c r="V146" s="214"/>
      <c r="W146" s="214"/>
      <c r="X146" s="214"/>
      <c r="Y146" s="159"/>
      <c r="Z146" s="239">
        <v>0</v>
      </c>
      <c r="AA146" s="239">
        <v>0</v>
      </c>
      <c r="AB146" s="239">
        <v>0</v>
      </c>
      <c r="AC146" s="292"/>
      <c r="AD146" s="293"/>
    </row>
    <row r="147" spans="1:30" s="275" customFormat="1" ht="27.75" hidden="1" customHeight="1" x14ac:dyDescent="0.3">
      <c r="A147" s="158" t="s">
        <v>603</v>
      </c>
      <c r="B147" s="161" t="s">
        <v>15</v>
      </c>
      <c r="C147" s="161" t="s">
        <v>136</v>
      </c>
      <c r="D147" s="161" t="s">
        <v>126</v>
      </c>
      <c r="E147" s="234" t="s">
        <v>551</v>
      </c>
      <c r="F147" s="161"/>
      <c r="G147" s="161"/>
      <c r="H147" s="161"/>
      <c r="I147" s="161"/>
      <c r="J147" s="161"/>
      <c r="K147" s="161"/>
      <c r="L147" s="161"/>
      <c r="M147" s="161"/>
      <c r="N147" s="161"/>
      <c r="O147" s="161"/>
      <c r="P147" s="161"/>
      <c r="Q147" s="161"/>
      <c r="R147" s="161"/>
      <c r="S147" s="161"/>
      <c r="T147" s="161"/>
      <c r="U147" s="161"/>
      <c r="V147" s="206"/>
      <c r="W147" s="206"/>
      <c r="X147" s="206"/>
      <c r="Y147" s="153" t="s">
        <v>322</v>
      </c>
      <c r="Z147" s="239">
        <f>Z148</f>
        <v>0</v>
      </c>
      <c r="AA147" s="239">
        <f>AA148</f>
        <v>0</v>
      </c>
      <c r="AB147" s="239">
        <f>AB148</f>
        <v>0</v>
      </c>
      <c r="AC147" s="574" t="s">
        <v>322</v>
      </c>
    </row>
    <row r="148" spans="1:30" s="275" customFormat="1" ht="32.25" hidden="1" customHeight="1" x14ac:dyDescent="0.3">
      <c r="A148" s="135" t="s">
        <v>323</v>
      </c>
      <c r="B148" s="136" t="s">
        <v>15</v>
      </c>
      <c r="C148" s="136" t="s">
        <v>136</v>
      </c>
      <c r="D148" s="136" t="s">
        <v>126</v>
      </c>
      <c r="E148" s="234" t="s">
        <v>551</v>
      </c>
      <c r="F148" s="136"/>
      <c r="G148" s="136"/>
      <c r="H148" s="136"/>
      <c r="I148" s="136"/>
      <c r="J148" s="136"/>
      <c r="K148" s="136"/>
      <c r="L148" s="136"/>
      <c r="M148" s="136"/>
      <c r="N148" s="136"/>
      <c r="O148" s="136"/>
      <c r="P148" s="136"/>
      <c r="Q148" s="136"/>
      <c r="R148" s="136"/>
      <c r="S148" s="136"/>
      <c r="T148" s="136" t="s">
        <v>275</v>
      </c>
      <c r="U148" s="136"/>
      <c r="V148" s="137"/>
      <c r="W148" s="137"/>
      <c r="X148" s="137"/>
      <c r="Y148" s="135" t="s">
        <v>323</v>
      </c>
      <c r="Z148" s="212">
        <v>0</v>
      </c>
      <c r="AA148" s="212">
        <v>0</v>
      </c>
      <c r="AB148" s="212">
        <v>0</v>
      </c>
      <c r="AC148" s="571" t="s">
        <v>323</v>
      </c>
    </row>
    <row r="149" spans="1:30" s="275" customFormat="1" ht="18.75" hidden="1" customHeight="1" x14ac:dyDescent="0.3">
      <c r="A149" s="153" t="s">
        <v>878</v>
      </c>
      <c r="B149" s="136" t="s">
        <v>15</v>
      </c>
      <c r="C149" s="136" t="s">
        <v>136</v>
      </c>
      <c r="D149" s="136" t="s">
        <v>126</v>
      </c>
      <c r="E149" s="234" t="s">
        <v>877</v>
      </c>
      <c r="F149" s="136"/>
      <c r="G149" s="136"/>
      <c r="H149" s="136"/>
      <c r="I149" s="136"/>
      <c r="J149" s="136"/>
      <c r="K149" s="136"/>
      <c r="L149" s="136"/>
      <c r="M149" s="136"/>
      <c r="N149" s="136"/>
      <c r="O149" s="136"/>
      <c r="P149" s="136"/>
      <c r="Q149" s="136"/>
      <c r="R149" s="136"/>
      <c r="S149" s="136"/>
      <c r="T149" s="136"/>
      <c r="U149" s="136"/>
      <c r="V149" s="137"/>
      <c r="W149" s="137"/>
      <c r="X149" s="137"/>
      <c r="Y149" s="135"/>
      <c r="Z149" s="212">
        <f>Z150</f>
        <v>0</v>
      </c>
      <c r="AA149" s="212">
        <v>0</v>
      </c>
      <c r="AB149" s="212">
        <v>0</v>
      </c>
      <c r="AC149" s="571"/>
    </row>
    <row r="150" spans="1:30" s="275" customFormat="1" ht="24.75" hidden="1" customHeight="1" x14ac:dyDescent="0.3">
      <c r="A150" s="135" t="s">
        <v>879</v>
      </c>
      <c r="B150" s="136" t="s">
        <v>15</v>
      </c>
      <c r="C150" s="136" t="s">
        <v>136</v>
      </c>
      <c r="D150" s="136" t="s">
        <v>126</v>
      </c>
      <c r="E150" s="234" t="s">
        <v>877</v>
      </c>
      <c r="F150" s="136"/>
      <c r="G150" s="136"/>
      <c r="H150" s="136"/>
      <c r="I150" s="136"/>
      <c r="J150" s="136"/>
      <c r="K150" s="136"/>
      <c r="L150" s="136"/>
      <c r="M150" s="136"/>
      <c r="N150" s="136"/>
      <c r="O150" s="136"/>
      <c r="P150" s="136"/>
      <c r="Q150" s="136"/>
      <c r="R150" s="136"/>
      <c r="S150" s="136"/>
      <c r="T150" s="136" t="s">
        <v>275</v>
      </c>
      <c r="U150" s="136"/>
      <c r="V150" s="137"/>
      <c r="W150" s="137"/>
      <c r="X150" s="137"/>
      <c r="Y150" s="135"/>
      <c r="Z150" s="212">
        <v>0</v>
      </c>
      <c r="AA150" s="212">
        <v>0</v>
      </c>
      <c r="AB150" s="212">
        <v>0</v>
      </c>
      <c r="AC150" s="571"/>
    </row>
    <row r="151" spans="1:30" s="275" customFormat="1" ht="24.75" hidden="1" customHeight="1" x14ac:dyDescent="0.3">
      <c r="A151" s="153" t="s">
        <v>604</v>
      </c>
      <c r="B151" s="161" t="s">
        <v>15</v>
      </c>
      <c r="C151" s="161" t="s">
        <v>136</v>
      </c>
      <c r="D151" s="161" t="s">
        <v>126</v>
      </c>
      <c r="E151" s="234" t="s">
        <v>552</v>
      </c>
      <c r="F151" s="161"/>
      <c r="G151" s="161"/>
      <c r="H151" s="161"/>
      <c r="I151" s="161"/>
      <c r="J151" s="161"/>
      <c r="K151" s="161"/>
      <c r="L151" s="161"/>
      <c r="M151" s="161"/>
      <c r="N151" s="161"/>
      <c r="O151" s="161"/>
      <c r="P151" s="161"/>
      <c r="Q151" s="161"/>
      <c r="R151" s="161"/>
      <c r="S151" s="161"/>
      <c r="T151" s="161"/>
      <c r="U151" s="161"/>
      <c r="V151" s="206"/>
      <c r="W151" s="206"/>
      <c r="X151" s="206"/>
      <c r="Y151" s="153" t="s">
        <v>324</v>
      </c>
      <c r="Z151" s="239">
        <f>Z152</f>
        <v>0</v>
      </c>
      <c r="AA151" s="239">
        <f>AA152</f>
        <v>0</v>
      </c>
      <c r="AB151" s="239">
        <f>AB152</f>
        <v>0</v>
      </c>
      <c r="AC151" s="574" t="s">
        <v>324</v>
      </c>
    </row>
    <row r="152" spans="1:30" s="275" customFormat="1" ht="28.5" hidden="1" customHeight="1" x14ac:dyDescent="0.3">
      <c r="A152" s="135" t="s">
        <v>325</v>
      </c>
      <c r="B152" s="136" t="s">
        <v>15</v>
      </c>
      <c r="C152" s="136" t="s">
        <v>136</v>
      </c>
      <c r="D152" s="136" t="s">
        <v>126</v>
      </c>
      <c r="E152" s="234" t="s">
        <v>552</v>
      </c>
      <c r="F152" s="136"/>
      <c r="G152" s="136"/>
      <c r="H152" s="136"/>
      <c r="I152" s="136"/>
      <c r="J152" s="136"/>
      <c r="K152" s="136"/>
      <c r="L152" s="136"/>
      <c r="M152" s="136"/>
      <c r="N152" s="136"/>
      <c r="O152" s="136"/>
      <c r="P152" s="136"/>
      <c r="Q152" s="136"/>
      <c r="R152" s="136"/>
      <c r="S152" s="136"/>
      <c r="T152" s="136" t="s">
        <v>275</v>
      </c>
      <c r="U152" s="136"/>
      <c r="V152" s="137"/>
      <c r="W152" s="137"/>
      <c r="X152" s="137"/>
      <c r="Y152" s="135" t="s">
        <v>325</v>
      </c>
      <c r="Z152" s="212">
        <f>56000-56000</f>
        <v>0</v>
      </c>
      <c r="AA152" s="212">
        <v>0</v>
      </c>
      <c r="AB152" s="212">
        <v>0</v>
      </c>
      <c r="AC152" s="571" t="s">
        <v>325</v>
      </c>
    </row>
    <row r="153" spans="1:30" ht="28.5" hidden="1" customHeight="1" x14ac:dyDescent="0.3">
      <c r="A153" s="153" t="s">
        <v>605</v>
      </c>
      <c r="B153" s="161" t="s">
        <v>15</v>
      </c>
      <c r="C153" s="161" t="s">
        <v>136</v>
      </c>
      <c r="D153" s="161" t="s">
        <v>126</v>
      </c>
      <c r="E153" s="234" t="s">
        <v>553</v>
      </c>
      <c r="F153" s="161"/>
      <c r="G153" s="161"/>
      <c r="H153" s="161"/>
      <c r="I153" s="161"/>
      <c r="J153" s="161"/>
      <c r="K153" s="161"/>
      <c r="L153" s="161"/>
      <c r="M153" s="161"/>
      <c r="N153" s="161"/>
      <c r="O153" s="161"/>
      <c r="P153" s="161"/>
      <c r="Q153" s="161"/>
      <c r="R153" s="161"/>
      <c r="S153" s="161"/>
      <c r="T153" s="161"/>
      <c r="U153" s="161"/>
      <c r="V153" s="206"/>
      <c r="W153" s="206"/>
      <c r="X153" s="206"/>
      <c r="Y153" s="153" t="s">
        <v>326</v>
      </c>
      <c r="Z153" s="239">
        <f>Z154</f>
        <v>0</v>
      </c>
      <c r="AA153" s="239">
        <f>AA154</f>
        <v>0</v>
      </c>
      <c r="AB153" s="239">
        <f>AB154</f>
        <v>0</v>
      </c>
      <c r="AC153" s="568" t="s">
        <v>326</v>
      </c>
    </row>
    <row r="154" spans="1:30" ht="45.75" hidden="1" customHeight="1" x14ac:dyDescent="0.3">
      <c r="A154" s="135" t="s">
        <v>327</v>
      </c>
      <c r="B154" s="136" t="s">
        <v>15</v>
      </c>
      <c r="C154" s="136" t="s">
        <v>136</v>
      </c>
      <c r="D154" s="136" t="s">
        <v>126</v>
      </c>
      <c r="E154" s="234" t="s">
        <v>553</v>
      </c>
      <c r="F154" s="136"/>
      <c r="G154" s="136"/>
      <c r="H154" s="136"/>
      <c r="I154" s="136"/>
      <c r="J154" s="136"/>
      <c r="K154" s="136"/>
      <c r="L154" s="136"/>
      <c r="M154" s="136"/>
      <c r="N154" s="136"/>
      <c r="O154" s="136"/>
      <c r="P154" s="136"/>
      <c r="Q154" s="136"/>
      <c r="R154" s="136"/>
      <c r="S154" s="136"/>
      <c r="T154" s="136" t="s">
        <v>275</v>
      </c>
      <c r="U154" s="136"/>
      <c r="V154" s="137"/>
      <c r="W154" s="137"/>
      <c r="X154" s="137"/>
      <c r="Y154" s="135" t="s">
        <v>327</v>
      </c>
      <c r="Z154" s="212">
        <f>49950-49950</f>
        <v>0</v>
      </c>
      <c r="AA154" s="212">
        <v>0</v>
      </c>
      <c r="AB154" s="212">
        <v>0</v>
      </c>
      <c r="AC154" s="213" t="s">
        <v>327</v>
      </c>
    </row>
    <row r="155" spans="1:30" ht="102.75" customHeight="1" x14ac:dyDescent="0.3">
      <c r="A155" s="153" t="s">
        <v>1301</v>
      </c>
      <c r="B155" s="161" t="s">
        <v>15</v>
      </c>
      <c r="C155" s="161" t="s">
        <v>136</v>
      </c>
      <c r="D155" s="161" t="s">
        <v>126</v>
      </c>
      <c r="E155" s="234" t="s">
        <v>554</v>
      </c>
      <c r="F155" s="161"/>
      <c r="G155" s="161"/>
      <c r="H155" s="161"/>
      <c r="I155" s="161"/>
      <c r="J155" s="161"/>
      <c r="K155" s="161"/>
      <c r="L155" s="161"/>
      <c r="M155" s="161"/>
      <c r="N155" s="161"/>
      <c r="O155" s="161"/>
      <c r="P155" s="161"/>
      <c r="Q155" s="161"/>
      <c r="R155" s="161"/>
      <c r="S155" s="161"/>
      <c r="T155" s="161"/>
      <c r="U155" s="161"/>
      <c r="V155" s="206"/>
      <c r="W155" s="206"/>
      <c r="X155" s="206"/>
      <c r="Y155" s="153" t="s">
        <v>328</v>
      </c>
      <c r="Z155" s="239">
        <f>Z156</f>
        <v>250000</v>
      </c>
      <c r="AA155" s="239">
        <f>AA156</f>
        <v>0</v>
      </c>
      <c r="AB155" s="239">
        <f>AB156</f>
        <v>0</v>
      </c>
      <c r="AC155" s="568" t="s">
        <v>328</v>
      </c>
    </row>
    <row r="156" spans="1:30" ht="60" customHeight="1" x14ac:dyDescent="0.3">
      <c r="A156" s="135" t="s">
        <v>565</v>
      </c>
      <c r="B156" s="136" t="s">
        <v>15</v>
      </c>
      <c r="C156" s="136" t="s">
        <v>136</v>
      </c>
      <c r="D156" s="136" t="s">
        <v>126</v>
      </c>
      <c r="E156" s="234" t="s">
        <v>554</v>
      </c>
      <c r="F156" s="136"/>
      <c r="G156" s="136"/>
      <c r="H156" s="136"/>
      <c r="I156" s="136"/>
      <c r="J156" s="136"/>
      <c r="K156" s="136"/>
      <c r="L156" s="136"/>
      <c r="M156" s="136"/>
      <c r="N156" s="136"/>
      <c r="O156" s="136"/>
      <c r="P156" s="136"/>
      <c r="Q156" s="136"/>
      <c r="R156" s="136"/>
      <c r="S156" s="136"/>
      <c r="T156" s="136" t="s">
        <v>275</v>
      </c>
      <c r="U156" s="136"/>
      <c r="V156" s="137"/>
      <c r="W156" s="137"/>
      <c r="X156" s="137"/>
      <c r="Y156" s="135" t="s">
        <v>329</v>
      </c>
      <c r="Z156" s="268">
        <f>350000-100000</f>
        <v>250000</v>
      </c>
      <c r="AA156" s="212">
        <v>0</v>
      </c>
      <c r="AB156" s="212">
        <v>0</v>
      </c>
      <c r="AC156" s="213" t="s">
        <v>329</v>
      </c>
    </row>
    <row r="157" spans="1:30" ht="0.75" customHeight="1" x14ac:dyDescent="0.3">
      <c r="A157" s="153" t="s">
        <v>741</v>
      </c>
      <c r="B157" s="161" t="s">
        <v>15</v>
      </c>
      <c r="C157" s="161" t="s">
        <v>136</v>
      </c>
      <c r="D157" s="161" t="s">
        <v>126</v>
      </c>
      <c r="E157" s="234" t="s">
        <v>743</v>
      </c>
      <c r="F157" s="161"/>
      <c r="G157" s="161"/>
      <c r="H157" s="161"/>
      <c r="I157" s="161"/>
      <c r="J157" s="161"/>
      <c r="K157" s="161"/>
      <c r="L157" s="161"/>
      <c r="M157" s="161"/>
      <c r="N157" s="161"/>
      <c r="O157" s="161"/>
      <c r="P157" s="161"/>
      <c r="Q157" s="161"/>
      <c r="R157" s="161"/>
      <c r="S157" s="161"/>
      <c r="T157" s="161"/>
      <c r="U157" s="161"/>
      <c r="V157" s="206"/>
      <c r="W157" s="206"/>
      <c r="X157" s="206"/>
      <c r="Y157" s="153" t="s">
        <v>330</v>
      </c>
      <c r="Z157" s="239">
        <f>Z158</f>
        <v>0</v>
      </c>
      <c r="AA157" s="239">
        <f>AA158</f>
        <v>0</v>
      </c>
      <c r="AB157" s="239">
        <f>AB158</f>
        <v>0</v>
      </c>
      <c r="AC157" s="568" t="s">
        <v>330</v>
      </c>
    </row>
    <row r="158" spans="1:30" ht="32.25" hidden="1" customHeight="1" x14ac:dyDescent="0.3">
      <c r="A158" s="135" t="s">
        <v>742</v>
      </c>
      <c r="B158" s="136" t="s">
        <v>15</v>
      </c>
      <c r="C158" s="136" t="s">
        <v>136</v>
      </c>
      <c r="D158" s="136" t="s">
        <v>126</v>
      </c>
      <c r="E158" s="234" t="s">
        <v>743</v>
      </c>
      <c r="F158" s="136"/>
      <c r="G158" s="136"/>
      <c r="H158" s="136"/>
      <c r="I158" s="136"/>
      <c r="J158" s="136"/>
      <c r="K158" s="136"/>
      <c r="L158" s="136"/>
      <c r="M158" s="136"/>
      <c r="N158" s="136"/>
      <c r="O158" s="136"/>
      <c r="P158" s="136"/>
      <c r="Q158" s="136"/>
      <c r="R158" s="136"/>
      <c r="S158" s="136"/>
      <c r="T158" s="136" t="s">
        <v>275</v>
      </c>
      <c r="U158" s="136"/>
      <c r="V158" s="137"/>
      <c r="W158" s="137"/>
      <c r="X158" s="137"/>
      <c r="Y158" s="135" t="s">
        <v>331</v>
      </c>
      <c r="Z158" s="212">
        <f>2340000-2340000</f>
        <v>0</v>
      </c>
      <c r="AA158" s="212">
        <v>0</v>
      </c>
      <c r="AB158" s="212">
        <v>0</v>
      </c>
      <c r="AC158" s="213" t="s">
        <v>331</v>
      </c>
    </row>
    <row r="159" spans="1:30" ht="29.25" hidden="1" customHeight="1" x14ac:dyDescent="0.3">
      <c r="A159" s="153" t="s">
        <v>885</v>
      </c>
      <c r="B159" s="136" t="s">
        <v>15</v>
      </c>
      <c r="C159" s="136" t="s">
        <v>136</v>
      </c>
      <c r="D159" s="136" t="s">
        <v>126</v>
      </c>
      <c r="E159" s="234" t="s">
        <v>887</v>
      </c>
      <c r="F159" s="136"/>
      <c r="G159" s="136"/>
      <c r="H159" s="136"/>
      <c r="I159" s="136"/>
      <c r="J159" s="136"/>
      <c r="K159" s="136"/>
      <c r="L159" s="136"/>
      <c r="M159" s="136"/>
      <c r="N159" s="136"/>
      <c r="O159" s="136"/>
      <c r="P159" s="136"/>
      <c r="Q159" s="136"/>
      <c r="R159" s="136"/>
      <c r="S159" s="136"/>
      <c r="T159" s="136"/>
      <c r="U159" s="136"/>
      <c r="V159" s="137"/>
      <c r="W159" s="137"/>
      <c r="X159" s="137"/>
      <c r="Y159" s="135"/>
      <c r="Z159" s="212">
        <f>Z160</f>
        <v>0</v>
      </c>
      <c r="AA159" s="212">
        <v>0</v>
      </c>
      <c r="AB159" s="212">
        <v>0</v>
      </c>
      <c r="AC159" s="213"/>
    </row>
    <row r="160" spans="1:30" ht="27" hidden="1" customHeight="1" x14ac:dyDescent="0.3">
      <c r="A160" s="135" t="s">
        <v>886</v>
      </c>
      <c r="B160" s="136" t="s">
        <v>15</v>
      </c>
      <c r="C160" s="136" t="s">
        <v>136</v>
      </c>
      <c r="D160" s="136" t="s">
        <v>126</v>
      </c>
      <c r="E160" s="234" t="s">
        <v>887</v>
      </c>
      <c r="F160" s="136"/>
      <c r="G160" s="136"/>
      <c r="H160" s="136"/>
      <c r="I160" s="136"/>
      <c r="J160" s="136"/>
      <c r="K160" s="136"/>
      <c r="L160" s="136"/>
      <c r="M160" s="136"/>
      <c r="N160" s="136"/>
      <c r="O160" s="136"/>
      <c r="P160" s="136"/>
      <c r="Q160" s="136"/>
      <c r="R160" s="136"/>
      <c r="S160" s="136"/>
      <c r="T160" s="136" t="s">
        <v>275</v>
      </c>
      <c r="U160" s="136"/>
      <c r="V160" s="137"/>
      <c r="W160" s="137"/>
      <c r="X160" s="137"/>
      <c r="Y160" s="135"/>
      <c r="Z160" s="212">
        <v>0</v>
      </c>
      <c r="AA160" s="212">
        <v>0</v>
      </c>
      <c r="AB160" s="212">
        <v>0</v>
      </c>
      <c r="AC160" s="213"/>
    </row>
    <row r="161" spans="1:30" ht="113.25" customHeight="1" x14ac:dyDescent="0.3">
      <c r="A161" s="153" t="s">
        <v>1253</v>
      </c>
      <c r="B161" s="161" t="s">
        <v>15</v>
      </c>
      <c r="C161" s="161" t="s">
        <v>136</v>
      </c>
      <c r="D161" s="161" t="s">
        <v>126</v>
      </c>
      <c r="E161" s="234" t="s">
        <v>555</v>
      </c>
      <c r="F161" s="161"/>
      <c r="G161" s="161"/>
      <c r="H161" s="161"/>
      <c r="I161" s="161"/>
      <c r="J161" s="161"/>
      <c r="K161" s="161"/>
      <c r="L161" s="161"/>
      <c r="M161" s="161"/>
      <c r="N161" s="161"/>
      <c r="O161" s="161"/>
      <c r="P161" s="161"/>
      <c r="Q161" s="161"/>
      <c r="R161" s="161"/>
      <c r="S161" s="161"/>
      <c r="T161" s="161"/>
      <c r="U161" s="161"/>
      <c r="V161" s="206"/>
      <c r="W161" s="206"/>
      <c r="X161" s="206"/>
      <c r="Y161" s="153" t="s">
        <v>332</v>
      </c>
      <c r="Z161" s="239">
        <f>Z162</f>
        <v>250000</v>
      </c>
      <c r="AA161" s="239">
        <f>AA162</f>
        <v>0</v>
      </c>
      <c r="AB161" s="239">
        <f>AB162</f>
        <v>0</v>
      </c>
      <c r="AC161" s="568" t="s">
        <v>332</v>
      </c>
    </row>
    <row r="162" spans="1:30" ht="69.75" customHeight="1" x14ac:dyDescent="0.3">
      <c r="A162" s="135" t="s">
        <v>565</v>
      </c>
      <c r="B162" s="136" t="s">
        <v>15</v>
      </c>
      <c r="C162" s="136" t="s">
        <v>136</v>
      </c>
      <c r="D162" s="136" t="s">
        <v>126</v>
      </c>
      <c r="E162" s="234" t="s">
        <v>555</v>
      </c>
      <c r="F162" s="136"/>
      <c r="G162" s="136"/>
      <c r="H162" s="136"/>
      <c r="I162" s="136"/>
      <c r="J162" s="136"/>
      <c r="K162" s="136"/>
      <c r="L162" s="136"/>
      <c r="M162" s="136"/>
      <c r="N162" s="136"/>
      <c r="O162" s="136"/>
      <c r="P162" s="136"/>
      <c r="Q162" s="136"/>
      <c r="R162" s="136"/>
      <c r="S162" s="136"/>
      <c r="T162" s="136" t="s">
        <v>275</v>
      </c>
      <c r="U162" s="136"/>
      <c r="V162" s="137"/>
      <c r="W162" s="137"/>
      <c r="X162" s="137"/>
      <c r="Y162" s="135" t="s">
        <v>333</v>
      </c>
      <c r="Z162" s="268">
        <f>250000+150000-150000</f>
        <v>250000</v>
      </c>
      <c r="AA162" s="212">
        <v>0</v>
      </c>
      <c r="AB162" s="212">
        <v>0</v>
      </c>
      <c r="AC162" s="213" t="s">
        <v>333</v>
      </c>
    </row>
    <row r="163" spans="1:30" ht="153" customHeight="1" x14ac:dyDescent="0.3">
      <c r="A163" s="153" t="s">
        <v>1386</v>
      </c>
      <c r="B163" s="136" t="s">
        <v>15</v>
      </c>
      <c r="C163" s="136" t="s">
        <v>136</v>
      </c>
      <c r="D163" s="136" t="s">
        <v>126</v>
      </c>
      <c r="E163" s="234" t="s">
        <v>1383</v>
      </c>
      <c r="F163" s="136"/>
      <c r="G163" s="136"/>
      <c r="H163" s="136"/>
      <c r="I163" s="136"/>
      <c r="J163" s="136"/>
      <c r="K163" s="136"/>
      <c r="L163" s="136"/>
      <c r="M163" s="136"/>
      <c r="N163" s="136"/>
      <c r="O163" s="136"/>
      <c r="P163" s="136"/>
      <c r="Q163" s="136"/>
      <c r="R163" s="136"/>
      <c r="S163" s="136"/>
      <c r="T163" s="136"/>
      <c r="U163" s="136"/>
      <c r="V163" s="137"/>
      <c r="W163" s="137"/>
      <c r="X163" s="137"/>
      <c r="Y163" s="135"/>
      <c r="Z163" s="268">
        <f>Z164</f>
        <v>64000</v>
      </c>
      <c r="AA163" s="212">
        <v>0</v>
      </c>
      <c r="AB163" s="212">
        <v>0</v>
      </c>
      <c r="AC163" s="213"/>
    </row>
    <row r="164" spans="1:30" ht="69.75" customHeight="1" x14ac:dyDescent="0.3">
      <c r="A164" s="135" t="s">
        <v>565</v>
      </c>
      <c r="B164" s="136" t="s">
        <v>15</v>
      </c>
      <c r="C164" s="136" t="s">
        <v>136</v>
      </c>
      <c r="D164" s="136" t="s">
        <v>126</v>
      </c>
      <c r="E164" s="234" t="s">
        <v>1383</v>
      </c>
      <c r="F164" s="136"/>
      <c r="G164" s="136"/>
      <c r="H164" s="136"/>
      <c r="I164" s="136"/>
      <c r="J164" s="136"/>
      <c r="K164" s="136"/>
      <c r="L164" s="136"/>
      <c r="M164" s="136"/>
      <c r="N164" s="136"/>
      <c r="O164" s="136"/>
      <c r="P164" s="136"/>
      <c r="Q164" s="136"/>
      <c r="R164" s="136"/>
      <c r="S164" s="136"/>
      <c r="T164" s="136" t="s">
        <v>275</v>
      </c>
      <c r="U164" s="136"/>
      <c r="V164" s="137"/>
      <c r="W164" s="137"/>
      <c r="X164" s="137"/>
      <c r="Y164" s="135"/>
      <c r="Z164" s="268">
        <v>64000</v>
      </c>
      <c r="AA164" s="212">
        <v>0</v>
      </c>
      <c r="AB164" s="212">
        <v>0</v>
      </c>
      <c r="AC164" s="213"/>
    </row>
    <row r="165" spans="1:30" ht="195.75" customHeight="1" x14ac:dyDescent="0.3">
      <c r="A165" s="153" t="s">
        <v>1254</v>
      </c>
      <c r="B165" s="161" t="s">
        <v>15</v>
      </c>
      <c r="C165" s="161" t="s">
        <v>136</v>
      </c>
      <c r="D165" s="161" t="s">
        <v>126</v>
      </c>
      <c r="E165" s="234" t="s">
        <v>556</v>
      </c>
      <c r="F165" s="161"/>
      <c r="G165" s="161"/>
      <c r="H165" s="161"/>
      <c r="I165" s="161"/>
      <c r="J165" s="161"/>
      <c r="K165" s="161"/>
      <c r="L165" s="161"/>
      <c r="M165" s="161"/>
      <c r="N165" s="161"/>
      <c r="O165" s="161"/>
      <c r="P165" s="161"/>
      <c r="Q165" s="161"/>
      <c r="R165" s="161"/>
      <c r="S165" s="161"/>
      <c r="T165" s="161"/>
      <c r="U165" s="161"/>
      <c r="V165" s="206"/>
      <c r="W165" s="206"/>
      <c r="X165" s="206"/>
      <c r="Y165" s="153" t="s">
        <v>334</v>
      </c>
      <c r="Z165" s="239">
        <f>Z166</f>
        <v>100000</v>
      </c>
      <c r="AA165" s="239">
        <f>AA166</f>
        <v>0</v>
      </c>
      <c r="AB165" s="239">
        <f>AB166</f>
        <v>0</v>
      </c>
      <c r="AC165" s="568" t="s">
        <v>334</v>
      </c>
    </row>
    <row r="166" spans="1:30" ht="60" customHeight="1" x14ac:dyDescent="0.3">
      <c r="A166" s="154" t="s">
        <v>565</v>
      </c>
      <c r="B166" s="136" t="s">
        <v>15</v>
      </c>
      <c r="C166" s="136" t="s">
        <v>136</v>
      </c>
      <c r="D166" s="136" t="s">
        <v>126</v>
      </c>
      <c r="E166" s="234" t="s">
        <v>556</v>
      </c>
      <c r="F166" s="136"/>
      <c r="G166" s="136"/>
      <c r="H166" s="136"/>
      <c r="I166" s="136"/>
      <c r="J166" s="136"/>
      <c r="K166" s="136"/>
      <c r="L166" s="136"/>
      <c r="M166" s="136"/>
      <c r="N166" s="136"/>
      <c r="O166" s="136"/>
      <c r="P166" s="136"/>
      <c r="Q166" s="136"/>
      <c r="R166" s="136"/>
      <c r="S166" s="136"/>
      <c r="T166" s="136" t="s">
        <v>275</v>
      </c>
      <c r="U166" s="136"/>
      <c r="V166" s="137"/>
      <c r="W166" s="137"/>
      <c r="X166" s="137"/>
      <c r="Y166" s="154" t="s">
        <v>335</v>
      </c>
      <c r="Z166" s="268">
        <v>100000</v>
      </c>
      <c r="AA166" s="212">
        <v>0</v>
      </c>
      <c r="AB166" s="212">
        <v>0</v>
      </c>
      <c r="AC166" s="569" t="s">
        <v>335</v>
      </c>
    </row>
    <row r="167" spans="1:30" ht="41.25" hidden="1" customHeight="1" x14ac:dyDescent="0.3">
      <c r="A167" s="153" t="s">
        <v>796</v>
      </c>
      <c r="B167" s="161" t="s">
        <v>15</v>
      </c>
      <c r="C167" s="161" t="s">
        <v>136</v>
      </c>
      <c r="D167" s="161" t="s">
        <v>126</v>
      </c>
      <c r="E167" s="234" t="s">
        <v>798</v>
      </c>
      <c r="F167" s="161"/>
      <c r="G167" s="161"/>
      <c r="H167" s="161"/>
      <c r="I167" s="161"/>
      <c r="J167" s="161"/>
      <c r="K167" s="161"/>
      <c r="L167" s="161"/>
      <c r="M167" s="161"/>
      <c r="N167" s="161"/>
      <c r="O167" s="161"/>
      <c r="P167" s="161"/>
      <c r="Q167" s="161"/>
      <c r="R167" s="161"/>
      <c r="S167" s="161"/>
      <c r="T167" s="161"/>
      <c r="U167" s="161"/>
      <c r="V167" s="206"/>
      <c r="W167" s="206"/>
      <c r="X167" s="206"/>
      <c r="Y167" s="153"/>
      <c r="Z167" s="239">
        <f>Z168</f>
        <v>0</v>
      </c>
      <c r="AA167" s="239">
        <v>0</v>
      </c>
      <c r="AB167" s="239">
        <v>0</v>
      </c>
      <c r="AC167" s="568" t="s">
        <v>338</v>
      </c>
    </row>
    <row r="168" spans="1:30" ht="42" hidden="1" customHeight="1" x14ac:dyDescent="0.3">
      <c r="A168" s="135" t="s">
        <v>797</v>
      </c>
      <c r="B168" s="161" t="s">
        <v>15</v>
      </c>
      <c r="C168" s="161" t="s">
        <v>136</v>
      </c>
      <c r="D168" s="161" t="s">
        <v>126</v>
      </c>
      <c r="E168" s="234" t="s">
        <v>798</v>
      </c>
      <c r="F168" s="136"/>
      <c r="G168" s="136"/>
      <c r="H168" s="136"/>
      <c r="I168" s="136"/>
      <c r="J168" s="136"/>
      <c r="K168" s="136"/>
      <c r="L168" s="136"/>
      <c r="M168" s="136"/>
      <c r="N168" s="136"/>
      <c r="O168" s="136"/>
      <c r="P168" s="136"/>
      <c r="Q168" s="136"/>
      <c r="R168" s="136"/>
      <c r="S168" s="136"/>
      <c r="T168" s="136" t="s">
        <v>275</v>
      </c>
      <c r="U168" s="136"/>
      <c r="V168" s="137"/>
      <c r="W168" s="137"/>
      <c r="X168" s="137"/>
      <c r="Y168" s="135"/>
      <c r="Z168" s="212">
        <v>0</v>
      </c>
      <c r="AA168" s="212">
        <v>0</v>
      </c>
      <c r="AB168" s="212">
        <v>0</v>
      </c>
      <c r="AC168" s="213" t="s">
        <v>339</v>
      </c>
    </row>
    <row r="169" spans="1:30" ht="36.75" customHeight="1" x14ac:dyDescent="0.35">
      <c r="A169" s="159" t="s">
        <v>606</v>
      </c>
      <c r="B169" s="160" t="s">
        <v>15</v>
      </c>
      <c r="C169" s="160" t="s">
        <v>136</v>
      </c>
      <c r="D169" s="160" t="s">
        <v>127</v>
      </c>
      <c r="E169" s="160"/>
      <c r="F169" s="160"/>
      <c r="G169" s="160"/>
      <c r="H169" s="160"/>
      <c r="I169" s="160"/>
      <c r="J169" s="160"/>
      <c r="K169" s="160"/>
      <c r="L169" s="160"/>
      <c r="M169" s="160"/>
      <c r="N169" s="160"/>
      <c r="O169" s="160"/>
      <c r="P169" s="160"/>
      <c r="Q169" s="160"/>
      <c r="R169" s="160"/>
      <c r="S169" s="160"/>
      <c r="T169" s="160"/>
      <c r="U169" s="136"/>
      <c r="V169" s="137"/>
      <c r="W169" s="137"/>
      <c r="X169" s="137"/>
      <c r="Y169" s="135"/>
      <c r="Z169" s="219">
        <f>Z170+Z172+Z174+Z176+Z178+Z180</f>
        <v>37102854.230000004</v>
      </c>
      <c r="AA169" s="219">
        <f>AA170+AA172+AA174</f>
        <v>25761780.670000002</v>
      </c>
      <c r="AB169" s="219">
        <f>AB170+AB172+AB174</f>
        <v>21944044.210000001</v>
      </c>
      <c r="AC169" s="213"/>
    </row>
    <row r="170" spans="1:30" ht="148.9" customHeight="1" x14ac:dyDescent="0.3">
      <c r="A170" s="153" t="s">
        <v>1255</v>
      </c>
      <c r="B170" s="161" t="s">
        <v>15</v>
      </c>
      <c r="C170" s="161" t="s">
        <v>136</v>
      </c>
      <c r="D170" s="161" t="s">
        <v>127</v>
      </c>
      <c r="E170" s="234" t="s">
        <v>557</v>
      </c>
      <c r="F170" s="161"/>
      <c r="G170" s="161"/>
      <c r="H170" s="161"/>
      <c r="I170" s="161"/>
      <c r="J170" s="161"/>
      <c r="K170" s="161"/>
      <c r="L170" s="161"/>
      <c r="M170" s="161"/>
      <c r="N170" s="161"/>
      <c r="O170" s="161"/>
      <c r="P170" s="161"/>
      <c r="Q170" s="161"/>
      <c r="R170" s="161"/>
      <c r="S170" s="161"/>
      <c r="T170" s="161"/>
      <c r="U170" s="136"/>
      <c r="V170" s="137"/>
      <c r="W170" s="137"/>
      <c r="X170" s="137"/>
      <c r="Y170" s="135"/>
      <c r="Z170" s="239">
        <f>Z171</f>
        <v>24658140.02</v>
      </c>
      <c r="AA170" s="239">
        <f>AA171</f>
        <v>20044044.210000001</v>
      </c>
      <c r="AB170" s="239">
        <f>AB171</f>
        <v>20044044.210000001</v>
      </c>
      <c r="AC170" s="213"/>
    </row>
    <row r="171" spans="1:30" ht="66" customHeight="1" x14ac:dyDescent="0.3">
      <c r="A171" s="135" t="s">
        <v>565</v>
      </c>
      <c r="B171" s="136" t="s">
        <v>15</v>
      </c>
      <c r="C171" s="136" t="s">
        <v>136</v>
      </c>
      <c r="D171" s="136" t="s">
        <v>127</v>
      </c>
      <c r="E171" s="234" t="s">
        <v>557</v>
      </c>
      <c r="F171" s="136"/>
      <c r="G171" s="136"/>
      <c r="H171" s="136"/>
      <c r="I171" s="136"/>
      <c r="J171" s="136"/>
      <c r="K171" s="136"/>
      <c r="L171" s="136"/>
      <c r="M171" s="136"/>
      <c r="N171" s="136"/>
      <c r="O171" s="136"/>
      <c r="P171" s="136"/>
      <c r="Q171" s="136"/>
      <c r="R171" s="136"/>
      <c r="S171" s="136"/>
      <c r="T171" s="136" t="s">
        <v>275</v>
      </c>
      <c r="U171" s="136"/>
      <c r="V171" s="137"/>
      <c r="W171" s="137"/>
      <c r="X171" s="137"/>
      <c r="Y171" s="135"/>
      <c r="Z171" s="212">
        <f>19227154.68+5430985.34</f>
        <v>24658140.02</v>
      </c>
      <c r="AA171" s="212">
        <v>20044044.210000001</v>
      </c>
      <c r="AB171" s="212">
        <v>20044044.210000001</v>
      </c>
      <c r="AC171" s="213"/>
      <c r="AD171" s="210"/>
    </row>
    <row r="172" spans="1:30" ht="172.5" customHeight="1" x14ac:dyDescent="0.3">
      <c r="A172" s="153" t="s">
        <v>1256</v>
      </c>
      <c r="B172" s="161" t="s">
        <v>15</v>
      </c>
      <c r="C172" s="161" t="s">
        <v>136</v>
      </c>
      <c r="D172" s="161" t="s">
        <v>127</v>
      </c>
      <c r="E172" s="234" t="s">
        <v>558</v>
      </c>
      <c r="F172" s="161"/>
      <c r="G172" s="161"/>
      <c r="H172" s="161"/>
      <c r="I172" s="161"/>
      <c r="J172" s="161"/>
      <c r="K172" s="161"/>
      <c r="L172" s="161"/>
      <c r="M172" s="161"/>
      <c r="N172" s="161"/>
      <c r="O172" s="161"/>
      <c r="P172" s="161"/>
      <c r="Q172" s="161"/>
      <c r="R172" s="161"/>
      <c r="S172" s="161"/>
      <c r="T172" s="161"/>
      <c r="U172" s="136"/>
      <c r="V172" s="137"/>
      <c r="W172" s="137"/>
      <c r="X172" s="137"/>
      <c r="Y172" s="135"/>
      <c r="Z172" s="239">
        <f>Z173</f>
        <v>3453000</v>
      </c>
      <c r="AA172" s="239">
        <f>AA173</f>
        <v>5717736.46</v>
      </c>
      <c r="AB172" s="239">
        <f>AB173</f>
        <v>1900000</v>
      </c>
      <c r="AC172" s="213"/>
    </row>
    <row r="173" spans="1:30" ht="64.5" customHeight="1" x14ac:dyDescent="0.3">
      <c r="A173" s="905" t="s">
        <v>565</v>
      </c>
      <c r="B173" s="901" t="s">
        <v>15</v>
      </c>
      <c r="C173" s="901" t="s">
        <v>136</v>
      </c>
      <c r="D173" s="901" t="s">
        <v>127</v>
      </c>
      <c r="E173" s="706" t="s">
        <v>558</v>
      </c>
      <c r="F173" s="901"/>
      <c r="G173" s="901"/>
      <c r="H173" s="901"/>
      <c r="I173" s="901"/>
      <c r="J173" s="901"/>
      <c r="K173" s="901"/>
      <c r="L173" s="901"/>
      <c r="M173" s="901"/>
      <c r="N173" s="901"/>
      <c r="O173" s="901"/>
      <c r="P173" s="901"/>
      <c r="Q173" s="901"/>
      <c r="R173" s="901"/>
      <c r="S173" s="901"/>
      <c r="T173" s="901" t="s">
        <v>275</v>
      </c>
      <c r="U173" s="901"/>
      <c r="V173" s="902"/>
      <c r="W173" s="902"/>
      <c r="X173" s="902"/>
      <c r="Y173" s="900"/>
      <c r="Z173" s="903">
        <f>3000000+15000000-1254000-7600000-5693000</f>
        <v>3453000</v>
      </c>
      <c r="AA173" s="212">
        <f>1900000+4255838.76-438102.3</f>
        <v>5717736.46</v>
      </c>
      <c r="AB173" s="212">
        <v>1900000</v>
      </c>
      <c r="AC173" s="213"/>
    </row>
    <row r="174" spans="1:30" ht="167.25" customHeight="1" x14ac:dyDescent="0.3">
      <c r="A174" s="266" t="s">
        <v>1421</v>
      </c>
      <c r="B174" s="249" t="s">
        <v>15</v>
      </c>
      <c r="C174" s="136" t="s">
        <v>136</v>
      </c>
      <c r="D174" s="136" t="s">
        <v>127</v>
      </c>
      <c r="E174" s="234" t="s">
        <v>780</v>
      </c>
      <c r="F174" s="136"/>
      <c r="G174" s="136"/>
      <c r="H174" s="136"/>
      <c r="I174" s="136"/>
      <c r="J174" s="136"/>
      <c r="K174" s="136"/>
      <c r="L174" s="136"/>
      <c r="M174" s="136"/>
      <c r="N174" s="136"/>
      <c r="O174" s="136"/>
      <c r="P174" s="136"/>
      <c r="Q174" s="136"/>
      <c r="R174" s="136"/>
      <c r="S174" s="136"/>
      <c r="T174" s="136"/>
      <c r="U174" s="136"/>
      <c r="V174" s="137"/>
      <c r="W174" s="137"/>
      <c r="X174" s="137"/>
      <c r="Y174" s="135"/>
      <c r="Z174" s="212">
        <f>Z175</f>
        <v>5514714.2100000009</v>
      </c>
      <c r="AA174" s="212">
        <v>0</v>
      </c>
      <c r="AB174" s="212">
        <v>0</v>
      </c>
      <c r="AC174" s="213"/>
    </row>
    <row r="175" spans="1:30" ht="55.5" customHeight="1" x14ac:dyDescent="0.3">
      <c r="A175" s="252" t="s">
        <v>565</v>
      </c>
      <c r="B175" s="249" t="s">
        <v>15</v>
      </c>
      <c r="C175" s="136" t="s">
        <v>136</v>
      </c>
      <c r="D175" s="136" t="s">
        <v>127</v>
      </c>
      <c r="E175" s="234" t="s">
        <v>780</v>
      </c>
      <c r="F175" s="136"/>
      <c r="G175" s="136"/>
      <c r="H175" s="136"/>
      <c r="I175" s="136"/>
      <c r="J175" s="136"/>
      <c r="K175" s="136"/>
      <c r="L175" s="136"/>
      <c r="M175" s="136"/>
      <c r="N175" s="136"/>
      <c r="O175" s="136"/>
      <c r="P175" s="136"/>
      <c r="Q175" s="136"/>
      <c r="R175" s="136"/>
      <c r="S175" s="136"/>
      <c r="T175" s="136" t="s">
        <v>275</v>
      </c>
      <c r="U175" s="136"/>
      <c r="V175" s="137"/>
      <c r="W175" s="137"/>
      <c r="X175" s="137"/>
      <c r="Y175" s="135"/>
      <c r="Z175" s="212">
        <f>3327238.47+2187475.74</f>
        <v>5514714.2100000009</v>
      </c>
      <c r="AA175" s="212">
        <v>0</v>
      </c>
      <c r="AB175" s="212">
        <v>0</v>
      </c>
      <c r="AC175" s="213"/>
    </row>
    <row r="176" spans="1:30" ht="120" customHeight="1" x14ac:dyDescent="0.3">
      <c r="A176" s="515" t="s">
        <v>1461</v>
      </c>
      <c r="B176" s="508" t="s">
        <v>15</v>
      </c>
      <c r="C176" s="163" t="s">
        <v>136</v>
      </c>
      <c r="D176" s="163" t="s">
        <v>127</v>
      </c>
      <c r="E176" s="509" t="s">
        <v>985</v>
      </c>
      <c r="F176" s="136"/>
      <c r="G176" s="136"/>
      <c r="H176" s="136"/>
      <c r="I176" s="136"/>
      <c r="J176" s="136"/>
      <c r="K176" s="136"/>
      <c r="L176" s="136"/>
      <c r="M176" s="136"/>
      <c r="N176" s="136"/>
      <c r="O176" s="136"/>
      <c r="P176" s="136"/>
      <c r="Q176" s="136"/>
      <c r="R176" s="136"/>
      <c r="S176" s="136"/>
      <c r="T176" s="136"/>
      <c r="U176" s="136"/>
      <c r="V176" s="137"/>
      <c r="W176" s="137"/>
      <c r="X176" s="137"/>
      <c r="Y176" s="135"/>
      <c r="Z176" s="212">
        <f>Z177</f>
        <v>3477000</v>
      </c>
      <c r="AA176" s="212">
        <v>0</v>
      </c>
      <c r="AB176" s="212">
        <v>0</v>
      </c>
      <c r="AC176" s="213"/>
    </row>
    <row r="177" spans="1:29" ht="54.75" customHeight="1" x14ac:dyDescent="0.3">
      <c r="A177" s="445" t="s">
        <v>565</v>
      </c>
      <c r="B177" s="498" t="s">
        <v>15</v>
      </c>
      <c r="C177" s="498" t="s">
        <v>136</v>
      </c>
      <c r="D177" s="498" t="s">
        <v>127</v>
      </c>
      <c r="E177" s="499" t="s">
        <v>985</v>
      </c>
      <c r="F177" s="249"/>
      <c r="G177" s="136"/>
      <c r="H177" s="136"/>
      <c r="I177" s="136"/>
      <c r="J177" s="136"/>
      <c r="K177" s="136"/>
      <c r="L177" s="136"/>
      <c r="M177" s="136"/>
      <c r="N177" s="136"/>
      <c r="O177" s="136"/>
      <c r="P177" s="136"/>
      <c r="Q177" s="136"/>
      <c r="R177" s="136"/>
      <c r="S177" s="136"/>
      <c r="T177" s="136" t="s">
        <v>275</v>
      </c>
      <c r="U177" s="136"/>
      <c r="V177" s="137"/>
      <c r="W177" s="137"/>
      <c r="X177" s="137"/>
      <c r="Y177" s="135"/>
      <c r="Z177" s="212">
        <v>3477000</v>
      </c>
      <c r="AA177" s="212">
        <v>0</v>
      </c>
      <c r="AB177" s="212">
        <v>0</v>
      </c>
      <c r="AC177" s="213"/>
    </row>
    <row r="178" spans="1:29" ht="42" hidden="1" customHeight="1" x14ac:dyDescent="0.3">
      <c r="A178" s="444" t="s">
        <v>1011</v>
      </c>
      <c r="B178" s="498" t="s">
        <v>15</v>
      </c>
      <c r="C178" s="498" t="s">
        <v>136</v>
      </c>
      <c r="D178" s="498" t="s">
        <v>127</v>
      </c>
      <c r="E178" s="499" t="s">
        <v>1006</v>
      </c>
      <c r="F178" s="249"/>
      <c r="G178" s="136"/>
      <c r="H178" s="136"/>
      <c r="I178" s="136"/>
      <c r="J178" s="136"/>
      <c r="K178" s="136"/>
      <c r="L178" s="136"/>
      <c r="M178" s="136"/>
      <c r="N178" s="136"/>
      <c r="O178" s="136"/>
      <c r="P178" s="136"/>
      <c r="Q178" s="136"/>
      <c r="R178" s="136"/>
      <c r="S178" s="136"/>
      <c r="T178" s="136"/>
      <c r="U178" s="136"/>
      <c r="V178" s="137"/>
      <c r="W178" s="137"/>
      <c r="X178" s="137"/>
      <c r="Y178" s="135"/>
      <c r="Z178" s="535">
        <f>Z179</f>
        <v>0</v>
      </c>
      <c r="AA178" s="212">
        <v>0</v>
      </c>
      <c r="AB178" s="212">
        <v>0</v>
      </c>
      <c r="AC178" s="213"/>
    </row>
    <row r="179" spans="1:29" ht="38.25" hidden="1" customHeight="1" x14ac:dyDescent="0.3">
      <c r="A179" s="507" t="s">
        <v>1023</v>
      </c>
      <c r="B179" s="516" t="s">
        <v>15</v>
      </c>
      <c r="C179" s="516" t="s">
        <v>136</v>
      </c>
      <c r="D179" s="516" t="s">
        <v>127</v>
      </c>
      <c r="E179" s="517" t="s">
        <v>1006</v>
      </c>
      <c r="F179" s="508"/>
      <c r="G179" s="163"/>
      <c r="H179" s="163"/>
      <c r="I179" s="163"/>
      <c r="J179" s="163"/>
      <c r="K179" s="163"/>
      <c r="L179" s="163"/>
      <c r="M179" s="163"/>
      <c r="N179" s="163"/>
      <c r="O179" s="163"/>
      <c r="P179" s="163"/>
      <c r="Q179" s="163"/>
      <c r="R179" s="163"/>
      <c r="S179" s="163"/>
      <c r="T179" s="163" t="s">
        <v>275</v>
      </c>
      <c r="U179" s="163"/>
      <c r="V179" s="534"/>
      <c r="W179" s="534"/>
      <c r="X179" s="534"/>
      <c r="Y179" s="587"/>
      <c r="Z179" s="566">
        <f>13447941+400000+185337.39-6400000-7633278.39</f>
        <v>0</v>
      </c>
      <c r="AA179" s="512">
        <v>0</v>
      </c>
      <c r="AB179" s="212">
        <v>0</v>
      </c>
      <c r="AC179" s="213"/>
    </row>
    <row r="180" spans="1:29" ht="48.75" hidden="1" customHeight="1" x14ac:dyDescent="0.3">
      <c r="A180" s="515" t="s">
        <v>1011</v>
      </c>
      <c r="B180" s="516" t="s">
        <v>15</v>
      </c>
      <c r="C180" s="516" t="s">
        <v>136</v>
      </c>
      <c r="D180" s="516" t="s">
        <v>127</v>
      </c>
      <c r="E180" s="517" t="s">
        <v>1024</v>
      </c>
      <c r="F180" s="508"/>
      <c r="G180" s="163"/>
      <c r="H180" s="163"/>
      <c r="I180" s="163"/>
      <c r="J180" s="163"/>
      <c r="K180" s="163"/>
      <c r="L180" s="163"/>
      <c r="M180" s="163"/>
      <c r="N180" s="163"/>
      <c r="O180" s="163"/>
      <c r="P180" s="163"/>
      <c r="Q180" s="163"/>
      <c r="R180" s="163"/>
      <c r="S180" s="163"/>
      <c r="T180" s="163"/>
      <c r="U180" s="498"/>
      <c r="V180" s="536"/>
      <c r="W180" s="536"/>
      <c r="X180" s="536"/>
      <c r="Y180" s="588"/>
      <c r="Z180" s="566">
        <f>Z181</f>
        <v>0</v>
      </c>
      <c r="AA180" s="512">
        <v>0</v>
      </c>
      <c r="AB180" s="212">
        <v>0</v>
      </c>
      <c r="AC180" s="213"/>
    </row>
    <row r="181" spans="1:29" ht="60.75" hidden="1" customHeight="1" x14ac:dyDescent="0.3">
      <c r="A181" s="445" t="s">
        <v>1023</v>
      </c>
      <c r="B181" s="498" t="s">
        <v>15</v>
      </c>
      <c r="C181" s="498" t="s">
        <v>136</v>
      </c>
      <c r="D181" s="498" t="s">
        <v>127</v>
      </c>
      <c r="E181" s="499" t="s">
        <v>1024</v>
      </c>
      <c r="F181" s="498"/>
      <c r="G181" s="498"/>
      <c r="H181" s="498"/>
      <c r="I181" s="498"/>
      <c r="J181" s="498"/>
      <c r="K181" s="498"/>
      <c r="L181" s="498"/>
      <c r="M181" s="498"/>
      <c r="N181" s="498"/>
      <c r="O181" s="498"/>
      <c r="P181" s="498"/>
      <c r="Q181" s="498"/>
      <c r="R181" s="498"/>
      <c r="S181" s="498"/>
      <c r="T181" s="498" t="s">
        <v>275</v>
      </c>
      <c r="U181" s="498"/>
      <c r="V181" s="536"/>
      <c r="W181" s="536"/>
      <c r="X181" s="536"/>
      <c r="Y181" s="588"/>
      <c r="Z181" s="566">
        <v>0</v>
      </c>
      <c r="AA181" s="512">
        <v>0</v>
      </c>
      <c r="AB181" s="212">
        <v>0</v>
      </c>
      <c r="AC181" s="213"/>
    </row>
    <row r="182" spans="1:29" ht="36.75" customHeight="1" x14ac:dyDescent="0.3">
      <c r="A182" s="250" t="s">
        <v>149</v>
      </c>
      <c r="B182" s="497" t="s">
        <v>15</v>
      </c>
      <c r="C182" s="497" t="s">
        <v>136</v>
      </c>
      <c r="D182" s="497" t="s">
        <v>129</v>
      </c>
      <c r="E182" s="497"/>
      <c r="F182" s="497"/>
      <c r="G182" s="497"/>
      <c r="H182" s="497"/>
      <c r="I182" s="497"/>
      <c r="J182" s="497"/>
      <c r="K182" s="497"/>
      <c r="L182" s="497"/>
      <c r="M182" s="497"/>
      <c r="N182" s="497"/>
      <c r="O182" s="497"/>
      <c r="P182" s="497"/>
      <c r="Q182" s="497"/>
      <c r="R182" s="497"/>
      <c r="S182" s="497"/>
      <c r="T182" s="497"/>
      <c r="U182" s="497"/>
      <c r="V182" s="513"/>
      <c r="W182" s="513"/>
      <c r="X182" s="513"/>
      <c r="Y182" s="250" t="s">
        <v>149</v>
      </c>
      <c r="Z182" s="514">
        <f>Z183+Z185+Z187+Z189+Z191+Z193+Z195+Z197+Z199+Z201</f>
        <v>1010000</v>
      </c>
      <c r="AA182" s="215">
        <f>AA183+AA185+AA187+AA189</f>
        <v>200000</v>
      </c>
      <c r="AB182" s="215">
        <f>AB183+AB185+AB187+AB189</f>
        <v>200000</v>
      </c>
      <c r="AC182" s="292" t="s">
        <v>149</v>
      </c>
    </row>
    <row r="183" spans="1:29" ht="145.5" hidden="1" customHeight="1" x14ac:dyDescent="0.3">
      <c r="A183" s="153" t="s">
        <v>592</v>
      </c>
      <c r="B183" s="161" t="s">
        <v>15</v>
      </c>
      <c r="C183" s="161" t="s">
        <v>136</v>
      </c>
      <c r="D183" s="161" t="s">
        <v>129</v>
      </c>
      <c r="E183" s="234" t="s">
        <v>559</v>
      </c>
      <c r="F183" s="161"/>
      <c r="G183" s="161"/>
      <c r="H183" s="161"/>
      <c r="I183" s="161"/>
      <c r="J183" s="161"/>
      <c r="K183" s="161"/>
      <c r="L183" s="161"/>
      <c r="M183" s="161"/>
      <c r="N183" s="161"/>
      <c r="O183" s="161"/>
      <c r="P183" s="161"/>
      <c r="Q183" s="161"/>
      <c r="R183" s="161"/>
      <c r="S183" s="161"/>
      <c r="T183" s="161"/>
      <c r="U183" s="161"/>
      <c r="V183" s="206"/>
      <c r="W183" s="206"/>
      <c r="X183" s="206"/>
      <c r="Y183" s="153" t="s">
        <v>340</v>
      </c>
      <c r="Z183" s="239">
        <f>Z184</f>
        <v>0</v>
      </c>
      <c r="AA183" s="239">
        <f>AA184</f>
        <v>0</v>
      </c>
      <c r="AB183" s="239">
        <f>AB184</f>
        <v>0</v>
      </c>
      <c r="AC183" s="568" t="s">
        <v>340</v>
      </c>
    </row>
    <row r="184" spans="1:29" ht="99" hidden="1" customHeight="1" x14ac:dyDescent="0.3">
      <c r="A184" s="135" t="s">
        <v>732</v>
      </c>
      <c r="B184" s="136" t="s">
        <v>15</v>
      </c>
      <c r="C184" s="136" t="s">
        <v>136</v>
      </c>
      <c r="D184" s="136" t="s">
        <v>129</v>
      </c>
      <c r="E184" s="234" t="s">
        <v>559</v>
      </c>
      <c r="F184" s="136"/>
      <c r="G184" s="136"/>
      <c r="H184" s="136"/>
      <c r="I184" s="136"/>
      <c r="J184" s="136"/>
      <c r="K184" s="136"/>
      <c r="L184" s="136"/>
      <c r="M184" s="136"/>
      <c r="N184" s="136"/>
      <c r="O184" s="136"/>
      <c r="P184" s="136"/>
      <c r="Q184" s="136"/>
      <c r="R184" s="136"/>
      <c r="S184" s="136"/>
      <c r="T184" s="136" t="s">
        <v>243</v>
      </c>
      <c r="U184" s="136"/>
      <c r="V184" s="137"/>
      <c r="W184" s="137"/>
      <c r="X184" s="137"/>
      <c r="Y184" s="135" t="s">
        <v>341</v>
      </c>
      <c r="Z184" s="589">
        <v>0</v>
      </c>
      <c r="AA184" s="212">
        <v>0</v>
      </c>
      <c r="AB184" s="212">
        <v>0</v>
      </c>
      <c r="AC184" s="213" t="s">
        <v>341</v>
      </c>
    </row>
    <row r="185" spans="1:29" ht="186.75" customHeight="1" x14ac:dyDescent="0.3">
      <c r="A185" s="153" t="s">
        <v>1257</v>
      </c>
      <c r="B185" s="161" t="s">
        <v>15</v>
      </c>
      <c r="C185" s="161" t="s">
        <v>136</v>
      </c>
      <c r="D185" s="161" t="s">
        <v>129</v>
      </c>
      <c r="E185" s="234" t="s">
        <v>560</v>
      </c>
      <c r="F185" s="161"/>
      <c r="G185" s="161"/>
      <c r="H185" s="161"/>
      <c r="I185" s="161"/>
      <c r="J185" s="161"/>
      <c r="K185" s="161"/>
      <c r="L185" s="161"/>
      <c r="M185" s="161"/>
      <c r="N185" s="161"/>
      <c r="O185" s="161"/>
      <c r="P185" s="161"/>
      <c r="Q185" s="161"/>
      <c r="R185" s="161"/>
      <c r="S185" s="161"/>
      <c r="T185" s="161"/>
      <c r="U185" s="161"/>
      <c r="V185" s="206"/>
      <c r="W185" s="206"/>
      <c r="X185" s="206"/>
      <c r="Y185" s="153" t="s">
        <v>342</v>
      </c>
      <c r="Z185" s="239">
        <f>Z186</f>
        <v>700000</v>
      </c>
      <c r="AA185" s="239">
        <f>AA186</f>
        <v>150000</v>
      </c>
      <c r="AB185" s="239">
        <f>AB186</f>
        <v>150000</v>
      </c>
      <c r="AC185" s="568" t="s">
        <v>342</v>
      </c>
    </row>
    <row r="186" spans="1:29" ht="37.5" customHeight="1" x14ac:dyDescent="0.3">
      <c r="A186" s="154" t="s">
        <v>763</v>
      </c>
      <c r="B186" s="136" t="s">
        <v>15</v>
      </c>
      <c r="C186" s="136" t="s">
        <v>136</v>
      </c>
      <c r="D186" s="136" t="s">
        <v>129</v>
      </c>
      <c r="E186" s="234" t="s">
        <v>560</v>
      </c>
      <c r="F186" s="136"/>
      <c r="G186" s="136"/>
      <c r="H186" s="136"/>
      <c r="I186" s="136"/>
      <c r="J186" s="136"/>
      <c r="K186" s="136"/>
      <c r="L186" s="136"/>
      <c r="M186" s="136"/>
      <c r="N186" s="136"/>
      <c r="O186" s="136"/>
      <c r="P186" s="136"/>
      <c r="Q186" s="136"/>
      <c r="R186" s="136"/>
      <c r="S186" s="136"/>
      <c r="T186" s="136" t="s">
        <v>243</v>
      </c>
      <c r="U186" s="136"/>
      <c r="V186" s="137"/>
      <c r="W186" s="137"/>
      <c r="X186" s="137"/>
      <c r="Y186" s="154" t="s">
        <v>343</v>
      </c>
      <c r="Z186" s="268">
        <f>500000+500000-300000</f>
        <v>700000</v>
      </c>
      <c r="AA186" s="212">
        <v>150000</v>
      </c>
      <c r="AB186" s="212">
        <v>150000</v>
      </c>
      <c r="AC186" s="569" t="s">
        <v>343</v>
      </c>
    </row>
    <row r="187" spans="1:29" ht="149.25" customHeight="1" x14ac:dyDescent="0.3">
      <c r="A187" s="153" t="s">
        <v>1259</v>
      </c>
      <c r="B187" s="161" t="s">
        <v>15</v>
      </c>
      <c r="C187" s="161" t="s">
        <v>136</v>
      </c>
      <c r="D187" s="161" t="s">
        <v>129</v>
      </c>
      <c r="E187" s="234" t="s">
        <v>561</v>
      </c>
      <c r="F187" s="161"/>
      <c r="G187" s="161"/>
      <c r="H187" s="161"/>
      <c r="I187" s="161"/>
      <c r="J187" s="161"/>
      <c r="K187" s="161"/>
      <c r="L187" s="161"/>
      <c r="M187" s="161"/>
      <c r="N187" s="161"/>
      <c r="O187" s="161"/>
      <c r="P187" s="161"/>
      <c r="Q187" s="161"/>
      <c r="R187" s="161"/>
      <c r="S187" s="161"/>
      <c r="T187" s="161"/>
      <c r="U187" s="161"/>
      <c r="V187" s="206"/>
      <c r="W187" s="206"/>
      <c r="X187" s="206"/>
      <c r="Y187" s="153" t="s">
        <v>344</v>
      </c>
      <c r="Z187" s="267">
        <f>Z188</f>
        <v>10000</v>
      </c>
      <c r="AA187" s="239">
        <f>AA188</f>
        <v>50000</v>
      </c>
      <c r="AB187" s="239">
        <f>AB188</f>
        <v>50000</v>
      </c>
      <c r="AC187" s="568" t="s">
        <v>344</v>
      </c>
    </row>
    <row r="188" spans="1:29" ht="67.5" customHeight="1" x14ac:dyDescent="0.3">
      <c r="A188" s="135" t="s">
        <v>565</v>
      </c>
      <c r="B188" s="136" t="s">
        <v>15</v>
      </c>
      <c r="C188" s="136" t="s">
        <v>136</v>
      </c>
      <c r="D188" s="136" t="s">
        <v>129</v>
      </c>
      <c r="E188" s="234" t="s">
        <v>561</v>
      </c>
      <c r="F188" s="136"/>
      <c r="G188" s="136"/>
      <c r="H188" s="136"/>
      <c r="I188" s="136"/>
      <c r="J188" s="136"/>
      <c r="K188" s="136"/>
      <c r="L188" s="136"/>
      <c r="M188" s="136"/>
      <c r="N188" s="136"/>
      <c r="O188" s="136"/>
      <c r="P188" s="136"/>
      <c r="Q188" s="136"/>
      <c r="R188" s="136"/>
      <c r="S188" s="136"/>
      <c r="T188" s="136" t="s">
        <v>275</v>
      </c>
      <c r="U188" s="136"/>
      <c r="V188" s="137"/>
      <c r="W188" s="137"/>
      <c r="X188" s="137"/>
      <c r="Y188" s="135" t="s">
        <v>345</v>
      </c>
      <c r="Z188" s="268">
        <f>20000-10000</f>
        <v>10000</v>
      </c>
      <c r="AA188" s="212">
        <v>50000</v>
      </c>
      <c r="AB188" s="212">
        <v>50000</v>
      </c>
      <c r="AC188" s="213" t="s">
        <v>345</v>
      </c>
    </row>
    <row r="189" spans="1:29" s="275" customFormat="1" ht="125.25" hidden="1" customHeight="1" x14ac:dyDescent="0.3">
      <c r="A189" s="153" t="s">
        <v>882</v>
      </c>
      <c r="B189" s="136" t="s">
        <v>15</v>
      </c>
      <c r="C189" s="136" t="s">
        <v>136</v>
      </c>
      <c r="D189" s="136" t="s">
        <v>129</v>
      </c>
      <c r="E189" s="234" t="s">
        <v>881</v>
      </c>
      <c r="F189" s="136"/>
      <c r="G189" s="136"/>
      <c r="H189" s="136"/>
      <c r="I189" s="136"/>
      <c r="J189" s="136"/>
      <c r="K189" s="136"/>
      <c r="L189" s="136"/>
      <c r="M189" s="136"/>
      <c r="N189" s="136"/>
      <c r="O189" s="136"/>
      <c r="P189" s="136"/>
      <c r="Q189" s="136"/>
      <c r="R189" s="136"/>
      <c r="S189" s="136"/>
      <c r="T189" s="136"/>
      <c r="U189" s="136"/>
      <c r="V189" s="137"/>
      <c r="W189" s="137"/>
      <c r="X189" s="137"/>
      <c r="Y189" s="135"/>
      <c r="Z189" s="212">
        <f>Z190</f>
        <v>0</v>
      </c>
      <c r="AA189" s="212">
        <f t="shared" ref="AA189:AB189" si="10">AA190</f>
        <v>0</v>
      </c>
      <c r="AB189" s="212">
        <f t="shared" si="10"/>
        <v>0</v>
      </c>
      <c r="AC189" s="571"/>
    </row>
    <row r="190" spans="1:29" s="275" customFormat="1" ht="43.5" hidden="1" customHeight="1" x14ac:dyDescent="0.3">
      <c r="A190" s="135" t="s">
        <v>883</v>
      </c>
      <c r="B190" s="136" t="s">
        <v>15</v>
      </c>
      <c r="C190" s="136" t="s">
        <v>136</v>
      </c>
      <c r="D190" s="136" t="s">
        <v>129</v>
      </c>
      <c r="E190" s="234" t="s">
        <v>881</v>
      </c>
      <c r="F190" s="136"/>
      <c r="G190" s="136"/>
      <c r="H190" s="136"/>
      <c r="I190" s="136"/>
      <c r="J190" s="136"/>
      <c r="K190" s="136"/>
      <c r="L190" s="136"/>
      <c r="M190" s="136"/>
      <c r="N190" s="136"/>
      <c r="O190" s="136"/>
      <c r="P190" s="136"/>
      <c r="Q190" s="136"/>
      <c r="R190" s="136"/>
      <c r="S190" s="136"/>
      <c r="T190" s="136" t="s">
        <v>275</v>
      </c>
      <c r="U190" s="136"/>
      <c r="V190" s="137"/>
      <c r="W190" s="137"/>
      <c r="X190" s="137"/>
      <c r="Y190" s="135"/>
      <c r="Z190" s="212">
        <v>0</v>
      </c>
      <c r="AA190" s="212">
        <v>0</v>
      </c>
      <c r="AB190" s="212">
        <v>0</v>
      </c>
      <c r="AC190" s="571"/>
    </row>
    <row r="191" spans="1:29" s="275" customFormat="1" ht="147.75" customHeight="1" x14ac:dyDescent="0.3">
      <c r="A191" s="817" t="s">
        <v>1502</v>
      </c>
      <c r="B191" s="136" t="s">
        <v>15</v>
      </c>
      <c r="C191" s="136" t="s">
        <v>136</v>
      </c>
      <c r="D191" s="136" t="s">
        <v>129</v>
      </c>
      <c r="E191" s="234" t="s">
        <v>1471</v>
      </c>
      <c r="F191" s="136"/>
      <c r="G191" s="136"/>
      <c r="H191" s="136"/>
      <c r="I191" s="136"/>
      <c r="J191" s="136"/>
      <c r="K191" s="136"/>
      <c r="L191" s="136"/>
      <c r="M191" s="136"/>
      <c r="N191" s="136"/>
      <c r="O191" s="136"/>
      <c r="P191" s="136"/>
      <c r="Q191" s="136"/>
      <c r="R191" s="136"/>
      <c r="S191" s="136"/>
      <c r="T191" s="136"/>
      <c r="U191" s="136"/>
      <c r="V191" s="137"/>
      <c r="W191" s="137"/>
      <c r="X191" s="137"/>
      <c r="Y191" s="135"/>
      <c r="Z191" s="212">
        <f>Z192</f>
        <v>50000</v>
      </c>
      <c r="AA191" s="212">
        <v>0</v>
      </c>
      <c r="AB191" s="212">
        <v>0</v>
      </c>
      <c r="AC191" s="571"/>
    </row>
    <row r="192" spans="1:29" s="275" customFormat="1" ht="43.5" customHeight="1" x14ac:dyDescent="0.3">
      <c r="A192" s="154" t="s">
        <v>763</v>
      </c>
      <c r="B192" s="136" t="s">
        <v>15</v>
      </c>
      <c r="C192" s="136" t="s">
        <v>136</v>
      </c>
      <c r="D192" s="136" t="s">
        <v>129</v>
      </c>
      <c r="E192" s="234" t="s">
        <v>1471</v>
      </c>
      <c r="F192" s="136"/>
      <c r="G192" s="136"/>
      <c r="H192" s="136"/>
      <c r="I192" s="136"/>
      <c r="J192" s="136"/>
      <c r="K192" s="136"/>
      <c r="L192" s="136"/>
      <c r="M192" s="136"/>
      <c r="N192" s="136"/>
      <c r="O192" s="136"/>
      <c r="P192" s="136"/>
      <c r="Q192" s="136"/>
      <c r="R192" s="136"/>
      <c r="S192" s="136"/>
      <c r="T192" s="136" t="s">
        <v>243</v>
      </c>
      <c r="U192" s="136"/>
      <c r="V192" s="137"/>
      <c r="W192" s="137"/>
      <c r="X192" s="137"/>
      <c r="Y192" s="135"/>
      <c r="Z192" s="212">
        <v>50000</v>
      </c>
      <c r="AA192" s="212">
        <v>0</v>
      </c>
      <c r="AB192" s="212">
        <v>0</v>
      </c>
      <c r="AC192" s="571"/>
    </row>
    <row r="193" spans="1:29" s="275" customFormat="1" ht="161.25" customHeight="1" x14ac:dyDescent="0.3">
      <c r="A193" s="492" t="s">
        <v>1504</v>
      </c>
      <c r="B193" s="136" t="s">
        <v>15</v>
      </c>
      <c r="C193" s="136" t="s">
        <v>136</v>
      </c>
      <c r="D193" s="136" t="s">
        <v>129</v>
      </c>
      <c r="E193" s="234" t="s">
        <v>1473</v>
      </c>
      <c r="F193" s="136"/>
      <c r="G193" s="136"/>
      <c r="H193" s="136"/>
      <c r="I193" s="136"/>
      <c r="J193" s="136"/>
      <c r="K193" s="136"/>
      <c r="L193" s="136"/>
      <c r="M193" s="136"/>
      <c r="N193" s="136"/>
      <c r="O193" s="136"/>
      <c r="P193" s="136"/>
      <c r="Q193" s="136"/>
      <c r="R193" s="136"/>
      <c r="S193" s="136"/>
      <c r="T193" s="136"/>
      <c r="U193" s="136"/>
      <c r="V193" s="137"/>
      <c r="W193" s="137"/>
      <c r="X193" s="137"/>
      <c r="Y193" s="135"/>
      <c r="Z193" s="212">
        <f>Z194</f>
        <v>50000</v>
      </c>
      <c r="AA193" s="212">
        <v>0</v>
      </c>
      <c r="AB193" s="212">
        <v>0</v>
      </c>
      <c r="AC193" s="571"/>
    </row>
    <row r="194" spans="1:29" s="275" customFormat="1" ht="43.5" customHeight="1" x14ac:dyDescent="0.3">
      <c r="A194" s="154" t="s">
        <v>763</v>
      </c>
      <c r="B194" s="136" t="s">
        <v>15</v>
      </c>
      <c r="C194" s="136" t="s">
        <v>136</v>
      </c>
      <c r="D194" s="136" t="s">
        <v>129</v>
      </c>
      <c r="E194" s="234" t="s">
        <v>1473</v>
      </c>
      <c r="F194" s="136"/>
      <c r="G194" s="136"/>
      <c r="H194" s="136"/>
      <c r="I194" s="136"/>
      <c r="J194" s="136"/>
      <c r="K194" s="136"/>
      <c r="L194" s="136"/>
      <c r="M194" s="136"/>
      <c r="N194" s="136"/>
      <c r="O194" s="136"/>
      <c r="P194" s="136"/>
      <c r="Q194" s="136"/>
      <c r="R194" s="136"/>
      <c r="S194" s="136"/>
      <c r="T194" s="136" t="s">
        <v>243</v>
      </c>
      <c r="U194" s="136"/>
      <c r="V194" s="137"/>
      <c r="W194" s="137"/>
      <c r="X194" s="137"/>
      <c r="Y194" s="135"/>
      <c r="Z194" s="212">
        <v>50000</v>
      </c>
      <c r="AA194" s="212">
        <v>0</v>
      </c>
      <c r="AB194" s="212">
        <v>0</v>
      </c>
      <c r="AC194" s="571"/>
    </row>
    <row r="195" spans="1:29" s="275" customFormat="1" ht="117" customHeight="1" x14ac:dyDescent="0.3">
      <c r="A195" s="492" t="s">
        <v>1506</v>
      </c>
      <c r="B195" s="136" t="s">
        <v>15</v>
      </c>
      <c r="C195" s="136" t="s">
        <v>136</v>
      </c>
      <c r="D195" s="136" t="s">
        <v>129</v>
      </c>
      <c r="E195" s="234" t="s">
        <v>1475</v>
      </c>
      <c r="F195" s="136"/>
      <c r="G195" s="136"/>
      <c r="H195" s="136"/>
      <c r="I195" s="136"/>
      <c r="J195" s="136"/>
      <c r="K195" s="136"/>
      <c r="L195" s="136"/>
      <c r="M195" s="136"/>
      <c r="N195" s="136"/>
      <c r="O195" s="136"/>
      <c r="P195" s="136"/>
      <c r="Q195" s="136"/>
      <c r="R195" s="136"/>
      <c r="S195" s="136"/>
      <c r="T195" s="136"/>
      <c r="U195" s="136"/>
      <c r="V195" s="137"/>
      <c r="W195" s="137"/>
      <c r="X195" s="137"/>
      <c r="Y195" s="135"/>
      <c r="Z195" s="212">
        <f>Z196</f>
        <v>50000</v>
      </c>
      <c r="AA195" s="212">
        <v>0</v>
      </c>
      <c r="AB195" s="212">
        <v>0</v>
      </c>
      <c r="AC195" s="571"/>
    </row>
    <row r="196" spans="1:29" s="275" customFormat="1" ht="43.5" customHeight="1" x14ac:dyDescent="0.3">
      <c r="A196" s="154" t="s">
        <v>763</v>
      </c>
      <c r="B196" s="136" t="s">
        <v>15</v>
      </c>
      <c r="C196" s="136" t="s">
        <v>136</v>
      </c>
      <c r="D196" s="136" t="s">
        <v>129</v>
      </c>
      <c r="E196" s="234" t="s">
        <v>1475</v>
      </c>
      <c r="F196" s="136"/>
      <c r="G196" s="136"/>
      <c r="H196" s="136"/>
      <c r="I196" s="136"/>
      <c r="J196" s="136"/>
      <c r="K196" s="136"/>
      <c r="L196" s="136"/>
      <c r="M196" s="136"/>
      <c r="N196" s="136"/>
      <c r="O196" s="136"/>
      <c r="P196" s="136"/>
      <c r="Q196" s="136"/>
      <c r="R196" s="136"/>
      <c r="S196" s="136"/>
      <c r="T196" s="136" t="s">
        <v>243</v>
      </c>
      <c r="U196" s="136"/>
      <c r="V196" s="137"/>
      <c r="W196" s="137"/>
      <c r="X196" s="137"/>
      <c r="Y196" s="135"/>
      <c r="Z196" s="212">
        <v>50000</v>
      </c>
      <c r="AA196" s="212">
        <v>0</v>
      </c>
      <c r="AB196" s="212">
        <v>0</v>
      </c>
      <c r="AC196" s="571"/>
    </row>
    <row r="197" spans="1:29" s="275" customFormat="1" ht="127.5" customHeight="1" x14ac:dyDescent="0.3">
      <c r="A197" s="492" t="s">
        <v>1503</v>
      </c>
      <c r="B197" s="136" t="s">
        <v>15</v>
      </c>
      <c r="C197" s="136" t="s">
        <v>136</v>
      </c>
      <c r="D197" s="136" t="s">
        <v>129</v>
      </c>
      <c r="E197" s="234" t="s">
        <v>1477</v>
      </c>
      <c r="F197" s="136"/>
      <c r="G197" s="136"/>
      <c r="H197" s="136"/>
      <c r="I197" s="136"/>
      <c r="J197" s="136"/>
      <c r="K197" s="136"/>
      <c r="L197" s="136"/>
      <c r="M197" s="136"/>
      <c r="N197" s="136"/>
      <c r="O197" s="136"/>
      <c r="P197" s="136"/>
      <c r="Q197" s="136"/>
      <c r="R197" s="136"/>
      <c r="S197" s="136"/>
      <c r="T197" s="136"/>
      <c r="U197" s="136"/>
      <c r="V197" s="137"/>
      <c r="W197" s="137"/>
      <c r="X197" s="137"/>
      <c r="Y197" s="135"/>
      <c r="Z197" s="212">
        <f>Z198</f>
        <v>50000</v>
      </c>
      <c r="AA197" s="212">
        <v>0</v>
      </c>
      <c r="AB197" s="212">
        <v>0</v>
      </c>
      <c r="AC197" s="571"/>
    </row>
    <row r="198" spans="1:29" s="275" customFormat="1" ht="43.5" customHeight="1" x14ac:dyDescent="0.3">
      <c r="A198" s="154" t="s">
        <v>763</v>
      </c>
      <c r="B198" s="136" t="s">
        <v>15</v>
      </c>
      <c r="C198" s="136" t="s">
        <v>136</v>
      </c>
      <c r="D198" s="136" t="s">
        <v>129</v>
      </c>
      <c r="E198" s="234" t="s">
        <v>1477</v>
      </c>
      <c r="F198" s="136"/>
      <c r="G198" s="136"/>
      <c r="H198" s="136"/>
      <c r="I198" s="136"/>
      <c r="J198" s="136"/>
      <c r="K198" s="136"/>
      <c r="L198" s="136"/>
      <c r="M198" s="136"/>
      <c r="N198" s="136"/>
      <c r="O198" s="136"/>
      <c r="P198" s="136"/>
      <c r="Q198" s="136"/>
      <c r="R198" s="136"/>
      <c r="S198" s="136"/>
      <c r="T198" s="136" t="s">
        <v>243</v>
      </c>
      <c r="U198" s="136"/>
      <c r="V198" s="137"/>
      <c r="W198" s="137"/>
      <c r="X198" s="137"/>
      <c r="Y198" s="135"/>
      <c r="Z198" s="212">
        <v>50000</v>
      </c>
      <c r="AA198" s="212">
        <v>0</v>
      </c>
      <c r="AB198" s="212">
        <v>0</v>
      </c>
      <c r="AC198" s="571"/>
    </row>
    <row r="199" spans="1:29" s="275" customFormat="1" ht="144" customHeight="1" x14ac:dyDescent="0.3">
      <c r="A199" s="492" t="s">
        <v>1505</v>
      </c>
      <c r="B199" s="136" t="s">
        <v>15</v>
      </c>
      <c r="C199" s="136" t="s">
        <v>136</v>
      </c>
      <c r="D199" s="136" t="s">
        <v>129</v>
      </c>
      <c r="E199" s="234" t="s">
        <v>1479</v>
      </c>
      <c r="F199" s="136"/>
      <c r="G199" s="136"/>
      <c r="H199" s="136"/>
      <c r="I199" s="136"/>
      <c r="J199" s="136"/>
      <c r="K199" s="136"/>
      <c r="L199" s="136"/>
      <c r="M199" s="136"/>
      <c r="N199" s="136"/>
      <c r="O199" s="136"/>
      <c r="P199" s="136"/>
      <c r="Q199" s="136"/>
      <c r="R199" s="136"/>
      <c r="S199" s="136"/>
      <c r="T199" s="136"/>
      <c r="U199" s="136"/>
      <c r="V199" s="137"/>
      <c r="W199" s="137"/>
      <c r="X199" s="137"/>
      <c r="Y199" s="135"/>
      <c r="Z199" s="212">
        <f>Z200</f>
        <v>50000</v>
      </c>
      <c r="AA199" s="212">
        <v>0</v>
      </c>
      <c r="AB199" s="212">
        <v>0</v>
      </c>
      <c r="AC199" s="571"/>
    </row>
    <row r="200" spans="1:29" s="275" customFormat="1" ht="43.5" customHeight="1" thickBot="1" x14ac:dyDescent="0.35">
      <c r="A200" s="154" t="s">
        <v>763</v>
      </c>
      <c r="B200" s="136" t="s">
        <v>15</v>
      </c>
      <c r="C200" s="136" t="s">
        <v>136</v>
      </c>
      <c r="D200" s="136" t="s">
        <v>129</v>
      </c>
      <c r="E200" s="234" t="s">
        <v>1479</v>
      </c>
      <c r="F200" s="136"/>
      <c r="G200" s="136"/>
      <c r="H200" s="136"/>
      <c r="I200" s="136"/>
      <c r="J200" s="136"/>
      <c r="K200" s="136"/>
      <c r="L200" s="136"/>
      <c r="M200" s="136"/>
      <c r="N200" s="136"/>
      <c r="O200" s="136"/>
      <c r="P200" s="136"/>
      <c r="Q200" s="136"/>
      <c r="R200" s="136"/>
      <c r="S200" s="136"/>
      <c r="T200" s="136" t="s">
        <v>243</v>
      </c>
      <c r="U200" s="136"/>
      <c r="V200" s="137"/>
      <c r="W200" s="137"/>
      <c r="X200" s="137"/>
      <c r="Y200" s="135"/>
      <c r="Z200" s="212">
        <v>50000</v>
      </c>
      <c r="AA200" s="212">
        <v>0</v>
      </c>
      <c r="AB200" s="212">
        <v>0</v>
      </c>
      <c r="AC200" s="571"/>
    </row>
    <row r="201" spans="1:29" s="275" customFormat="1" ht="202.5" customHeight="1" thickBot="1" x14ac:dyDescent="0.35">
      <c r="A201" s="165" t="s">
        <v>1507</v>
      </c>
      <c r="B201" s="136" t="s">
        <v>15</v>
      </c>
      <c r="C201" s="136" t="s">
        <v>136</v>
      </c>
      <c r="D201" s="136" t="s">
        <v>129</v>
      </c>
      <c r="E201" s="234" t="s">
        <v>1481</v>
      </c>
      <c r="F201" s="136"/>
      <c r="G201" s="136"/>
      <c r="H201" s="136"/>
      <c r="I201" s="136"/>
      <c r="J201" s="136"/>
      <c r="K201" s="136"/>
      <c r="L201" s="136"/>
      <c r="M201" s="136"/>
      <c r="N201" s="136"/>
      <c r="O201" s="136"/>
      <c r="P201" s="136"/>
      <c r="Q201" s="136"/>
      <c r="R201" s="136"/>
      <c r="S201" s="136"/>
      <c r="T201" s="136"/>
      <c r="U201" s="136"/>
      <c r="V201" s="137"/>
      <c r="W201" s="137"/>
      <c r="X201" s="137"/>
      <c r="Y201" s="135"/>
      <c r="Z201" s="212">
        <f>Z202</f>
        <v>50000</v>
      </c>
      <c r="AA201" s="212">
        <v>0</v>
      </c>
      <c r="AB201" s="212">
        <v>0</v>
      </c>
      <c r="AC201" s="571"/>
    </row>
    <row r="202" spans="1:29" s="275" customFormat="1" ht="43.5" customHeight="1" x14ac:dyDescent="0.3">
      <c r="A202" s="154" t="s">
        <v>763</v>
      </c>
      <c r="B202" s="136" t="s">
        <v>15</v>
      </c>
      <c r="C202" s="136" t="s">
        <v>136</v>
      </c>
      <c r="D202" s="136" t="s">
        <v>129</v>
      </c>
      <c r="E202" s="234" t="s">
        <v>1481</v>
      </c>
      <c r="F202" s="136"/>
      <c r="G202" s="136"/>
      <c r="H202" s="136"/>
      <c r="I202" s="136"/>
      <c r="J202" s="136"/>
      <c r="K202" s="136"/>
      <c r="L202" s="136"/>
      <c r="M202" s="136"/>
      <c r="N202" s="136"/>
      <c r="O202" s="136"/>
      <c r="P202" s="136"/>
      <c r="Q202" s="136"/>
      <c r="R202" s="136"/>
      <c r="S202" s="136"/>
      <c r="T202" s="136" t="s">
        <v>243</v>
      </c>
      <c r="U202" s="136"/>
      <c r="V202" s="137"/>
      <c r="W202" s="137"/>
      <c r="X202" s="137"/>
      <c r="Y202" s="135"/>
      <c r="Z202" s="212">
        <v>50000</v>
      </c>
      <c r="AA202" s="212">
        <v>0</v>
      </c>
      <c r="AB202" s="212">
        <v>0</v>
      </c>
      <c r="AC202" s="571"/>
    </row>
    <row r="203" spans="1:29" ht="37.15" customHeight="1" x14ac:dyDescent="0.3">
      <c r="A203" s="159" t="s">
        <v>347</v>
      </c>
      <c r="B203" s="160" t="s">
        <v>15</v>
      </c>
      <c r="C203" s="160" t="s">
        <v>124</v>
      </c>
      <c r="D203" s="160" t="s">
        <v>133</v>
      </c>
      <c r="E203" s="160"/>
      <c r="F203" s="160"/>
      <c r="G203" s="160"/>
      <c r="H203" s="160"/>
      <c r="I203" s="160"/>
      <c r="J203" s="160"/>
      <c r="K203" s="160"/>
      <c r="L203" s="160"/>
      <c r="M203" s="160"/>
      <c r="N203" s="160"/>
      <c r="O203" s="160"/>
      <c r="P203" s="160"/>
      <c r="Q203" s="160"/>
      <c r="R203" s="160"/>
      <c r="S203" s="160"/>
      <c r="T203" s="160"/>
      <c r="U203" s="160"/>
      <c r="V203" s="214"/>
      <c r="W203" s="214"/>
      <c r="X203" s="214"/>
      <c r="Y203" s="159" t="s">
        <v>347</v>
      </c>
      <c r="Z203" s="215">
        <f>Z204+Z219+Z226</f>
        <v>112774630.75999999</v>
      </c>
      <c r="AA203" s="215">
        <f>AA204+AA219+AA226</f>
        <v>71595898.829999998</v>
      </c>
      <c r="AB203" s="215">
        <f>AB204+AB219+AB226</f>
        <v>71595898.829999998</v>
      </c>
      <c r="AC203" s="292" t="s">
        <v>347</v>
      </c>
    </row>
    <row r="204" spans="1:29" ht="18" customHeight="1" x14ac:dyDescent="0.3">
      <c r="A204" s="159" t="s">
        <v>150</v>
      </c>
      <c r="B204" s="160" t="s">
        <v>15</v>
      </c>
      <c r="C204" s="160" t="s">
        <v>124</v>
      </c>
      <c r="D204" s="160" t="s">
        <v>122</v>
      </c>
      <c r="E204" s="160"/>
      <c r="F204" s="160"/>
      <c r="G204" s="160"/>
      <c r="H204" s="160"/>
      <c r="I204" s="160"/>
      <c r="J204" s="160"/>
      <c r="K204" s="160"/>
      <c r="L204" s="160"/>
      <c r="M204" s="160"/>
      <c r="N204" s="160"/>
      <c r="O204" s="160"/>
      <c r="P204" s="160"/>
      <c r="Q204" s="160"/>
      <c r="R204" s="160"/>
      <c r="S204" s="160"/>
      <c r="T204" s="160"/>
      <c r="U204" s="160"/>
      <c r="V204" s="214"/>
      <c r="W204" s="214"/>
      <c r="X204" s="214"/>
      <c r="Y204" s="159" t="s">
        <v>150</v>
      </c>
      <c r="Z204" s="215">
        <f>Z207+Z209+Z217+Z205+Z211+Z215+Z213</f>
        <v>31752377.41</v>
      </c>
      <c r="AA204" s="215">
        <f>AA207+AA209+AA217+AA205+AA211+AA215</f>
        <v>10000000</v>
      </c>
      <c r="AB204" s="215">
        <f>AB207+AB209+AB217+AB205+AB211+AB215</f>
        <v>10000000</v>
      </c>
      <c r="AC204" s="292" t="s">
        <v>150</v>
      </c>
    </row>
    <row r="205" spans="1:29" ht="0.75" hidden="1" customHeight="1" x14ac:dyDescent="0.3">
      <c r="A205" s="492" t="s">
        <v>737</v>
      </c>
      <c r="B205" s="161" t="s">
        <v>15</v>
      </c>
      <c r="C205" s="161" t="s">
        <v>124</v>
      </c>
      <c r="D205" s="161" t="s">
        <v>122</v>
      </c>
      <c r="E205" s="234" t="s">
        <v>739</v>
      </c>
      <c r="F205" s="160"/>
      <c r="G205" s="160"/>
      <c r="H205" s="160"/>
      <c r="I205" s="160"/>
      <c r="J205" s="160"/>
      <c r="K205" s="160"/>
      <c r="L205" s="160"/>
      <c r="M205" s="160"/>
      <c r="N205" s="160"/>
      <c r="O205" s="160"/>
      <c r="P205" s="160"/>
      <c r="Q205" s="160"/>
      <c r="R205" s="160"/>
      <c r="S205" s="160"/>
      <c r="T205" s="160"/>
      <c r="U205" s="160"/>
      <c r="V205" s="214"/>
      <c r="W205" s="214"/>
      <c r="X205" s="214"/>
      <c r="Y205" s="159"/>
      <c r="Z205" s="239">
        <f>Z206</f>
        <v>0</v>
      </c>
      <c r="AA205" s="239">
        <f>AA206</f>
        <v>0</v>
      </c>
      <c r="AB205" s="239">
        <f>AB206</f>
        <v>0</v>
      </c>
      <c r="AC205" s="292"/>
    </row>
    <row r="206" spans="1:29" ht="64.5" hidden="1" customHeight="1" x14ac:dyDescent="0.3">
      <c r="A206" s="153" t="s">
        <v>738</v>
      </c>
      <c r="B206" s="136" t="s">
        <v>15</v>
      </c>
      <c r="C206" s="136" t="s">
        <v>124</v>
      </c>
      <c r="D206" s="136" t="s">
        <v>122</v>
      </c>
      <c r="E206" s="234" t="s">
        <v>739</v>
      </c>
      <c r="F206" s="160"/>
      <c r="G206" s="160"/>
      <c r="H206" s="160"/>
      <c r="I206" s="160"/>
      <c r="J206" s="160"/>
      <c r="K206" s="160"/>
      <c r="L206" s="160"/>
      <c r="M206" s="160"/>
      <c r="N206" s="160"/>
      <c r="O206" s="160"/>
      <c r="P206" s="160"/>
      <c r="Q206" s="160"/>
      <c r="R206" s="160"/>
      <c r="S206" s="160"/>
      <c r="T206" s="161" t="s">
        <v>275</v>
      </c>
      <c r="U206" s="160"/>
      <c r="V206" s="214"/>
      <c r="W206" s="214"/>
      <c r="X206" s="214"/>
      <c r="Y206" s="159"/>
      <c r="Z206" s="239">
        <v>0</v>
      </c>
      <c r="AA206" s="239">
        <v>0</v>
      </c>
      <c r="AB206" s="239">
        <v>0</v>
      </c>
      <c r="AC206" s="292"/>
    </row>
    <row r="207" spans="1:29" ht="175.5" customHeight="1" x14ac:dyDescent="0.3">
      <c r="A207" s="153" t="s">
        <v>1416</v>
      </c>
      <c r="B207" s="161" t="s">
        <v>15</v>
      </c>
      <c r="C207" s="161" t="s">
        <v>124</v>
      </c>
      <c r="D207" s="161" t="s">
        <v>122</v>
      </c>
      <c r="E207" s="234" t="s">
        <v>1058</v>
      </c>
      <c r="F207" s="161"/>
      <c r="G207" s="161"/>
      <c r="H207" s="161"/>
      <c r="I207" s="161"/>
      <c r="J207" s="161"/>
      <c r="K207" s="161"/>
      <c r="L207" s="161"/>
      <c r="M207" s="161"/>
      <c r="N207" s="161"/>
      <c r="O207" s="161"/>
      <c r="P207" s="161"/>
      <c r="Q207" s="161"/>
      <c r="R207" s="161"/>
      <c r="S207" s="161"/>
      <c r="T207" s="161"/>
      <c r="U207" s="161"/>
      <c r="V207" s="206"/>
      <c r="W207" s="206"/>
      <c r="X207" s="206"/>
      <c r="Y207" s="153" t="s">
        <v>348</v>
      </c>
      <c r="Z207" s="239">
        <f>Z208</f>
        <v>0</v>
      </c>
      <c r="AA207" s="239">
        <f>AA208</f>
        <v>0</v>
      </c>
      <c r="AB207" s="239">
        <f>AB208</f>
        <v>0</v>
      </c>
      <c r="AC207" s="568" t="s">
        <v>348</v>
      </c>
    </row>
    <row r="208" spans="1:29" ht="54.75" customHeight="1" x14ac:dyDescent="0.3">
      <c r="A208" s="906" t="s">
        <v>565</v>
      </c>
      <c r="B208" s="901" t="s">
        <v>15</v>
      </c>
      <c r="C208" s="901" t="s">
        <v>124</v>
      </c>
      <c r="D208" s="901" t="s">
        <v>122</v>
      </c>
      <c r="E208" s="706" t="s">
        <v>1058</v>
      </c>
      <c r="F208" s="901"/>
      <c r="G208" s="901"/>
      <c r="H208" s="901"/>
      <c r="I208" s="901"/>
      <c r="J208" s="901"/>
      <c r="K208" s="901"/>
      <c r="L208" s="901"/>
      <c r="M208" s="901"/>
      <c r="N208" s="901"/>
      <c r="O208" s="901"/>
      <c r="P208" s="901"/>
      <c r="Q208" s="901"/>
      <c r="R208" s="901"/>
      <c r="S208" s="901"/>
      <c r="T208" s="901" t="s">
        <v>275</v>
      </c>
      <c r="U208" s="901"/>
      <c r="V208" s="902"/>
      <c r="W208" s="902"/>
      <c r="X208" s="902"/>
      <c r="Y208" s="900" t="s">
        <v>349</v>
      </c>
      <c r="Z208" s="907">
        <f>2000000-2000000</f>
        <v>0</v>
      </c>
      <c r="AA208" s="212">
        <f>500000-500000</f>
        <v>0</v>
      </c>
      <c r="AB208" s="212">
        <f>500000-500000</f>
        <v>0</v>
      </c>
      <c r="AC208" s="213" t="s">
        <v>349</v>
      </c>
    </row>
    <row r="209" spans="1:29" ht="0.75" hidden="1" customHeight="1" x14ac:dyDescent="0.3">
      <c r="A209" s="473" t="s">
        <v>737</v>
      </c>
      <c r="B209" s="148" t="s">
        <v>15</v>
      </c>
      <c r="C209" s="148" t="s">
        <v>124</v>
      </c>
      <c r="D209" s="148" t="s">
        <v>122</v>
      </c>
      <c r="E209" s="237" t="s">
        <v>997</v>
      </c>
      <c r="F209" s="148"/>
      <c r="G209" s="148"/>
      <c r="H209" s="148"/>
      <c r="I209" s="148"/>
      <c r="J209" s="148"/>
      <c r="K209" s="148"/>
      <c r="L209" s="148"/>
      <c r="M209" s="148"/>
      <c r="N209" s="148"/>
      <c r="O209" s="148"/>
      <c r="P209" s="148"/>
      <c r="Q209" s="148"/>
      <c r="R209" s="148"/>
      <c r="S209" s="148"/>
      <c r="T209" s="148"/>
      <c r="U209" s="136"/>
      <c r="V209" s="137"/>
      <c r="W209" s="137"/>
      <c r="X209" s="137"/>
      <c r="Y209" s="135"/>
      <c r="Z209" s="212">
        <f>Z210</f>
        <v>0</v>
      </c>
      <c r="AA209" s="212">
        <f>AA210</f>
        <v>0</v>
      </c>
      <c r="AB209" s="212">
        <f>AB210</f>
        <v>0</v>
      </c>
      <c r="AC209" s="213"/>
    </row>
    <row r="210" spans="1:29" ht="48.75" hidden="1" customHeight="1" x14ac:dyDescent="0.3">
      <c r="A210" s="473" t="s">
        <v>738</v>
      </c>
      <c r="B210" s="148" t="s">
        <v>15</v>
      </c>
      <c r="C210" s="148" t="s">
        <v>124</v>
      </c>
      <c r="D210" s="148" t="s">
        <v>122</v>
      </c>
      <c r="E210" s="237" t="s">
        <v>997</v>
      </c>
      <c r="F210" s="148"/>
      <c r="G210" s="148"/>
      <c r="H210" s="148"/>
      <c r="I210" s="148"/>
      <c r="J210" s="148"/>
      <c r="K210" s="148"/>
      <c r="L210" s="148"/>
      <c r="M210" s="148"/>
      <c r="N210" s="148"/>
      <c r="O210" s="148"/>
      <c r="P210" s="148"/>
      <c r="Q210" s="148"/>
      <c r="R210" s="148"/>
      <c r="S210" s="148"/>
      <c r="T210" s="148" t="s">
        <v>275</v>
      </c>
      <c r="U210" s="136"/>
      <c r="V210" s="137"/>
      <c r="W210" s="137"/>
      <c r="X210" s="137"/>
      <c r="Y210" s="135"/>
      <c r="Z210" s="212">
        <v>0</v>
      </c>
      <c r="AA210" s="212">
        <v>0</v>
      </c>
      <c r="AB210" s="212">
        <v>0</v>
      </c>
      <c r="AC210" s="213"/>
    </row>
    <row r="211" spans="1:29" ht="209.25" customHeight="1" x14ac:dyDescent="0.3">
      <c r="A211" s="153" t="s">
        <v>1417</v>
      </c>
      <c r="B211" s="161" t="s">
        <v>15</v>
      </c>
      <c r="C211" s="161" t="s">
        <v>124</v>
      </c>
      <c r="D211" s="161" t="s">
        <v>122</v>
      </c>
      <c r="E211" s="234" t="s">
        <v>564</v>
      </c>
      <c r="F211" s="161"/>
      <c r="G211" s="161"/>
      <c r="H211" s="161"/>
      <c r="I211" s="161"/>
      <c r="J211" s="161"/>
      <c r="K211" s="161"/>
      <c r="L211" s="161"/>
      <c r="M211" s="161"/>
      <c r="N211" s="161"/>
      <c r="O211" s="161"/>
      <c r="P211" s="161"/>
      <c r="Q211" s="161"/>
      <c r="R211" s="161"/>
      <c r="S211" s="161"/>
      <c r="T211" s="161"/>
      <c r="U211" s="161"/>
      <c r="V211" s="206"/>
      <c r="W211" s="206"/>
      <c r="X211" s="206"/>
      <c r="Y211" s="153" t="s">
        <v>348</v>
      </c>
      <c r="Z211" s="239">
        <f>Z212</f>
        <v>12311198.02</v>
      </c>
      <c r="AA211" s="239">
        <f>AA212</f>
        <v>0</v>
      </c>
      <c r="AB211" s="239">
        <f>AB212</f>
        <v>0</v>
      </c>
      <c r="AC211" s="213"/>
    </row>
    <row r="212" spans="1:29" ht="80.25" customHeight="1" x14ac:dyDescent="0.3">
      <c r="A212" s="162" t="s">
        <v>760</v>
      </c>
      <c r="B212" s="163" t="s">
        <v>15</v>
      </c>
      <c r="C212" s="163" t="s">
        <v>124</v>
      </c>
      <c r="D212" s="163" t="s">
        <v>122</v>
      </c>
      <c r="E212" s="248" t="s">
        <v>564</v>
      </c>
      <c r="F212" s="163"/>
      <c r="G212" s="163"/>
      <c r="H212" s="163"/>
      <c r="I212" s="163"/>
      <c r="J212" s="163"/>
      <c r="K212" s="163"/>
      <c r="L212" s="163"/>
      <c r="M212" s="163"/>
      <c r="N212" s="163"/>
      <c r="O212" s="163"/>
      <c r="P212" s="163"/>
      <c r="Q212" s="163"/>
      <c r="R212" s="163"/>
      <c r="S212" s="163"/>
      <c r="T212" s="163" t="s">
        <v>350</v>
      </c>
      <c r="U212" s="163"/>
      <c r="V212" s="534"/>
      <c r="W212" s="534"/>
      <c r="X212" s="534"/>
      <c r="Y212" s="162" t="s">
        <v>349</v>
      </c>
      <c r="Z212" s="801">
        <f>5177262.72+7133935.3</f>
        <v>12311198.02</v>
      </c>
      <c r="AA212" s="212">
        <v>0</v>
      </c>
      <c r="AB212" s="212">
        <v>0</v>
      </c>
      <c r="AC212" s="213"/>
    </row>
    <row r="213" spans="1:29" ht="228.75" customHeight="1" x14ac:dyDescent="0.3">
      <c r="A213" s="892" t="s">
        <v>1455</v>
      </c>
      <c r="B213" s="509" t="s">
        <v>15</v>
      </c>
      <c r="C213" s="509" t="s">
        <v>124</v>
      </c>
      <c r="D213" s="509" t="s">
        <v>122</v>
      </c>
      <c r="E213" s="237" t="s">
        <v>1456</v>
      </c>
      <c r="F213" s="509"/>
      <c r="G213" s="509"/>
      <c r="H213" s="509"/>
      <c r="I213" s="509"/>
      <c r="J213" s="509"/>
      <c r="K213" s="509"/>
      <c r="L213" s="509"/>
      <c r="M213" s="509"/>
      <c r="N213" s="509"/>
      <c r="O213" s="509"/>
      <c r="P213" s="509"/>
      <c r="Q213" s="509"/>
      <c r="R213" s="509"/>
      <c r="S213" s="509"/>
      <c r="T213" s="509"/>
      <c r="U213" s="782"/>
      <c r="V213" s="783"/>
      <c r="W213" s="783"/>
      <c r="X213" s="783"/>
      <c r="Y213" s="784"/>
      <c r="Z213" s="786">
        <f>Z214</f>
        <v>19441179.390000001</v>
      </c>
      <c r="AA213" s="512">
        <v>0</v>
      </c>
      <c r="AB213" s="212">
        <v>0</v>
      </c>
      <c r="AC213" s="213"/>
    </row>
    <row r="214" spans="1:29" ht="68.25" customHeight="1" x14ac:dyDescent="0.3">
      <c r="A214" s="291" t="s">
        <v>760</v>
      </c>
      <c r="B214" s="498" t="s">
        <v>15</v>
      </c>
      <c r="C214" s="498" t="s">
        <v>124</v>
      </c>
      <c r="D214" s="498" t="s">
        <v>122</v>
      </c>
      <c r="E214" s="237" t="s">
        <v>1456</v>
      </c>
      <c r="F214" s="498"/>
      <c r="G214" s="498"/>
      <c r="H214" s="498"/>
      <c r="I214" s="498"/>
      <c r="J214" s="498"/>
      <c r="K214" s="498"/>
      <c r="L214" s="498"/>
      <c r="M214" s="498"/>
      <c r="N214" s="498"/>
      <c r="O214" s="498"/>
      <c r="P214" s="498"/>
      <c r="Q214" s="498"/>
      <c r="R214" s="498"/>
      <c r="S214" s="498"/>
      <c r="T214" s="498" t="s">
        <v>350</v>
      </c>
      <c r="U214" s="802"/>
      <c r="V214" s="803"/>
      <c r="W214" s="803"/>
      <c r="X214" s="803"/>
      <c r="Y214" s="593"/>
      <c r="Z214" s="804">
        <v>19441179.390000001</v>
      </c>
      <c r="AA214" s="512">
        <v>0</v>
      </c>
      <c r="AB214" s="212">
        <v>0</v>
      </c>
      <c r="AC214" s="213"/>
    </row>
    <row r="215" spans="1:29" ht="205.5" customHeight="1" x14ac:dyDescent="0.3">
      <c r="A215" s="785" t="s">
        <v>1347</v>
      </c>
      <c r="B215" s="777" t="s">
        <v>15</v>
      </c>
      <c r="C215" s="777" t="s">
        <v>124</v>
      </c>
      <c r="D215" s="777" t="s">
        <v>122</v>
      </c>
      <c r="E215" s="288" t="s">
        <v>1124</v>
      </c>
      <c r="F215" s="777"/>
      <c r="G215" s="777"/>
      <c r="H215" s="777"/>
      <c r="I215" s="777"/>
      <c r="J215" s="777"/>
      <c r="K215" s="777"/>
      <c r="L215" s="777"/>
      <c r="M215" s="777"/>
      <c r="N215" s="777"/>
      <c r="O215" s="777"/>
      <c r="P215" s="777"/>
      <c r="Q215" s="777"/>
      <c r="R215" s="777"/>
      <c r="S215" s="777"/>
      <c r="T215" s="777"/>
      <c r="U215" s="778"/>
      <c r="V215" s="779"/>
      <c r="W215" s="779"/>
      <c r="X215" s="779"/>
      <c r="Y215" s="780"/>
      <c r="Z215" s="781">
        <f>Z216</f>
        <v>0</v>
      </c>
      <c r="AA215" s="212">
        <f>AA216</f>
        <v>10000000</v>
      </c>
      <c r="AB215" s="212">
        <f>AB216</f>
        <v>10000000</v>
      </c>
      <c r="AC215" s="213"/>
    </row>
    <row r="216" spans="1:29" ht="75" customHeight="1" x14ac:dyDescent="0.3">
      <c r="A216" s="593" t="s">
        <v>760</v>
      </c>
      <c r="B216" s="498" t="s">
        <v>15</v>
      </c>
      <c r="C216" s="498" t="s">
        <v>124</v>
      </c>
      <c r="D216" s="498" t="s">
        <v>122</v>
      </c>
      <c r="E216" s="234" t="s">
        <v>1124</v>
      </c>
      <c r="F216" s="498"/>
      <c r="G216" s="498"/>
      <c r="H216" s="498"/>
      <c r="I216" s="498"/>
      <c r="J216" s="498"/>
      <c r="K216" s="498"/>
      <c r="L216" s="498"/>
      <c r="M216" s="498"/>
      <c r="N216" s="498"/>
      <c r="O216" s="498"/>
      <c r="P216" s="498"/>
      <c r="Q216" s="498"/>
      <c r="R216" s="498"/>
      <c r="S216" s="498"/>
      <c r="T216" s="498" t="s">
        <v>350</v>
      </c>
      <c r="U216" s="249"/>
      <c r="V216" s="137"/>
      <c r="W216" s="137"/>
      <c r="X216" s="137"/>
      <c r="Y216" s="135"/>
      <c r="Z216" s="268">
        <v>0</v>
      </c>
      <c r="AA216" s="212">
        <v>10000000</v>
      </c>
      <c r="AB216" s="212">
        <v>10000000</v>
      </c>
      <c r="AC216" s="213"/>
    </row>
    <row r="217" spans="1:29" ht="37.5" hidden="1" customHeight="1" x14ac:dyDescent="0.3">
      <c r="A217" s="257" t="s">
        <v>1005</v>
      </c>
      <c r="B217" s="148" t="s">
        <v>15</v>
      </c>
      <c r="C217" s="148" t="s">
        <v>124</v>
      </c>
      <c r="D217" s="148" t="s">
        <v>122</v>
      </c>
      <c r="E217" s="237" t="s">
        <v>759</v>
      </c>
      <c r="F217" s="148"/>
      <c r="G217" s="148"/>
      <c r="H217" s="148"/>
      <c r="I217" s="148"/>
      <c r="J217" s="148"/>
      <c r="K217" s="148"/>
      <c r="L217" s="148"/>
      <c r="M217" s="148"/>
      <c r="N217" s="148"/>
      <c r="O217" s="148"/>
      <c r="P217" s="148"/>
      <c r="Q217" s="148"/>
      <c r="R217" s="148"/>
      <c r="S217" s="148"/>
      <c r="T217" s="148"/>
      <c r="U217" s="136"/>
      <c r="V217" s="137"/>
      <c r="W217" s="137"/>
      <c r="X217" s="137"/>
      <c r="Y217" s="135"/>
      <c r="Z217" s="212">
        <f>Z218</f>
        <v>0</v>
      </c>
      <c r="AA217" s="212">
        <f>AA218</f>
        <v>0</v>
      </c>
      <c r="AB217" s="212">
        <f>AB218</f>
        <v>0</v>
      </c>
      <c r="AC217" s="213"/>
    </row>
    <row r="218" spans="1:29" ht="36" hidden="1" customHeight="1" x14ac:dyDescent="0.3">
      <c r="A218" s="291" t="s">
        <v>760</v>
      </c>
      <c r="B218" s="148" t="s">
        <v>15</v>
      </c>
      <c r="C218" s="148" t="s">
        <v>124</v>
      </c>
      <c r="D218" s="148" t="s">
        <v>122</v>
      </c>
      <c r="E218" s="237" t="s">
        <v>759</v>
      </c>
      <c r="F218" s="148"/>
      <c r="G218" s="148"/>
      <c r="H218" s="148"/>
      <c r="I218" s="148"/>
      <c r="J218" s="148"/>
      <c r="K218" s="148"/>
      <c r="L218" s="148"/>
      <c r="M218" s="148"/>
      <c r="N218" s="148"/>
      <c r="O218" s="148"/>
      <c r="P218" s="148"/>
      <c r="Q218" s="148"/>
      <c r="R218" s="148"/>
      <c r="S218" s="148"/>
      <c r="T218" s="148" t="s">
        <v>350</v>
      </c>
      <c r="U218" s="136"/>
      <c r="V218" s="137"/>
      <c r="W218" s="137"/>
      <c r="X218" s="137"/>
      <c r="Y218" s="135"/>
      <c r="Z218" s="212">
        <v>0</v>
      </c>
      <c r="AA218" s="212">
        <v>0</v>
      </c>
      <c r="AB218" s="212">
        <v>0</v>
      </c>
      <c r="AC218" s="213"/>
    </row>
    <row r="219" spans="1:29" ht="34.5" customHeight="1" x14ac:dyDescent="0.3">
      <c r="A219" s="159" t="s">
        <v>151</v>
      </c>
      <c r="B219" s="160" t="s">
        <v>15</v>
      </c>
      <c r="C219" s="160" t="s">
        <v>124</v>
      </c>
      <c r="D219" s="160" t="s">
        <v>132</v>
      </c>
      <c r="E219" s="160"/>
      <c r="F219" s="160"/>
      <c r="G219" s="160"/>
      <c r="H219" s="160"/>
      <c r="I219" s="160"/>
      <c r="J219" s="160"/>
      <c r="K219" s="160"/>
      <c r="L219" s="160"/>
      <c r="M219" s="160"/>
      <c r="N219" s="160"/>
      <c r="O219" s="160"/>
      <c r="P219" s="160"/>
      <c r="Q219" s="160"/>
      <c r="R219" s="160"/>
      <c r="S219" s="160"/>
      <c r="T219" s="160"/>
      <c r="U219" s="160"/>
      <c r="V219" s="214"/>
      <c r="W219" s="214"/>
      <c r="X219" s="214"/>
      <c r="Y219" s="159" t="s">
        <v>151</v>
      </c>
      <c r="Z219" s="215">
        <f>Z220+Z222+Z224</f>
        <v>72116537.219999999</v>
      </c>
      <c r="AA219" s="215">
        <f>AA220+AA222+AA224</f>
        <v>61145898.829999998</v>
      </c>
      <c r="AB219" s="215">
        <f>AB220+AB222+AB224</f>
        <v>61145898.829999998</v>
      </c>
      <c r="AC219" s="292" t="s">
        <v>151</v>
      </c>
    </row>
    <row r="220" spans="1:29" ht="83.25" hidden="1" customHeight="1" x14ac:dyDescent="0.3">
      <c r="A220" s="153" t="s">
        <v>562</v>
      </c>
      <c r="B220" s="234" t="s">
        <v>15</v>
      </c>
      <c r="C220" s="234" t="s">
        <v>124</v>
      </c>
      <c r="D220" s="234" t="s">
        <v>132</v>
      </c>
      <c r="E220" s="234" t="s">
        <v>563</v>
      </c>
      <c r="F220" s="234"/>
      <c r="G220" s="234"/>
      <c r="H220" s="234"/>
      <c r="I220" s="234"/>
      <c r="J220" s="234"/>
      <c r="K220" s="234"/>
      <c r="L220" s="234"/>
      <c r="M220" s="234"/>
      <c r="N220" s="234"/>
      <c r="O220" s="234"/>
      <c r="P220" s="234"/>
      <c r="Q220" s="234"/>
      <c r="R220" s="234"/>
      <c r="S220" s="234"/>
      <c r="T220" s="234"/>
      <c r="U220" s="160"/>
      <c r="V220" s="214"/>
      <c r="W220" s="214"/>
      <c r="X220" s="214"/>
      <c r="Y220" s="159"/>
      <c r="Z220" s="239">
        <f>Z221</f>
        <v>0</v>
      </c>
      <c r="AA220" s="239">
        <f>AA221</f>
        <v>0</v>
      </c>
      <c r="AB220" s="239">
        <f>AB221</f>
        <v>0</v>
      </c>
      <c r="AC220" s="292"/>
    </row>
    <row r="221" spans="1:29" ht="108.75" hidden="1" customHeight="1" x14ac:dyDescent="0.3">
      <c r="A221" s="135" t="s">
        <v>733</v>
      </c>
      <c r="B221" s="234" t="s">
        <v>15</v>
      </c>
      <c r="C221" s="234" t="s">
        <v>124</v>
      </c>
      <c r="D221" s="234" t="s">
        <v>132</v>
      </c>
      <c r="E221" s="234" t="s">
        <v>563</v>
      </c>
      <c r="F221" s="234"/>
      <c r="G221" s="234"/>
      <c r="H221" s="234"/>
      <c r="I221" s="234"/>
      <c r="J221" s="234"/>
      <c r="K221" s="234"/>
      <c r="L221" s="234"/>
      <c r="M221" s="234"/>
      <c r="N221" s="234"/>
      <c r="O221" s="234"/>
      <c r="P221" s="234"/>
      <c r="Q221" s="234"/>
      <c r="R221" s="234"/>
      <c r="S221" s="234"/>
      <c r="T221" s="234" t="s">
        <v>275</v>
      </c>
      <c r="U221" s="160"/>
      <c r="V221" s="214"/>
      <c r="W221" s="214"/>
      <c r="X221" s="214"/>
      <c r="Y221" s="159"/>
      <c r="Z221" s="239">
        <f>500000-450000-50000</f>
        <v>0</v>
      </c>
      <c r="AA221" s="239">
        <v>0</v>
      </c>
      <c r="AB221" s="239">
        <v>0</v>
      </c>
      <c r="AC221" s="292"/>
    </row>
    <row r="222" spans="1:29" ht="202.5" customHeight="1" x14ac:dyDescent="0.3">
      <c r="A222" s="153" t="s">
        <v>1302</v>
      </c>
      <c r="B222" s="234" t="s">
        <v>15</v>
      </c>
      <c r="C222" s="234" t="s">
        <v>124</v>
      </c>
      <c r="D222" s="234" t="s">
        <v>132</v>
      </c>
      <c r="E222" s="234" t="s">
        <v>567</v>
      </c>
      <c r="F222" s="234"/>
      <c r="G222" s="234"/>
      <c r="H222" s="234"/>
      <c r="I222" s="234"/>
      <c r="J222" s="234"/>
      <c r="K222" s="234"/>
      <c r="L222" s="234"/>
      <c r="M222" s="234"/>
      <c r="N222" s="234"/>
      <c r="O222" s="234"/>
      <c r="P222" s="234"/>
      <c r="Q222" s="234"/>
      <c r="R222" s="234"/>
      <c r="S222" s="234"/>
      <c r="T222" s="234"/>
      <c r="U222" s="160"/>
      <c r="V222" s="214"/>
      <c r="W222" s="214"/>
      <c r="X222" s="214"/>
      <c r="Y222" s="159"/>
      <c r="Z222" s="239">
        <f>Z223</f>
        <v>4327752.7300000004</v>
      </c>
      <c r="AA222" s="239">
        <f>AA223</f>
        <v>1718956.1900000004</v>
      </c>
      <c r="AB222" s="239">
        <f>AB223</f>
        <v>1718956.1900000004</v>
      </c>
      <c r="AC222" s="292"/>
    </row>
    <row r="223" spans="1:29" ht="60" customHeight="1" x14ac:dyDescent="0.3">
      <c r="A223" s="900" t="s">
        <v>565</v>
      </c>
      <c r="B223" s="706" t="s">
        <v>15</v>
      </c>
      <c r="C223" s="706" t="s">
        <v>124</v>
      </c>
      <c r="D223" s="706" t="s">
        <v>132</v>
      </c>
      <c r="E223" s="706" t="s">
        <v>567</v>
      </c>
      <c r="F223" s="706"/>
      <c r="G223" s="706"/>
      <c r="H223" s="706"/>
      <c r="I223" s="706"/>
      <c r="J223" s="706"/>
      <c r="K223" s="706"/>
      <c r="L223" s="706"/>
      <c r="M223" s="706"/>
      <c r="N223" s="706"/>
      <c r="O223" s="706"/>
      <c r="P223" s="706"/>
      <c r="Q223" s="706"/>
      <c r="R223" s="706"/>
      <c r="S223" s="706"/>
      <c r="T223" s="706" t="s">
        <v>275</v>
      </c>
      <c r="U223" s="912"/>
      <c r="V223" s="913"/>
      <c r="W223" s="913"/>
      <c r="X223" s="913"/>
      <c r="Y223" s="914"/>
      <c r="Z223" s="882">
        <f>10000000-1013673.27-95000+63426-72000-1455000-1700000-1900000-1500000+2000000</f>
        <v>4327752.7300000004</v>
      </c>
      <c r="AA223" s="239">
        <f>10000000-8281043.81</f>
        <v>1718956.1900000004</v>
      </c>
      <c r="AB223" s="239">
        <f>10000000-8281043.81</f>
        <v>1718956.1900000004</v>
      </c>
      <c r="AC223" s="292"/>
    </row>
    <row r="224" spans="1:29" ht="270.75" customHeight="1" x14ac:dyDescent="0.3">
      <c r="A224" s="285" t="s">
        <v>1260</v>
      </c>
      <c r="B224" s="161" t="s">
        <v>15</v>
      </c>
      <c r="C224" s="161" t="s">
        <v>124</v>
      </c>
      <c r="D224" s="161" t="s">
        <v>132</v>
      </c>
      <c r="E224" s="234" t="s">
        <v>725</v>
      </c>
      <c r="F224" s="161"/>
      <c r="G224" s="161"/>
      <c r="H224" s="161"/>
      <c r="I224" s="161"/>
      <c r="J224" s="161"/>
      <c r="K224" s="161"/>
      <c r="L224" s="161"/>
      <c r="M224" s="161"/>
      <c r="N224" s="161"/>
      <c r="O224" s="161"/>
      <c r="P224" s="161"/>
      <c r="Q224" s="161"/>
      <c r="R224" s="161"/>
      <c r="S224" s="161"/>
      <c r="T224" s="161"/>
      <c r="U224" s="161"/>
      <c r="V224" s="206"/>
      <c r="W224" s="206"/>
      <c r="X224" s="206"/>
      <c r="Y224" s="155" t="s">
        <v>226</v>
      </c>
      <c r="Z224" s="239">
        <f>Z225</f>
        <v>67788784.489999995</v>
      </c>
      <c r="AA224" s="239">
        <f>AA225</f>
        <v>59426942.640000001</v>
      </c>
      <c r="AB224" s="239">
        <f>AB225</f>
        <v>59426942.640000001</v>
      </c>
      <c r="AC224" s="584" t="s">
        <v>226</v>
      </c>
    </row>
    <row r="225" spans="1:29" ht="46.5" customHeight="1" x14ac:dyDescent="0.3">
      <c r="A225" s="154" t="s">
        <v>763</v>
      </c>
      <c r="B225" s="136" t="s">
        <v>15</v>
      </c>
      <c r="C225" s="136" t="s">
        <v>124</v>
      </c>
      <c r="D225" s="136" t="s">
        <v>132</v>
      </c>
      <c r="E225" s="234" t="s">
        <v>725</v>
      </c>
      <c r="F225" s="136"/>
      <c r="G225" s="136"/>
      <c r="H225" s="136"/>
      <c r="I225" s="136"/>
      <c r="J225" s="136"/>
      <c r="K225" s="136"/>
      <c r="L225" s="136"/>
      <c r="M225" s="136"/>
      <c r="N225" s="136"/>
      <c r="O225" s="136"/>
      <c r="P225" s="136"/>
      <c r="Q225" s="136"/>
      <c r="R225" s="136"/>
      <c r="S225" s="136"/>
      <c r="T225" s="136" t="s">
        <v>243</v>
      </c>
      <c r="U225" s="136"/>
      <c r="V225" s="137"/>
      <c r="W225" s="137"/>
      <c r="X225" s="137"/>
      <c r="Y225" s="154" t="s">
        <v>351</v>
      </c>
      <c r="Z225" s="212">
        <f>87107175.22-27680275.22+42.64+8361841.85</f>
        <v>67788784.489999995</v>
      </c>
      <c r="AA225" s="212">
        <f>87107200-24.78-27680275.22+42.64</f>
        <v>59426942.640000001</v>
      </c>
      <c r="AB225" s="212">
        <f>87107200-24.78-27680275.22+42.64</f>
        <v>59426942.640000001</v>
      </c>
      <c r="AC225" s="569" t="s">
        <v>351</v>
      </c>
    </row>
    <row r="226" spans="1:29" ht="22.5" customHeight="1" x14ac:dyDescent="0.3">
      <c r="A226" s="159" t="s">
        <v>152</v>
      </c>
      <c r="B226" s="160" t="s">
        <v>15</v>
      </c>
      <c r="C226" s="160" t="s">
        <v>124</v>
      </c>
      <c r="D226" s="160" t="s">
        <v>123</v>
      </c>
      <c r="E226" s="160"/>
      <c r="F226" s="160"/>
      <c r="G226" s="160"/>
      <c r="H226" s="160"/>
      <c r="I226" s="160"/>
      <c r="J226" s="160"/>
      <c r="K226" s="160"/>
      <c r="L226" s="160"/>
      <c r="M226" s="160"/>
      <c r="N226" s="160"/>
      <c r="O226" s="160"/>
      <c r="P226" s="160"/>
      <c r="Q226" s="160"/>
      <c r="R226" s="160"/>
      <c r="S226" s="160"/>
      <c r="T226" s="160"/>
      <c r="U226" s="160"/>
      <c r="V226" s="214"/>
      <c r="W226" s="214"/>
      <c r="X226" s="214"/>
      <c r="Y226" s="159" t="s">
        <v>152</v>
      </c>
      <c r="Z226" s="215">
        <f>Z227+Z229+Z231+Z233+Z235+Z237+Z243+Z245+Z239+Z247+Z241</f>
        <v>8905716.129999999</v>
      </c>
      <c r="AA226" s="215">
        <f>AA227+AA229+AA231+AA233+AA235+AA237+AA243+AA245</f>
        <v>450000</v>
      </c>
      <c r="AB226" s="215">
        <f>AB227+AB229+AB231+AB233+AB235+AB237+AB243+AB245</f>
        <v>450000</v>
      </c>
      <c r="AC226" s="292" t="s">
        <v>152</v>
      </c>
    </row>
    <row r="227" spans="1:29" ht="210" customHeight="1" x14ac:dyDescent="0.3">
      <c r="A227" s="152" t="s">
        <v>1261</v>
      </c>
      <c r="B227" s="234" t="s">
        <v>15</v>
      </c>
      <c r="C227" s="234" t="s">
        <v>124</v>
      </c>
      <c r="D227" s="234" t="s">
        <v>123</v>
      </c>
      <c r="E227" s="234" t="s">
        <v>568</v>
      </c>
      <c r="F227" s="234"/>
      <c r="G227" s="234"/>
      <c r="H227" s="234"/>
      <c r="I227" s="234"/>
      <c r="J227" s="234"/>
      <c r="K227" s="234"/>
      <c r="L227" s="234"/>
      <c r="M227" s="234"/>
      <c r="N227" s="234"/>
      <c r="O227" s="234"/>
      <c r="P227" s="234"/>
      <c r="Q227" s="234"/>
      <c r="R227" s="234"/>
      <c r="S227" s="234"/>
      <c r="T227" s="234"/>
      <c r="U227" s="161"/>
      <c r="V227" s="206"/>
      <c r="W227" s="206"/>
      <c r="X227" s="206"/>
      <c r="Y227" s="153" t="s">
        <v>352</v>
      </c>
      <c r="Z227" s="239">
        <f>Z228</f>
        <v>400000</v>
      </c>
      <c r="AA227" s="239">
        <f>AA228</f>
        <v>200000</v>
      </c>
      <c r="AB227" s="239">
        <f>AB228</f>
        <v>200000</v>
      </c>
      <c r="AC227" s="568" t="s">
        <v>352</v>
      </c>
    </row>
    <row r="228" spans="1:29" ht="57.75" customHeight="1" x14ac:dyDescent="0.3">
      <c r="A228" s="135" t="s">
        <v>565</v>
      </c>
      <c r="B228" s="140" t="s">
        <v>15</v>
      </c>
      <c r="C228" s="140" t="s">
        <v>124</v>
      </c>
      <c r="D228" s="140" t="s">
        <v>123</v>
      </c>
      <c r="E228" s="234" t="s">
        <v>568</v>
      </c>
      <c r="F228" s="140"/>
      <c r="G228" s="140"/>
      <c r="H228" s="140"/>
      <c r="I228" s="140"/>
      <c r="J228" s="140"/>
      <c r="K228" s="140"/>
      <c r="L228" s="140"/>
      <c r="M228" s="140"/>
      <c r="N228" s="140"/>
      <c r="O228" s="140"/>
      <c r="P228" s="140"/>
      <c r="Q228" s="140"/>
      <c r="R228" s="140"/>
      <c r="S228" s="140"/>
      <c r="T228" s="140" t="s">
        <v>275</v>
      </c>
      <c r="U228" s="136"/>
      <c r="V228" s="137"/>
      <c r="W228" s="137"/>
      <c r="X228" s="137"/>
      <c r="Y228" s="135" t="s">
        <v>353</v>
      </c>
      <c r="Z228" s="268">
        <f>800000-400000</f>
        <v>400000</v>
      </c>
      <c r="AA228" s="212">
        <v>200000</v>
      </c>
      <c r="AB228" s="212">
        <v>200000</v>
      </c>
      <c r="AC228" s="213" t="s">
        <v>353</v>
      </c>
    </row>
    <row r="229" spans="1:29" ht="118.5" customHeight="1" x14ac:dyDescent="0.3">
      <c r="A229" s="153" t="s">
        <v>1262</v>
      </c>
      <c r="B229" s="234" t="s">
        <v>15</v>
      </c>
      <c r="C229" s="234" t="s">
        <v>124</v>
      </c>
      <c r="D229" s="234" t="s">
        <v>123</v>
      </c>
      <c r="E229" s="234" t="s">
        <v>569</v>
      </c>
      <c r="F229" s="234"/>
      <c r="G229" s="234"/>
      <c r="H229" s="234"/>
      <c r="I229" s="234"/>
      <c r="J229" s="234"/>
      <c r="K229" s="234"/>
      <c r="L229" s="234"/>
      <c r="M229" s="234"/>
      <c r="N229" s="234"/>
      <c r="O229" s="234"/>
      <c r="P229" s="234"/>
      <c r="Q229" s="234"/>
      <c r="R229" s="234"/>
      <c r="S229" s="234"/>
      <c r="T229" s="234"/>
      <c r="U229" s="161"/>
      <c r="V229" s="206"/>
      <c r="W229" s="206"/>
      <c r="X229" s="206"/>
      <c r="Y229" s="153" t="s">
        <v>354</v>
      </c>
      <c r="Z229" s="267">
        <f>Z230</f>
        <v>0</v>
      </c>
      <c r="AA229" s="239">
        <f>AA230</f>
        <v>100000</v>
      </c>
      <c r="AB229" s="239">
        <f>AB230</f>
        <v>100000</v>
      </c>
      <c r="AC229" s="568" t="s">
        <v>354</v>
      </c>
    </row>
    <row r="230" spans="1:29" ht="64.5" customHeight="1" x14ac:dyDescent="0.3">
      <c r="A230" s="135" t="s">
        <v>565</v>
      </c>
      <c r="B230" s="140" t="s">
        <v>15</v>
      </c>
      <c r="C230" s="140" t="s">
        <v>124</v>
      </c>
      <c r="D230" s="140" t="s">
        <v>123</v>
      </c>
      <c r="E230" s="234" t="s">
        <v>569</v>
      </c>
      <c r="F230" s="140"/>
      <c r="G230" s="140"/>
      <c r="H230" s="140"/>
      <c r="I230" s="140"/>
      <c r="J230" s="140"/>
      <c r="K230" s="140"/>
      <c r="L230" s="140"/>
      <c r="M230" s="140"/>
      <c r="N230" s="140"/>
      <c r="O230" s="140"/>
      <c r="P230" s="140"/>
      <c r="Q230" s="140"/>
      <c r="R230" s="140"/>
      <c r="S230" s="140"/>
      <c r="T230" s="140" t="s">
        <v>275</v>
      </c>
      <c r="U230" s="136"/>
      <c r="V230" s="137"/>
      <c r="W230" s="137"/>
      <c r="X230" s="137"/>
      <c r="Y230" s="135" t="s">
        <v>355</v>
      </c>
      <c r="Z230" s="268">
        <f>1000000-1000000</f>
        <v>0</v>
      </c>
      <c r="AA230" s="212">
        <v>100000</v>
      </c>
      <c r="AB230" s="212">
        <v>100000</v>
      </c>
      <c r="AC230" s="213" t="s">
        <v>355</v>
      </c>
    </row>
    <row r="231" spans="1:29" ht="39.75" hidden="1" customHeight="1" x14ac:dyDescent="0.3">
      <c r="A231" s="153" t="s">
        <v>571</v>
      </c>
      <c r="B231" s="140" t="s">
        <v>15</v>
      </c>
      <c r="C231" s="140" t="s">
        <v>124</v>
      </c>
      <c r="D231" s="140" t="s">
        <v>123</v>
      </c>
      <c r="E231" s="234" t="s">
        <v>570</v>
      </c>
      <c r="F231" s="140"/>
      <c r="G231" s="140"/>
      <c r="H231" s="140"/>
      <c r="I231" s="140"/>
      <c r="J231" s="140"/>
      <c r="K231" s="140"/>
      <c r="L231" s="140"/>
      <c r="M231" s="140"/>
      <c r="N231" s="140"/>
      <c r="O231" s="140"/>
      <c r="P231" s="140"/>
      <c r="Q231" s="140"/>
      <c r="R231" s="140"/>
      <c r="S231" s="140"/>
      <c r="T231" s="140"/>
      <c r="U231" s="136"/>
      <c r="V231" s="137"/>
      <c r="W231" s="137"/>
      <c r="X231" s="137"/>
      <c r="Y231" s="135"/>
      <c r="Z231" s="212">
        <f>Z232</f>
        <v>0</v>
      </c>
      <c r="AA231" s="212">
        <f>AA232</f>
        <v>0</v>
      </c>
      <c r="AB231" s="212">
        <f>AB232</f>
        <v>0</v>
      </c>
      <c r="AC231" s="213"/>
    </row>
    <row r="232" spans="1:29" ht="36.75" hidden="1" customHeight="1" x14ac:dyDescent="0.3">
      <c r="A232" s="135" t="s">
        <v>571</v>
      </c>
      <c r="B232" s="140" t="s">
        <v>15</v>
      </c>
      <c r="C232" s="140" t="s">
        <v>124</v>
      </c>
      <c r="D232" s="140" t="s">
        <v>123</v>
      </c>
      <c r="E232" s="234" t="s">
        <v>570</v>
      </c>
      <c r="F232" s="140"/>
      <c r="G232" s="140"/>
      <c r="H232" s="140"/>
      <c r="I232" s="140"/>
      <c r="J232" s="140"/>
      <c r="K232" s="140"/>
      <c r="L232" s="140"/>
      <c r="M232" s="140"/>
      <c r="N232" s="140"/>
      <c r="O232" s="140"/>
      <c r="P232" s="140"/>
      <c r="Q232" s="140"/>
      <c r="R232" s="140"/>
      <c r="S232" s="140"/>
      <c r="T232" s="140" t="s">
        <v>275</v>
      </c>
      <c r="U232" s="136"/>
      <c r="V232" s="137"/>
      <c r="W232" s="137"/>
      <c r="X232" s="137"/>
      <c r="Y232" s="135"/>
      <c r="Z232" s="212">
        <v>0</v>
      </c>
      <c r="AA232" s="212">
        <v>0</v>
      </c>
      <c r="AB232" s="212">
        <v>0</v>
      </c>
      <c r="AC232" s="213"/>
    </row>
    <row r="233" spans="1:29" ht="25.5" hidden="1" customHeight="1" x14ac:dyDescent="0.3">
      <c r="A233" s="153" t="s">
        <v>734</v>
      </c>
      <c r="B233" s="234" t="s">
        <v>15</v>
      </c>
      <c r="C233" s="234" t="s">
        <v>124</v>
      </c>
      <c r="D233" s="234" t="s">
        <v>123</v>
      </c>
      <c r="E233" s="234" t="s">
        <v>572</v>
      </c>
      <c r="F233" s="234"/>
      <c r="G233" s="234"/>
      <c r="H233" s="234"/>
      <c r="I233" s="234"/>
      <c r="J233" s="234"/>
      <c r="K233" s="234"/>
      <c r="L233" s="234"/>
      <c r="M233" s="234"/>
      <c r="N233" s="234"/>
      <c r="O233" s="234"/>
      <c r="P233" s="234"/>
      <c r="Q233" s="234"/>
      <c r="R233" s="234"/>
      <c r="S233" s="234"/>
      <c r="T233" s="234"/>
      <c r="U233" s="161"/>
      <c r="V233" s="206"/>
      <c r="W233" s="206"/>
      <c r="X233" s="206"/>
      <c r="Y233" s="153" t="s">
        <v>356</v>
      </c>
      <c r="Z233" s="239">
        <f>Z234</f>
        <v>0</v>
      </c>
      <c r="AA233" s="239">
        <f>AA234</f>
        <v>0</v>
      </c>
      <c r="AB233" s="239">
        <f>AB234</f>
        <v>0</v>
      </c>
      <c r="AC233" s="568" t="s">
        <v>356</v>
      </c>
    </row>
    <row r="234" spans="1:29" ht="49.5" hidden="1" customHeight="1" x14ac:dyDescent="0.3">
      <c r="A234" s="135" t="s">
        <v>357</v>
      </c>
      <c r="B234" s="140" t="s">
        <v>15</v>
      </c>
      <c r="C234" s="140" t="s">
        <v>124</v>
      </c>
      <c r="D234" s="140" t="s">
        <v>123</v>
      </c>
      <c r="E234" s="234" t="s">
        <v>572</v>
      </c>
      <c r="F234" s="140"/>
      <c r="G234" s="140"/>
      <c r="H234" s="140"/>
      <c r="I234" s="140"/>
      <c r="J234" s="140"/>
      <c r="K234" s="140"/>
      <c r="L234" s="140"/>
      <c r="M234" s="140"/>
      <c r="N234" s="140"/>
      <c r="O234" s="140"/>
      <c r="P234" s="140"/>
      <c r="Q234" s="140"/>
      <c r="R234" s="140"/>
      <c r="S234" s="140"/>
      <c r="T234" s="140" t="s">
        <v>275</v>
      </c>
      <c r="U234" s="136"/>
      <c r="V234" s="137"/>
      <c r="W234" s="137"/>
      <c r="X234" s="137"/>
      <c r="Y234" s="135" t="s">
        <v>357</v>
      </c>
      <c r="Z234" s="212">
        <v>0</v>
      </c>
      <c r="AA234" s="212">
        <v>0</v>
      </c>
      <c r="AB234" s="212">
        <v>0</v>
      </c>
      <c r="AC234" s="213" t="s">
        <v>357</v>
      </c>
    </row>
    <row r="235" spans="1:29" ht="72.75" customHeight="1" x14ac:dyDescent="0.3">
      <c r="A235" s="153" t="s">
        <v>1263</v>
      </c>
      <c r="B235" s="140" t="s">
        <v>15</v>
      </c>
      <c r="C235" s="140" t="s">
        <v>124</v>
      </c>
      <c r="D235" s="140" t="s">
        <v>123</v>
      </c>
      <c r="E235" s="234" t="s">
        <v>573</v>
      </c>
      <c r="F235" s="140"/>
      <c r="G235" s="140"/>
      <c r="H235" s="140"/>
      <c r="I235" s="140"/>
      <c r="J235" s="140"/>
      <c r="K235" s="140"/>
      <c r="L235" s="140"/>
      <c r="M235" s="140"/>
      <c r="N235" s="140"/>
      <c r="O235" s="140"/>
      <c r="P235" s="140"/>
      <c r="Q235" s="140"/>
      <c r="R235" s="140"/>
      <c r="S235" s="140"/>
      <c r="T235" s="140"/>
      <c r="U235" s="161"/>
      <c r="V235" s="206"/>
      <c r="W235" s="206"/>
      <c r="X235" s="206"/>
      <c r="Y235" s="153" t="s">
        <v>358</v>
      </c>
      <c r="Z235" s="239">
        <f>Z236</f>
        <v>1747113.2200000002</v>
      </c>
      <c r="AA235" s="239">
        <f>AA236</f>
        <v>50000</v>
      </c>
      <c r="AB235" s="239">
        <f>AB236</f>
        <v>50000</v>
      </c>
      <c r="AC235" s="568" t="s">
        <v>358</v>
      </c>
    </row>
    <row r="236" spans="1:29" ht="63.75" customHeight="1" x14ac:dyDescent="0.3">
      <c r="A236" s="900" t="s">
        <v>565</v>
      </c>
      <c r="B236" s="707" t="s">
        <v>15</v>
      </c>
      <c r="C236" s="707" t="s">
        <v>124</v>
      </c>
      <c r="D236" s="707" t="s">
        <v>123</v>
      </c>
      <c r="E236" s="706" t="s">
        <v>573</v>
      </c>
      <c r="F236" s="707"/>
      <c r="G236" s="707"/>
      <c r="H236" s="707"/>
      <c r="I236" s="707"/>
      <c r="J236" s="707"/>
      <c r="K236" s="707"/>
      <c r="L236" s="707"/>
      <c r="M236" s="707"/>
      <c r="N236" s="707"/>
      <c r="O236" s="707"/>
      <c r="P236" s="707"/>
      <c r="Q236" s="707"/>
      <c r="R236" s="707"/>
      <c r="S236" s="707"/>
      <c r="T236" s="707" t="s">
        <v>275</v>
      </c>
      <c r="U236" s="901"/>
      <c r="V236" s="902"/>
      <c r="W236" s="902"/>
      <c r="X236" s="902"/>
      <c r="Y236" s="900" t="s">
        <v>359</v>
      </c>
      <c r="Z236" s="903">
        <f>1000000+1400000-67000-62886.78-63000-118000-342000</f>
        <v>1747113.2200000002</v>
      </c>
      <c r="AA236" s="212">
        <v>50000</v>
      </c>
      <c r="AB236" s="212">
        <v>50000</v>
      </c>
      <c r="AC236" s="213" t="s">
        <v>359</v>
      </c>
    </row>
    <row r="237" spans="1:29" ht="78" customHeight="1" x14ac:dyDescent="0.3">
      <c r="A237" s="153" t="s">
        <v>1303</v>
      </c>
      <c r="B237" s="234" t="s">
        <v>15</v>
      </c>
      <c r="C237" s="234" t="s">
        <v>124</v>
      </c>
      <c r="D237" s="234" t="s">
        <v>123</v>
      </c>
      <c r="E237" s="234" t="s">
        <v>574</v>
      </c>
      <c r="F237" s="234"/>
      <c r="G237" s="234"/>
      <c r="H237" s="234"/>
      <c r="I237" s="234"/>
      <c r="J237" s="234"/>
      <c r="K237" s="234"/>
      <c r="L237" s="234"/>
      <c r="M237" s="234"/>
      <c r="N237" s="234"/>
      <c r="O237" s="234"/>
      <c r="P237" s="234"/>
      <c r="Q237" s="234"/>
      <c r="R237" s="234"/>
      <c r="S237" s="234"/>
      <c r="T237" s="234"/>
      <c r="U237" s="161"/>
      <c r="V237" s="206"/>
      <c r="W237" s="206"/>
      <c r="X237" s="206"/>
      <c r="Y237" s="153" t="s">
        <v>360</v>
      </c>
      <c r="Z237" s="267">
        <f>Z238</f>
        <v>1326000</v>
      </c>
      <c r="AA237" s="239">
        <f>AA238</f>
        <v>100000</v>
      </c>
      <c r="AB237" s="239">
        <f>AB238</f>
        <v>100000</v>
      </c>
      <c r="AC237" s="568" t="s">
        <v>360</v>
      </c>
    </row>
    <row r="238" spans="1:29" ht="63" customHeight="1" x14ac:dyDescent="0.3">
      <c r="A238" s="135" t="s">
        <v>565</v>
      </c>
      <c r="B238" s="140" t="s">
        <v>15</v>
      </c>
      <c r="C238" s="140" t="s">
        <v>124</v>
      </c>
      <c r="D238" s="140" t="s">
        <v>123</v>
      </c>
      <c r="E238" s="234" t="s">
        <v>574</v>
      </c>
      <c r="F238" s="140"/>
      <c r="G238" s="140"/>
      <c r="H238" s="140"/>
      <c r="I238" s="140"/>
      <c r="J238" s="140"/>
      <c r="K238" s="140"/>
      <c r="L238" s="140"/>
      <c r="M238" s="140"/>
      <c r="N238" s="140"/>
      <c r="O238" s="140"/>
      <c r="P238" s="140"/>
      <c r="Q238" s="140"/>
      <c r="R238" s="140"/>
      <c r="S238" s="140"/>
      <c r="T238" s="140" t="s">
        <v>275</v>
      </c>
      <c r="U238" s="136"/>
      <c r="V238" s="137"/>
      <c r="W238" s="137"/>
      <c r="X238" s="137"/>
      <c r="Y238" s="135" t="s">
        <v>361</v>
      </c>
      <c r="Z238" s="268">
        <f>600000+1000000-274000</f>
        <v>1326000</v>
      </c>
      <c r="AA238" s="212">
        <v>100000</v>
      </c>
      <c r="AB238" s="212">
        <v>100000</v>
      </c>
      <c r="AC238" s="213" t="s">
        <v>361</v>
      </c>
    </row>
    <row r="239" spans="1:29" ht="81.75" customHeight="1" x14ac:dyDescent="0.3">
      <c r="A239" s="153" t="s">
        <v>1439</v>
      </c>
      <c r="B239" s="140" t="s">
        <v>15</v>
      </c>
      <c r="C239" s="140" t="s">
        <v>124</v>
      </c>
      <c r="D239" s="140" t="s">
        <v>123</v>
      </c>
      <c r="E239" s="234" t="s">
        <v>1440</v>
      </c>
      <c r="F239" s="140"/>
      <c r="G239" s="140"/>
      <c r="H239" s="140"/>
      <c r="I239" s="140"/>
      <c r="J239" s="140"/>
      <c r="K239" s="140"/>
      <c r="L239" s="140"/>
      <c r="M239" s="140"/>
      <c r="N239" s="140"/>
      <c r="O239" s="140"/>
      <c r="P239" s="140"/>
      <c r="Q239" s="140"/>
      <c r="R239" s="140"/>
      <c r="S239" s="140"/>
      <c r="T239" s="140"/>
      <c r="U239" s="136"/>
      <c r="V239" s="137"/>
      <c r="W239" s="137"/>
      <c r="X239" s="137"/>
      <c r="Y239" s="135"/>
      <c r="Z239" s="268">
        <f>Z240</f>
        <v>540432.71</v>
      </c>
      <c r="AA239" s="212">
        <v>0</v>
      </c>
      <c r="AB239" s="212">
        <v>0</v>
      </c>
      <c r="AC239" s="213"/>
    </row>
    <row r="240" spans="1:29" ht="69" customHeight="1" x14ac:dyDescent="0.3">
      <c r="A240" s="135" t="s">
        <v>565</v>
      </c>
      <c r="B240" s="140" t="s">
        <v>15</v>
      </c>
      <c r="C240" s="140" t="s">
        <v>124</v>
      </c>
      <c r="D240" s="140" t="s">
        <v>123</v>
      </c>
      <c r="E240" s="234" t="s">
        <v>1440</v>
      </c>
      <c r="F240" s="140"/>
      <c r="G240" s="140"/>
      <c r="H240" s="140"/>
      <c r="I240" s="140"/>
      <c r="J240" s="140"/>
      <c r="K240" s="140"/>
      <c r="L240" s="140"/>
      <c r="M240" s="140"/>
      <c r="N240" s="140"/>
      <c r="O240" s="140"/>
      <c r="P240" s="140"/>
      <c r="Q240" s="140"/>
      <c r="R240" s="140"/>
      <c r="S240" s="140"/>
      <c r="T240" s="140" t="s">
        <v>275</v>
      </c>
      <c r="U240" s="136"/>
      <c r="V240" s="137"/>
      <c r="W240" s="137"/>
      <c r="X240" s="137"/>
      <c r="Y240" s="135"/>
      <c r="Z240" s="268">
        <f>1000000-259567.29-200000</f>
        <v>540432.71</v>
      </c>
      <c r="AA240" s="212">
        <v>0</v>
      </c>
      <c r="AB240" s="212">
        <v>0</v>
      </c>
      <c r="AC240" s="213"/>
    </row>
    <row r="241" spans="1:29" ht="81" customHeight="1" x14ac:dyDescent="0.3">
      <c r="A241" s="153" t="s">
        <v>1519</v>
      </c>
      <c r="B241" s="140" t="s">
        <v>15</v>
      </c>
      <c r="C241" s="140" t="s">
        <v>124</v>
      </c>
      <c r="D241" s="140" t="s">
        <v>123</v>
      </c>
      <c r="E241" s="234" t="s">
        <v>1509</v>
      </c>
      <c r="F241" s="140"/>
      <c r="G241" s="140"/>
      <c r="H241" s="140"/>
      <c r="I241" s="140"/>
      <c r="J241" s="140"/>
      <c r="K241" s="140"/>
      <c r="L241" s="140"/>
      <c r="M241" s="140"/>
      <c r="N241" s="140"/>
      <c r="O241" s="140"/>
      <c r="P241" s="140"/>
      <c r="Q241" s="140"/>
      <c r="R241" s="140"/>
      <c r="S241" s="140"/>
      <c r="T241" s="140"/>
      <c r="U241" s="136"/>
      <c r="V241" s="137"/>
      <c r="W241" s="137"/>
      <c r="X241" s="137"/>
      <c r="Y241" s="135"/>
      <c r="Z241" s="268">
        <f>Z242</f>
        <v>2855240.2</v>
      </c>
      <c r="AA241" s="212">
        <v>0</v>
      </c>
      <c r="AB241" s="212">
        <v>0</v>
      </c>
      <c r="AC241" s="213"/>
    </row>
    <row r="242" spans="1:29" ht="69" customHeight="1" x14ac:dyDescent="0.3">
      <c r="A242" s="135" t="s">
        <v>565</v>
      </c>
      <c r="B242" s="140" t="s">
        <v>15</v>
      </c>
      <c r="C242" s="140" t="s">
        <v>124</v>
      </c>
      <c r="D242" s="140" t="s">
        <v>123</v>
      </c>
      <c r="E242" s="234" t="s">
        <v>1509</v>
      </c>
      <c r="F242" s="140"/>
      <c r="G242" s="140"/>
      <c r="H242" s="140"/>
      <c r="I242" s="140"/>
      <c r="J242" s="140"/>
      <c r="K242" s="140"/>
      <c r="L242" s="140"/>
      <c r="M242" s="140"/>
      <c r="N242" s="140"/>
      <c r="O242" s="140"/>
      <c r="P242" s="140"/>
      <c r="Q242" s="140"/>
      <c r="R242" s="140"/>
      <c r="S242" s="140"/>
      <c r="T242" s="140" t="s">
        <v>275</v>
      </c>
      <c r="U242" s="136"/>
      <c r="V242" s="137"/>
      <c r="W242" s="137"/>
      <c r="X242" s="137"/>
      <c r="Y242" s="135"/>
      <c r="Z242" s="268">
        <f>2595672.91+259567.29</f>
        <v>2855240.2</v>
      </c>
      <c r="AA242" s="212">
        <v>0</v>
      </c>
      <c r="AB242" s="212">
        <v>0</v>
      </c>
      <c r="AC242" s="213"/>
    </row>
    <row r="243" spans="1:29" ht="85.5" customHeight="1" x14ac:dyDescent="0.3">
      <c r="A243" s="153" t="s">
        <v>1265</v>
      </c>
      <c r="B243" s="234" t="s">
        <v>15</v>
      </c>
      <c r="C243" s="234" t="s">
        <v>124</v>
      </c>
      <c r="D243" s="234" t="s">
        <v>123</v>
      </c>
      <c r="E243" s="234" t="s">
        <v>880</v>
      </c>
      <c r="F243" s="234"/>
      <c r="G243" s="234"/>
      <c r="H243" s="234"/>
      <c r="I243" s="234"/>
      <c r="J243" s="234"/>
      <c r="K243" s="234"/>
      <c r="L243" s="234"/>
      <c r="M243" s="234"/>
      <c r="N243" s="234"/>
      <c r="O243" s="234"/>
      <c r="P243" s="234"/>
      <c r="Q243" s="234"/>
      <c r="R243" s="234"/>
      <c r="S243" s="234"/>
      <c r="T243" s="234"/>
      <c r="U243" s="161"/>
      <c r="V243" s="206"/>
      <c r="W243" s="206"/>
      <c r="X243" s="206"/>
      <c r="Y243" s="153" t="s">
        <v>362</v>
      </c>
      <c r="Z243" s="239">
        <f>Z244</f>
        <v>36930</v>
      </c>
      <c r="AA243" s="239">
        <f>AA244</f>
        <v>0</v>
      </c>
      <c r="AB243" s="239">
        <f>AB244</f>
        <v>0</v>
      </c>
      <c r="AC243" s="568" t="s">
        <v>362</v>
      </c>
    </row>
    <row r="244" spans="1:29" ht="56.25" customHeight="1" x14ac:dyDescent="0.3">
      <c r="A244" s="135" t="s">
        <v>565</v>
      </c>
      <c r="B244" s="140" t="s">
        <v>15</v>
      </c>
      <c r="C244" s="140" t="s">
        <v>124</v>
      </c>
      <c r="D244" s="140" t="s">
        <v>123</v>
      </c>
      <c r="E244" s="234" t="s">
        <v>880</v>
      </c>
      <c r="F244" s="140"/>
      <c r="G244" s="140"/>
      <c r="H244" s="140"/>
      <c r="I244" s="140"/>
      <c r="J244" s="140"/>
      <c r="K244" s="140"/>
      <c r="L244" s="140"/>
      <c r="M244" s="140"/>
      <c r="N244" s="140"/>
      <c r="O244" s="140"/>
      <c r="P244" s="140"/>
      <c r="Q244" s="140"/>
      <c r="R244" s="140"/>
      <c r="S244" s="140"/>
      <c r="T244" s="140" t="s">
        <v>275</v>
      </c>
      <c r="U244" s="136"/>
      <c r="V244" s="137"/>
      <c r="W244" s="137"/>
      <c r="X244" s="137"/>
      <c r="Y244" s="135" t="s">
        <v>363</v>
      </c>
      <c r="Z244" s="268">
        <f>1500000+702388+3000000+334542-3500000-2000000</f>
        <v>36930</v>
      </c>
      <c r="AA244" s="212">
        <v>0</v>
      </c>
      <c r="AB244" s="212">
        <v>0</v>
      </c>
      <c r="AC244" s="213" t="s">
        <v>363</v>
      </c>
    </row>
    <row r="245" spans="1:29" ht="37.5" hidden="1" customHeight="1" x14ac:dyDescent="0.3">
      <c r="A245" s="153" t="s">
        <v>806</v>
      </c>
      <c r="B245" s="234" t="s">
        <v>15</v>
      </c>
      <c r="C245" s="234" t="s">
        <v>124</v>
      </c>
      <c r="D245" s="234" t="s">
        <v>123</v>
      </c>
      <c r="E245" s="234" t="s">
        <v>746</v>
      </c>
      <c r="F245" s="234"/>
      <c r="G245" s="234"/>
      <c r="H245" s="234"/>
      <c r="I245" s="234"/>
      <c r="J245" s="234"/>
      <c r="K245" s="234"/>
      <c r="L245" s="234"/>
      <c r="M245" s="234"/>
      <c r="N245" s="234"/>
      <c r="O245" s="234"/>
      <c r="P245" s="234"/>
      <c r="Q245" s="234"/>
      <c r="R245" s="234"/>
      <c r="S245" s="234"/>
      <c r="T245" s="234"/>
      <c r="U245" s="161"/>
      <c r="V245" s="206"/>
      <c r="W245" s="206"/>
      <c r="X245" s="206"/>
      <c r="Y245" s="153" t="s">
        <v>364</v>
      </c>
      <c r="Z245" s="239">
        <f>Z246</f>
        <v>0</v>
      </c>
      <c r="AA245" s="239">
        <f>AA246</f>
        <v>0</v>
      </c>
      <c r="AB245" s="239">
        <f>AB246</f>
        <v>0</v>
      </c>
      <c r="AC245" s="568" t="s">
        <v>364</v>
      </c>
    </row>
    <row r="246" spans="1:29" ht="0.75" hidden="1" customHeight="1" x14ac:dyDescent="0.3">
      <c r="A246" s="135" t="s">
        <v>745</v>
      </c>
      <c r="B246" s="140" t="s">
        <v>15</v>
      </c>
      <c r="C246" s="140" t="s">
        <v>124</v>
      </c>
      <c r="D246" s="140" t="s">
        <v>123</v>
      </c>
      <c r="E246" s="234" t="s">
        <v>746</v>
      </c>
      <c r="F246" s="140"/>
      <c r="G246" s="140"/>
      <c r="H246" s="140"/>
      <c r="I246" s="140"/>
      <c r="J246" s="140"/>
      <c r="K246" s="140"/>
      <c r="L246" s="140"/>
      <c r="M246" s="140"/>
      <c r="N246" s="140"/>
      <c r="O246" s="140"/>
      <c r="P246" s="140"/>
      <c r="Q246" s="140"/>
      <c r="R246" s="140"/>
      <c r="S246" s="140"/>
      <c r="T246" s="140" t="s">
        <v>275</v>
      </c>
      <c r="U246" s="136"/>
      <c r="V246" s="137"/>
      <c r="W246" s="137"/>
      <c r="X246" s="137"/>
      <c r="Y246" s="135" t="s">
        <v>365</v>
      </c>
      <c r="Z246" s="212">
        <v>0</v>
      </c>
      <c r="AA246" s="212">
        <v>0</v>
      </c>
      <c r="AB246" s="212">
        <v>0</v>
      </c>
      <c r="AC246" s="213" t="s">
        <v>365</v>
      </c>
    </row>
    <row r="247" spans="1:29" ht="72" customHeight="1" x14ac:dyDescent="0.3">
      <c r="A247" s="492" t="s">
        <v>1482</v>
      </c>
      <c r="B247" s="140" t="s">
        <v>15</v>
      </c>
      <c r="C247" s="140" t="s">
        <v>124</v>
      </c>
      <c r="D247" s="140" t="s">
        <v>123</v>
      </c>
      <c r="E247" s="234" t="s">
        <v>1483</v>
      </c>
      <c r="F247" s="140"/>
      <c r="G247" s="140"/>
      <c r="H247" s="140"/>
      <c r="I247" s="140"/>
      <c r="J247" s="140"/>
      <c r="K247" s="140"/>
      <c r="L247" s="140"/>
      <c r="M247" s="140"/>
      <c r="N247" s="140"/>
      <c r="O247" s="140"/>
      <c r="P247" s="140"/>
      <c r="Q247" s="140"/>
      <c r="R247" s="140"/>
      <c r="S247" s="140"/>
      <c r="T247" s="140"/>
      <c r="U247" s="136"/>
      <c r="V247" s="137"/>
      <c r="W247" s="137"/>
      <c r="X247" s="137"/>
      <c r="Y247" s="135"/>
      <c r="Z247" s="212">
        <f>Z248</f>
        <v>2000000</v>
      </c>
      <c r="AA247" s="212">
        <v>0</v>
      </c>
      <c r="AB247" s="212">
        <v>0</v>
      </c>
      <c r="AC247" s="213"/>
    </row>
    <row r="248" spans="1:29" ht="57.75" customHeight="1" x14ac:dyDescent="0.3">
      <c r="A248" s="135" t="s">
        <v>565</v>
      </c>
      <c r="B248" s="140" t="s">
        <v>15</v>
      </c>
      <c r="C248" s="140" t="s">
        <v>124</v>
      </c>
      <c r="D248" s="140" t="s">
        <v>123</v>
      </c>
      <c r="E248" s="234" t="s">
        <v>1483</v>
      </c>
      <c r="F248" s="140"/>
      <c r="G248" s="140"/>
      <c r="H248" s="140"/>
      <c r="I248" s="140"/>
      <c r="J248" s="140"/>
      <c r="K248" s="140"/>
      <c r="L248" s="140"/>
      <c r="M248" s="140"/>
      <c r="N248" s="140"/>
      <c r="O248" s="140"/>
      <c r="P248" s="140"/>
      <c r="Q248" s="140"/>
      <c r="R248" s="140"/>
      <c r="S248" s="140"/>
      <c r="T248" s="140" t="s">
        <v>275</v>
      </c>
      <c r="U248" s="136"/>
      <c r="V248" s="137"/>
      <c r="W248" s="137"/>
      <c r="X248" s="137"/>
      <c r="Y248" s="135"/>
      <c r="Z248" s="212">
        <v>2000000</v>
      </c>
      <c r="AA248" s="212">
        <v>0</v>
      </c>
      <c r="AB248" s="212">
        <v>0</v>
      </c>
      <c r="AC248" s="213"/>
    </row>
    <row r="249" spans="1:29" ht="27.75" customHeight="1" x14ac:dyDescent="0.3">
      <c r="A249" s="159" t="s">
        <v>366</v>
      </c>
      <c r="B249" s="160" t="s">
        <v>15</v>
      </c>
      <c r="C249" s="160" t="s">
        <v>138</v>
      </c>
      <c r="D249" s="160" t="s">
        <v>133</v>
      </c>
      <c r="E249" s="160"/>
      <c r="F249" s="160"/>
      <c r="G249" s="160"/>
      <c r="H249" s="160"/>
      <c r="I249" s="160"/>
      <c r="J249" s="160"/>
      <c r="K249" s="160"/>
      <c r="L249" s="160"/>
      <c r="M249" s="160"/>
      <c r="N249" s="160"/>
      <c r="O249" s="160"/>
      <c r="P249" s="160"/>
      <c r="Q249" s="160"/>
      <c r="R249" s="160"/>
      <c r="S249" s="160"/>
      <c r="T249" s="160"/>
      <c r="U249" s="160"/>
      <c r="V249" s="214"/>
      <c r="W249" s="214"/>
      <c r="X249" s="214"/>
      <c r="Y249" s="159" t="s">
        <v>366</v>
      </c>
      <c r="Z249" s="215">
        <f>Z250+Z259+Z274</f>
        <v>757405.94</v>
      </c>
      <c r="AA249" s="215">
        <f>AA250+AA259+AA274</f>
        <v>253000</v>
      </c>
      <c r="AB249" s="215">
        <f>AB250+AB259+AB274</f>
        <v>253000</v>
      </c>
      <c r="AC249" s="292" t="s">
        <v>366</v>
      </c>
    </row>
    <row r="250" spans="1:29" ht="21" hidden="1" customHeight="1" x14ac:dyDescent="0.3">
      <c r="A250" s="159" t="s">
        <v>156</v>
      </c>
      <c r="B250" s="160" t="s">
        <v>15</v>
      </c>
      <c r="C250" s="160" t="s">
        <v>138</v>
      </c>
      <c r="D250" s="160" t="s">
        <v>132</v>
      </c>
      <c r="E250" s="160"/>
      <c r="F250" s="160"/>
      <c r="G250" s="160"/>
      <c r="H250" s="160"/>
      <c r="I250" s="160"/>
      <c r="J250" s="160"/>
      <c r="K250" s="160"/>
      <c r="L250" s="160"/>
      <c r="M250" s="160"/>
      <c r="N250" s="160"/>
      <c r="O250" s="160"/>
      <c r="P250" s="160"/>
      <c r="Q250" s="160"/>
      <c r="R250" s="160"/>
      <c r="S250" s="160"/>
      <c r="T250" s="160"/>
      <c r="U250" s="160"/>
      <c r="V250" s="214"/>
      <c r="W250" s="214"/>
      <c r="X250" s="214"/>
      <c r="Y250" s="159" t="s">
        <v>156</v>
      </c>
      <c r="Z250" s="215">
        <f>Z251+Z253+Z255+Z257</f>
        <v>0</v>
      </c>
      <c r="AA250" s="215">
        <f t="shared" ref="AA250:AB250" si="11">AA251+AA253</f>
        <v>0</v>
      </c>
      <c r="AB250" s="215">
        <f t="shared" si="11"/>
        <v>0</v>
      </c>
      <c r="AC250" s="292" t="s">
        <v>156</v>
      </c>
    </row>
    <row r="251" spans="1:29" ht="117" hidden="1" customHeight="1" x14ac:dyDescent="0.3">
      <c r="A251" s="153" t="s">
        <v>576</v>
      </c>
      <c r="B251" s="234" t="s">
        <v>15</v>
      </c>
      <c r="C251" s="234" t="s">
        <v>138</v>
      </c>
      <c r="D251" s="234" t="s">
        <v>132</v>
      </c>
      <c r="E251" s="234" t="s">
        <v>577</v>
      </c>
      <c r="F251" s="234"/>
      <c r="G251" s="234"/>
      <c r="H251" s="234"/>
      <c r="I251" s="234"/>
      <c r="J251" s="234"/>
      <c r="K251" s="234"/>
      <c r="L251" s="234"/>
      <c r="M251" s="234"/>
      <c r="N251" s="234"/>
      <c r="O251" s="234"/>
      <c r="P251" s="234"/>
      <c r="Q251" s="234"/>
      <c r="R251" s="234"/>
      <c r="S251" s="234"/>
      <c r="T251" s="234"/>
      <c r="U251" s="161"/>
      <c r="V251" s="206"/>
      <c r="W251" s="206"/>
      <c r="X251" s="206"/>
      <c r="Y251" s="153" t="s">
        <v>367</v>
      </c>
      <c r="Z251" s="239">
        <f t="shared" ref="Z251:AB251" si="12">Z252</f>
        <v>0</v>
      </c>
      <c r="AA251" s="239">
        <f t="shared" si="12"/>
        <v>0</v>
      </c>
      <c r="AB251" s="239">
        <f t="shared" si="12"/>
        <v>0</v>
      </c>
      <c r="AC251" s="568" t="s">
        <v>367</v>
      </c>
    </row>
    <row r="252" spans="1:29" ht="82.5" hidden="1" customHeight="1" x14ac:dyDescent="0.3">
      <c r="A252" s="135" t="s">
        <v>368</v>
      </c>
      <c r="B252" s="140" t="s">
        <v>15</v>
      </c>
      <c r="C252" s="140" t="s">
        <v>138</v>
      </c>
      <c r="D252" s="140" t="s">
        <v>132</v>
      </c>
      <c r="E252" s="234" t="s">
        <v>577</v>
      </c>
      <c r="F252" s="140"/>
      <c r="G252" s="140"/>
      <c r="H252" s="140"/>
      <c r="I252" s="140"/>
      <c r="J252" s="140"/>
      <c r="K252" s="140"/>
      <c r="L252" s="140"/>
      <c r="M252" s="140"/>
      <c r="N252" s="140"/>
      <c r="O252" s="140"/>
      <c r="P252" s="140"/>
      <c r="Q252" s="140"/>
      <c r="R252" s="140"/>
      <c r="S252" s="140"/>
      <c r="T252" s="140" t="s">
        <v>275</v>
      </c>
      <c r="U252" s="136"/>
      <c r="V252" s="137"/>
      <c r="W252" s="137"/>
      <c r="X252" s="137"/>
      <c r="Y252" s="135" t="s">
        <v>368</v>
      </c>
      <c r="Z252" s="212">
        <v>0</v>
      </c>
      <c r="AA252" s="212">
        <v>0</v>
      </c>
      <c r="AB252" s="212">
        <v>0</v>
      </c>
      <c r="AC252" s="213" t="s">
        <v>368</v>
      </c>
    </row>
    <row r="253" spans="1:29" ht="0.75" hidden="1" customHeight="1" x14ac:dyDescent="0.3">
      <c r="A253" s="153" t="s">
        <v>1015</v>
      </c>
      <c r="B253" s="140" t="s">
        <v>15</v>
      </c>
      <c r="C253" s="140" t="s">
        <v>138</v>
      </c>
      <c r="D253" s="140" t="s">
        <v>132</v>
      </c>
      <c r="E253" s="234" t="s">
        <v>1009</v>
      </c>
      <c r="F253" s="140"/>
      <c r="G253" s="140"/>
      <c r="H253" s="140"/>
      <c r="I253" s="140"/>
      <c r="J253" s="140"/>
      <c r="K253" s="140"/>
      <c r="L253" s="140"/>
      <c r="M253" s="140"/>
      <c r="N253" s="140"/>
      <c r="O253" s="140"/>
      <c r="P253" s="140"/>
      <c r="Q253" s="140"/>
      <c r="R253" s="140"/>
      <c r="S253" s="140"/>
      <c r="T253" s="140"/>
      <c r="U253" s="136"/>
      <c r="V253" s="137"/>
      <c r="W253" s="137"/>
      <c r="X253" s="137"/>
      <c r="Y253" s="135"/>
      <c r="Z253" s="212">
        <f>Z254</f>
        <v>0</v>
      </c>
      <c r="AA253" s="212">
        <f t="shared" ref="AA253:AB253" si="13">AA254</f>
        <v>0</v>
      </c>
      <c r="AB253" s="212">
        <f t="shared" si="13"/>
        <v>0</v>
      </c>
      <c r="AC253" s="213"/>
    </row>
    <row r="254" spans="1:29" ht="82.5" hidden="1" customHeight="1" x14ac:dyDescent="0.3">
      <c r="A254" s="135" t="s">
        <v>368</v>
      </c>
      <c r="B254" s="140" t="s">
        <v>15</v>
      </c>
      <c r="C254" s="140" t="s">
        <v>138</v>
      </c>
      <c r="D254" s="140" t="s">
        <v>132</v>
      </c>
      <c r="E254" s="234" t="s">
        <v>1009</v>
      </c>
      <c r="F254" s="140"/>
      <c r="G254" s="140"/>
      <c r="H254" s="140"/>
      <c r="I254" s="140"/>
      <c r="J254" s="140"/>
      <c r="K254" s="140"/>
      <c r="L254" s="140"/>
      <c r="M254" s="140"/>
      <c r="N254" s="140"/>
      <c r="O254" s="140"/>
      <c r="P254" s="140"/>
      <c r="Q254" s="140"/>
      <c r="R254" s="140"/>
      <c r="S254" s="140"/>
      <c r="T254" s="140" t="s">
        <v>275</v>
      </c>
      <c r="U254" s="136"/>
      <c r="V254" s="137"/>
      <c r="W254" s="137"/>
      <c r="X254" s="137"/>
      <c r="Y254" s="135"/>
      <c r="Z254" s="212">
        <f>7220000-7220000</f>
        <v>0</v>
      </c>
      <c r="AA254" s="212">
        <v>0</v>
      </c>
      <c r="AB254" s="212">
        <v>0</v>
      </c>
      <c r="AC254" s="213"/>
    </row>
    <row r="255" spans="1:29" ht="169.5" hidden="1" customHeight="1" x14ac:dyDescent="0.3">
      <c r="A255" s="153" t="s">
        <v>1015</v>
      </c>
      <c r="B255" s="140" t="s">
        <v>15</v>
      </c>
      <c r="C255" s="140" t="s">
        <v>138</v>
      </c>
      <c r="D255" s="140" t="s">
        <v>132</v>
      </c>
      <c r="E255" s="234" t="s">
        <v>1021</v>
      </c>
      <c r="F255" s="140"/>
      <c r="G255" s="140"/>
      <c r="H255" s="140"/>
      <c r="I255" s="140"/>
      <c r="J255" s="140"/>
      <c r="K255" s="140"/>
      <c r="L255" s="140"/>
      <c r="M255" s="140"/>
      <c r="N255" s="140"/>
      <c r="O255" s="140"/>
      <c r="P255" s="140"/>
      <c r="Q255" s="140"/>
      <c r="R255" s="140"/>
      <c r="S255" s="140"/>
      <c r="T255" s="140"/>
      <c r="U255" s="136"/>
      <c r="V255" s="137"/>
      <c r="W255" s="137"/>
      <c r="X255" s="137"/>
      <c r="Y255" s="135"/>
      <c r="Z255" s="212">
        <f>Z256</f>
        <v>0</v>
      </c>
      <c r="AA255" s="212">
        <v>0</v>
      </c>
      <c r="AB255" s="212">
        <v>0</v>
      </c>
      <c r="AC255" s="213"/>
    </row>
    <row r="256" spans="1:29" ht="82.5" hidden="1" customHeight="1" x14ac:dyDescent="0.3">
      <c r="A256" s="135" t="s">
        <v>368</v>
      </c>
      <c r="B256" s="140" t="s">
        <v>15</v>
      </c>
      <c r="C256" s="140" t="s">
        <v>138</v>
      </c>
      <c r="D256" s="140" t="s">
        <v>132</v>
      </c>
      <c r="E256" s="234" t="s">
        <v>1021</v>
      </c>
      <c r="F256" s="140"/>
      <c r="G256" s="140"/>
      <c r="H256" s="140"/>
      <c r="I256" s="140"/>
      <c r="J256" s="140"/>
      <c r="K256" s="140"/>
      <c r="L256" s="140"/>
      <c r="M256" s="140"/>
      <c r="N256" s="140"/>
      <c r="O256" s="140"/>
      <c r="P256" s="140"/>
      <c r="Q256" s="140"/>
      <c r="R256" s="140"/>
      <c r="S256" s="140"/>
      <c r="T256" s="140" t="s">
        <v>275</v>
      </c>
      <c r="U256" s="136"/>
      <c r="V256" s="137"/>
      <c r="W256" s="137"/>
      <c r="X256" s="137"/>
      <c r="Y256" s="135"/>
      <c r="Z256" s="212">
        <f>7220000+380000-7600000</f>
        <v>0</v>
      </c>
      <c r="AA256" s="212">
        <v>0</v>
      </c>
      <c r="AB256" s="212">
        <v>0</v>
      </c>
      <c r="AC256" s="213"/>
    </row>
    <row r="257" spans="1:29" ht="169.5" hidden="1" customHeight="1" x14ac:dyDescent="0.3">
      <c r="A257" s="153" t="s">
        <v>1015</v>
      </c>
      <c r="B257" s="140" t="s">
        <v>15</v>
      </c>
      <c r="C257" s="140" t="s">
        <v>138</v>
      </c>
      <c r="D257" s="140" t="s">
        <v>132</v>
      </c>
      <c r="E257" s="234" t="s">
        <v>1063</v>
      </c>
      <c r="F257" s="140"/>
      <c r="G257" s="140"/>
      <c r="H257" s="140"/>
      <c r="I257" s="140"/>
      <c r="J257" s="140"/>
      <c r="K257" s="140"/>
      <c r="L257" s="140"/>
      <c r="M257" s="140"/>
      <c r="N257" s="140"/>
      <c r="O257" s="140"/>
      <c r="P257" s="140"/>
      <c r="Q257" s="140"/>
      <c r="R257" s="140"/>
      <c r="S257" s="140"/>
      <c r="T257" s="140"/>
      <c r="U257" s="136"/>
      <c r="V257" s="137"/>
      <c r="W257" s="137"/>
      <c r="X257" s="137"/>
      <c r="Y257" s="135"/>
      <c r="Z257" s="212">
        <f>Z258</f>
        <v>0</v>
      </c>
      <c r="AA257" s="212">
        <v>0</v>
      </c>
      <c r="AB257" s="212">
        <v>0</v>
      </c>
      <c r="AC257" s="213"/>
    </row>
    <row r="258" spans="1:29" ht="72" hidden="1" customHeight="1" x14ac:dyDescent="0.3">
      <c r="A258" s="135" t="s">
        <v>368</v>
      </c>
      <c r="B258" s="140" t="s">
        <v>15</v>
      </c>
      <c r="C258" s="140" t="s">
        <v>138</v>
      </c>
      <c r="D258" s="140" t="s">
        <v>132</v>
      </c>
      <c r="E258" s="234" t="s">
        <v>1063</v>
      </c>
      <c r="F258" s="140"/>
      <c r="G258" s="140"/>
      <c r="H258" s="140"/>
      <c r="I258" s="140"/>
      <c r="J258" s="140"/>
      <c r="K258" s="140"/>
      <c r="L258" s="140"/>
      <c r="M258" s="140"/>
      <c r="N258" s="140"/>
      <c r="O258" s="140"/>
      <c r="P258" s="140"/>
      <c r="Q258" s="140"/>
      <c r="R258" s="140"/>
      <c r="S258" s="140"/>
      <c r="T258" s="140"/>
      <c r="U258" s="136"/>
      <c r="V258" s="137"/>
      <c r="W258" s="137"/>
      <c r="X258" s="137"/>
      <c r="Y258" s="135"/>
      <c r="Z258" s="212">
        <v>0</v>
      </c>
      <c r="AA258" s="212">
        <v>0</v>
      </c>
      <c r="AB258" s="212">
        <v>0</v>
      </c>
      <c r="AC258" s="213"/>
    </row>
    <row r="259" spans="1:29" ht="24.75" customHeight="1" x14ac:dyDescent="0.3">
      <c r="A259" s="159" t="s">
        <v>709</v>
      </c>
      <c r="B259" s="160" t="s">
        <v>15</v>
      </c>
      <c r="C259" s="160" t="s">
        <v>138</v>
      </c>
      <c r="D259" s="160" t="s">
        <v>138</v>
      </c>
      <c r="E259" s="160"/>
      <c r="F259" s="160"/>
      <c r="G259" s="160"/>
      <c r="H259" s="160"/>
      <c r="I259" s="160"/>
      <c r="J259" s="160"/>
      <c r="K259" s="160"/>
      <c r="L259" s="160"/>
      <c r="M259" s="160"/>
      <c r="N259" s="160"/>
      <c r="O259" s="160"/>
      <c r="P259" s="160"/>
      <c r="Q259" s="160"/>
      <c r="R259" s="160"/>
      <c r="S259" s="160"/>
      <c r="T259" s="160"/>
      <c r="U259" s="160"/>
      <c r="V259" s="214"/>
      <c r="W259" s="214"/>
      <c r="X259" s="214"/>
      <c r="Y259" s="159" t="s">
        <v>157</v>
      </c>
      <c r="Z259" s="215">
        <f>Z260+Z262+Z264+Z266+Z272+Z268+Z270</f>
        <v>668000</v>
      </c>
      <c r="AA259" s="215">
        <f>AA260+AA262+AA264+AA266+AA272+AA268</f>
        <v>253000</v>
      </c>
      <c r="AB259" s="215">
        <f>AB260+AB262+AB264+AB266+AB272+AB268</f>
        <v>253000</v>
      </c>
      <c r="AC259" s="292" t="s">
        <v>157</v>
      </c>
    </row>
    <row r="260" spans="1:29" ht="130.5" customHeight="1" x14ac:dyDescent="0.3">
      <c r="A260" s="153" t="s">
        <v>1304</v>
      </c>
      <c r="B260" s="234" t="s">
        <v>15</v>
      </c>
      <c r="C260" s="234" t="s">
        <v>138</v>
      </c>
      <c r="D260" s="234" t="s">
        <v>138</v>
      </c>
      <c r="E260" s="234" t="s">
        <v>578</v>
      </c>
      <c r="F260" s="234"/>
      <c r="G260" s="234"/>
      <c r="H260" s="234"/>
      <c r="I260" s="234"/>
      <c r="J260" s="234"/>
      <c r="K260" s="234"/>
      <c r="L260" s="234"/>
      <c r="M260" s="234"/>
      <c r="N260" s="234"/>
      <c r="O260" s="234"/>
      <c r="P260" s="234"/>
      <c r="Q260" s="234"/>
      <c r="R260" s="234"/>
      <c r="S260" s="234"/>
      <c r="T260" s="234"/>
      <c r="U260" s="161"/>
      <c r="V260" s="206"/>
      <c r="W260" s="206"/>
      <c r="X260" s="206"/>
      <c r="Y260" s="153" t="s">
        <v>369</v>
      </c>
      <c r="Z260" s="239">
        <f>Z261</f>
        <v>50000</v>
      </c>
      <c r="AA260" s="239">
        <f>AA261</f>
        <v>50000</v>
      </c>
      <c r="AB260" s="239">
        <f>AB261</f>
        <v>50000</v>
      </c>
      <c r="AC260" s="568" t="s">
        <v>369</v>
      </c>
    </row>
    <row r="261" spans="1:29" ht="67.5" customHeight="1" x14ac:dyDescent="0.3">
      <c r="A261" s="135" t="s">
        <v>565</v>
      </c>
      <c r="B261" s="140" t="s">
        <v>15</v>
      </c>
      <c r="C261" s="140" t="s">
        <v>138</v>
      </c>
      <c r="D261" s="140" t="s">
        <v>138</v>
      </c>
      <c r="E261" s="234" t="s">
        <v>578</v>
      </c>
      <c r="F261" s="140"/>
      <c r="G261" s="140"/>
      <c r="H261" s="140"/>
      <c r="I261" s="140"/>
      <c r="J261" s="140"/>
      <c r="K261" s="140"/>
      <c r="L261" s="140"/>
      <c r="M261" s="140"/>
      <c r="N261" s="140"/>
      <c r="O261" s="140"/>
      <c r="P261" s="140"/>
      <c r="Q261" s="140"/>
      <c r="R261" s="140"/>
      <c r="S261" s="140"/>
      <c r="T261" s="140" t="s">
        <v>275</v>
      </c>
      <c r="U261" s="136"/>
      <c r="V261" s="137"/>
      <c r="W261" s="137"/>
      <c r="X261" s="137"/>
      <c r="Y261" s="135" t="s">
        <v>370</v>
      </c>
      <c r="Z261" s="212">
        <f>50000+30000-30000</f>
        <v>50000</v>
      </c>
      <c r="AA261" s="212">
        <v>50000</v>
      </c>
      <c r="AB261" s="212">
        <v>50000</v>
      </c>
      <c r="AC261" s="213" t="s">
        <v>370</v>
      </c>
    </row>
    <row r="262" spans="1:29" ht="207" customHeight="1" x14ac:dyDescent="0.3">
      <c r="A262" s="153" t="s">
        <v>1305</v>
      </c>
      <c r="B262" s="234" t="s">
        <v>15</v>
      </c>
      <c r="C262" s="234" t="s">
        <v>138</v>
      </c>
      <c r="D262" s="234" t="s">
        <v>138</v>
      </c>
      <c r="E262" s="234" t="s">
        <v>579</v>
      </c>
      <c r="F262" s="234"/>
      <c r="G262" s="234"/>
      <c r="H262" s="234"/>
      <c r="I262" s="234"/>
      <c r="J262" s="234"/>
      <c r="K262" s="234"/>
      <c r="L262" s="234"/>
      <c r="M262" s="234"/>
      <c r="N262" s="234"/>
      <c r="O262" s="234"/>
      <c r="P262" s="234"/>
      <c r="Q262" s="234"/>
      <c r="R262" s="234"/>
      <c r="S262" s="234"/>
      <c r="T262" s="234"/>
      <c r="U262" s="161"/>
      <c r="V262" s="206"/>
      <c r="W262" s="206"/>
      <c r="X262" s="206"/>
      <c r="Y262" s="153" t="s">
        <v>371</v>
      </c>
      <c r="Z262" s="239">
        <f>Z263</f>
        <v>155000</v>
      </c>
      <c r="AA262" s="239">
        <f>AA263</f>
        <v>50000</v>
      </c>
      <c r="AB262" s="239">
        <f>AB263</f>
        <v>50000</v>
      </c>
      <c r="AC262" s="568" t="s">
        <v>371</v>
      </c>
    </row>
    <row r="263" spans="1:29" ht="59.25" customHeight="1" x14ac:dyDescent="0.3">
      <c r="A263" s="135" t="s">
        <v>565</v>
      </c>
      <c r="B263" s="140" t="s">
        <v>15</v>
      </c>
      <c r="C263" s="140" t="s">
        <v>138</v>
      </c>
      <c r="D263" s="140" t="s">
        <v>138</v>
      </c>
      <c r="E263" s="234" t="s">
        <v>579</v>
      </c>
      <c r="F263" s="140"/>
      <c r="G263" s="140"/>
      <c r="H263" s="140"/>
      <c r="I263" s="140"/>
      <c r="J263" s="140"/>
      <c r="K263" s="140"/>
      <c r="L263" s="140"/>
      <c r="M263" s="140"/>
      <c r="N263" s="140"/>
      <c r="O263" s="140"/>
      <c r="P263" s="140"/>
      <c r="Q263" s="140"/>
      <c r="R263" s="140"/>
      <c r="S263" s="140"/>
      <c r="T263" s="140" t="s">
        <v>275</v>
      </c>
      <c r="U263" s="136"/>
      <c r="V263" s="137"/>
      <c r="W263" s="137"/>
      <c r="X263" s="137"/>
      <c r="Y263" s="135" t="s">
        <v>372</v>
      </c>
      <c r="Z263" s="212">
        <f>50000+105000</f>
        <v>155000</v>
      </c>
      <c r="AA263" s="212">
        <v>50000</v>
      </c>
      <c r="AB263" s="212">
        <v>50000</v>
      </c>
      <c r="AC263" s="213" t="s">
        <v>372</v>
      </c>
    </row>
    <row r="264" spans="1:29" ht="192.75" customHeight="1" x14ac:dyDescent="0.3">
      <c r="A264" s="153" t="s">
        <v>1276</v>
      </c>
      <c r="B264" s="234" t="s">
        <v>15</v>
      </c>
      <c r="C264" s="234" t="s">
        <v>138</v>
      </c>
      <c r="D264" s="234" t="s">
        <v>138</v>
      </c>
      <c r="E264" s="234" t="s">
        <v>580</v>
      </c>
      <c r="F264" s="234"/>
      <c r="G264" s="234"/>
      <c r="H264" s="234"/>
      <c r="I264" s="234"/>
      <c r="J264" s="234"/>
      <c r="K264" s="234"/>
      <c r="L264" s="234"/>
      <c r="M264" s="234"/>
      <c r="N264" s="234"/>
      <c r="O264" s="234"/>
      <c r="P264" s="234"/>
      <c r="Q264" s="234"/>
      <c r="R264" s="234"/>
      <c r="S264" s="234"/>
      <c r="T264" s="234"/>
      <c r="U264" s="161"/>
      <c r="V264" s="206"/>
      <c r="W264" s="206"/>
      <c r="X264" s="206"/>
      <c r="Y264" s="153" t="s">
        <v>373</v>
      </c>
      <c r="Z264" s="239">
        <f>Z265</f>
        <v>53000</v>
      </c>
      <c r="AA264" s="239">
        <f>AA265</f>
        <v>53000</v>
      </c>
      <c r="AB264" s="239">
        <f>AB265</f>
        <v>53000</v>
      </c>
      <c r="AC264" s="568" t="s">
        <v>373</v>
      </c>
    </row>
    <row r="265" spans="1:29" ht="63.75" customHeight="1" x14ac:dyDescent="0.3">
      <c r="A265" s="135" t="s">
        <v>565</v>
      </c>
      <c r="B265" s="140" t="s">
        <v>15</v>
      </c>
      <c r="C265" s="140" t="s">
        <v>138</v>
      </c>
      <c r="D265" s="140" t="s">
        <v>138</v>
      </c>
      <c r="E265" s="234" t="s">
        <v>580</v>
      </c>
      <c r="F265" s="140"/>
      <c r="G265" s="140"/>
      <c r="H265" s="140"/>
      <c r="I265" s="140"/>
      <c r="J265" s="140"/>
      <c r="K265" s="140"/>
      <c r="L265" s="140"/>
      <c r="M265" s="140"/>
      <c r="N265" s="140"/>
      <c r="O265" s="140"/>
      <c r="P265" s="140"/>
      <c r="Q265" s="140"/>
      <c r="R265" s="140"/>
      <c r="S265" s="140"/>
      <c r="T265" s="140" t="s">
        <v>275</v>
      </c>
      <c r="U265" s="136"/>
      <c r="V265" s="137"/>
      <c r="W265" s="137"/>
      <c r="X265" s="137"/>
      <c r="Y265" s="135" t="s">
        <v>374</v>
      </c>
      <c r="Z265" s="212">
        <v>53000</v>
      </c>
      <c r="AA265" s="212">
        <v>53000</v>
      </c>
      <c r="AB265" s="212">
        <v>53000</v>
      </c>
      <c r="AC265" s="213" t="s">
        <v>374</v>
      </c>
    </row>
    <row r="266" spans="1:29" ht="213" customHeight="1" x14ac:dyDescent="0.3">
      <c r="A266" s="153" t="s">
        <v>1306</v>
      </c>
      <c r="B266" s="140" t="s">
        <v>15</v>
      </c>
      <c r="C266" s="140" t="s">
        <v>138</v>
      </c>
      <c r="D266" s="140" t="s">
        <v>138</v>
      </c>
      <c r="E266" s="234" t="s">
        <v>581</v>
      </c>
      <c r="F266" s="140"/>
      <c r="G266" s="140"/>
      <c r="H266" s="140"/>
      <c r="I266" s="140"/>
      <c r="J266" s="140"/>
      <c r="K266" s="140"/>
      <c r="L266" s="140"/>
      <c r="M266" s="140"/>
      <c r="N266" s="140"/>
      <c r="O266" s="140"/>
      <c r="P266" s="140"/>
      <c r="Q266" s="140"/>
      <c r="R266" s="140"/>
      <c r="S266" s="140"/>
      <c r="T266" s="140"/>
      <c r="U266" s="136"/>
      <c r="V266" s="137"/>
      <c r="W266" s="137"/>
      <c r="X266" s="137"/>
      <c r="Y266" s="135"/>
      <c r="Z266" s="212">
        <f>Z267</f>
        <v>30000</v>
      </c>
      <c r="AA266" s="212">
        <f>AA267</f>
        <v>50000</v>
      </c>
      <c r="AB266" s="212">
        <f>AB267</f>
        <v>50000</v>
      </c>
      <c r="AC266" s="213"/>
    </row>
    <row r="267" spans="1:29" ht="67.5" customHeight="1" x14ac:dyDescent="0.3">
      <c r="A267" s="135" t="s">
        <v>565</v>
      </c>
      <c r="B267" s="140" t="s">
        <v>15</v>
      </c>
      <c r="C267" s="140" t="s">
        <v>138</v>
      </c>
      <c r="D267" s="140" t="s">
        <v>138</v>
      </c>
      <c r="E267" s="234" t="s">
        <v>581</v>
      </c>
      <c r="F267" s="140"/>
      <c r="G267" s="140"/>
      <c r="H267" s="140"/>
      <c r="I267" s="140"/>
      <c r="J267" s="140"/>
      <c r="K267" s="140"/>
      <c r="L267" s="140"/>
      <c r="M267" s="140"/>
      <c r="N267" s="140"/>
      <c r="O267" s="140"/>
      <c r="P267" s="140"/>
      <c r="Q267" s="140"/>
      <c r="R267" s="140"/>
      <c r="S267" s="140"/>
      <c r="T267" s="140" t="s">
        <v>275</v>
      </c>
      <c r="U267" s="136"/>
      <c r="V267" s="137"/>
      <c r="W267" s="137"/>
      <c r="X267" s="137"/>
      <c r="Y267" s="135"/>
      <c r="Z267" s="212">
        <v>30000</v>
      </c>
      <c r="AA267" s="212">
        <v>50000</v>
      </c>
      <c r="AB267" s="212">
        <v>50000</v>
      </c>
      <c r="AC267" s="213"/>
    </row>
    <row r="268" spans="1:29" ht="196.5" hidden="1" customHeight="1" x14ac:dyDescent="0.3">
      <c r="A268" s="153" t="s">
        <v>888</v>
      </c>
      <c r="B268" s="140" t="s">
        <v>15</v>
      </c>
      <c r="C268" s="140" t="s">
        <v>138</v>
      </c>
      <c r="D268" s="140" t="s">
        <v>138</v>
      </c>
      <c r="E268" s="234" t="s">
        <v>890</v>
      </c>
      <c r="F268" s="140"/>
      <c r="G268" s="140"/>
      <c r="H268" s="140"/>
      <c r="I268" s="140"/>
      <c r="J268" s="140"/>
      <c r="K268" s="140"/>
      <c r="L268" s="140"/>
      <c r="M268" s="140"/>
      <c r="N268" s="140"/>
      <c r="O268" s="140"/>
      <c r="P268" s="140"/>
      <c r="Q268" s="140"/>
      <c r="R268" s="140"/>
      <c r="S268" s="140"/>
      <c r="T268" s="140"/>
      <c r="U268" s="136"/>
      <c r="V268" s="137"/>
      <c r="W268" s="137"/>
      <c r="X268" s="137"/>
      <c r="Y268" s="135"/>
      <c r="Z268" s="212">
        <f>Z269</f>
        <v>0</v>
      </c>
      <c r="AA268" s="212">
        <v>0</v>
      </c>
      <c r="AB268" s="212">
        <v>0</v>
      </c>
      <c r="AC268" s="213"/>
    </row>
    <row r="269" spans="1:29" ht="99.75" hidden="1" customHeight="1" x14ac:dyDescent="0.3">
      <c r="A269" s="135" t="s">
        <v>889</v>
      </c>
      <c r="B269" s="140" t="s">
        <v>15</v>
      </c>
      <c r="C269" s="140" t="s">
        <v>138</v>
      </c>
      <c r="D269" s="140" t="s">
        <v>138</v>
      </c>
      <c r="E269" s="234" t="s">
        <v>890</v>
      </c>
      <c r="F269" s="140"/>
      <c r="G269" s="140"/>
      <c r="H269" s="140"/>
      <c r="I269" s="140"/>
      <c r="J269" s="140"/>
      <c r="K269" s="140"/>
      <c r="L269" s="140"/>
      <c r="M269" s="140"/>
      <c r="N269" s="140"/>
      <c r="O269" s="140"/>
      <c r="P269" s="140"/>
      <c r="Q269" s="140"/>
      <c r="R269" s="140"/>
      <c r="S269" s="140"/>
      <c r="T269" s="140" t="s">
        <v>275</v>
      </c>
      <c r="U269" s="136"/>
      <c r="V269" s="137"/>
      <c r="W269" s="137"/>
      <c r="X269" s="137"/>
      <c r="Y269" s="135"/>
      <c r="Z269" s="212">
        <v>0</v>
      </c>
      <c r="AA269" s="212">
        <v>0</v>
      </c>
      <c r="AB269" s="212">
        <v>0</v>
      </c>
      <c r="AC269" s="213"/>
    </row>
    <row r="270" spans="1:29" ht="105" customHeight="1" x14ac:dyDescent="0.3">
      <c r="A270" s="295" t="s">
        <v>1277</v>
      </c>
      <c r="B270" s="140" t="s">
        <v>15</v>
      </c>
      <c r="C270" s="140" t="s">
        <v>138</v>
      </c>
      <c r="D270" s="140" t="s">
        <v>138</v>
      </c>
      <c r="E270" s="234" t="s">
        <v>994</v>
      </c>
      <c r="F270" s="140"/>
      <c r="G270" s="140"/>
      <c r="H270" s="140"/>
      <c r="I270" s="140"/>
      <c r="J270" s="140"/>
      <c r="K270" s="140"/>
      <c r="L270" s="140"/>
      <c r="M270" s="140"/>
      <c r="N270" s="140"/>
      <c r="O270" s="140"/>
      <c r="P270" s="140"/>
      <c r="Q270" s="140"/>
      <c r="R270" s="140"/>
      <c r="S270" s="140"/>
      <c r="T270" s="140"/>
      <c r="U270" s="136"/>
      <c r="V270" s="137"/>
      <c r="W270" s="137"/>
      <c r="X270" s="137"/>
      <c r="Y270" s="135"/>
      <c r="Z270" s="212">
        <f>Z271</f>
        <v>130000</v>
      </c>
      <c r="AA270" s="212">
        <v>0</v>
      </c>
      <c r="AB270" s="212">
        <v>0</v>
      </c>
      <c r="AC270" s="213"/>
    </row>
    <row r="271" spans="1:29" ht="61.5" customHeight="1" x14ac:dyDescent="0.3">
      <c r="A271" s="343" t="s">
        <v>565</v>
      </c>
      <c r="B271" s="140" t="s">
        <v>15</v>
      </c>
      <c r="C271" s="140" t="s">
        <v>138</v>
      </c>
      <c r="D271" s="140" t="s">
        <v>138</v>
      </c>
      <c r="E271" s="234" t="s">
        <v>994</v>
      </c>
      <c r="F271" s="140"/>
      <c r="G271" s="140"/>
      <c r="H271" s="140"/>
      <c r="I271" s="140"/>
      <c r="J271" s="140"/>
      <c r="K271" s="140"/>
      <c r="L271" s="140"/>
      <c r="M271" s="140"/>
      <c r="N271" s="140"/>
      <c r="O271" s="140"/>
      <c r="P271" s="140"/>
      <c r="Q271" s="140"/>
      <c r="R271" s="140"/>
      <c r="S271" s="140"/>
      <c r="T271" s="140" t="s">
        <v>275</v>
      </c>
      <c r="U271" s="136"/>
      <c r="V271" s="137"/>
      <c r="W271" s="137"/>
      <c r="X271" s="137"/>
      <c r="Y271" s="135"/>
      <c r="Z271" s="268">
        <v>130000</v>
      </c>
      <c r="AA271" s="212">
        <v>0</v>
      </c>
      <c r="AB271" s="212">
        <v>0</v>
      </c>
      <c r="AC271" s="213"/>
    </row>
    <row r="272" spans="1:29" ht="129" customHeight="1" x14ac:dyDescent="0.3">
      <c r="A272" s="153" t="s">
        <v>1278</v>
      </c>
      <c r="B272" s="234" t="s">
        <v>15</v>
      </c>
      <c r="C272" s="234" t="s">
        <v>138</v>
      </c>
      <c r="D272" s="234" t="s">
        <v>138</v>
      </c>
      <c r="E272" s="234" t="s">
        <v>582</v>
      </c>
      <c r="F272" s="234"/>
      <c r="G272" s="234"/>
      <c r="H272" s="234"/>
      <c r="I272" s="234"/>
      <c r="J272" s="234"/>
      <c r="K272" s="234"/>
      <c r="L272" s="234"/>
      <c r="M272" s="234"/>
      <c r="N272" s="234"/>
      <c r="O272" s="234"/>
      <c r="P272" s="234"/>
      <c r="Q272" s="234"/>
      <c r="R272" s="234"/>
      <c r="S272" s="234"/>
      <c r="T272" s="234"/>
      <c r="U272" s="161"/>
      <c r="V272" s="206"/>
      <c r="W272" s="206"/>
      <c r="X272" s="206"/>
      <c r="Y272" s="153" t="s">
        <v>375</v>
      </c>
      <c r="Z272" s="267">
        <f>Z273</f>
        <v>250000</v>
      </c>
      <c r="AA272" s="239">
        <f>AA273</f>
        <v>50000</v>
      </c>
      <c r="AB272" s="239">
        <f>AB273</f>
        <v>50000</v>
      </c>
      <c r="AC272" s="568" t="s">
        <v>375</v>
      </c>
    </row>
    <row r="273" spans="1:29" ht="66.75" customHeight="1" x14ac:dyDescent="0.3">
      <c r="A273" s="135" t="s">
        <v>565</v>
      </c>
      <c r="B273" s="140" t="s">
        <v>15</v>
      </c>
      <c r="C273" s="140" t="s">
        <v>138</v>
      </c>
      <c r="D273" s="140" t="s">
        <v>138</v>
      </c>
      <c r="E273" s="234" t="s">
        <v>582</v>
      </c>
      <c r="F273" s="140"/>
      <c r="G273" s="140"/>
      <c r="H273" s="140"/>
      <c r="I273" s="140"/>
      <c r="J273" s="140"/>
      <c r="K273" s="140"/>
      <c r="L273" s="140"/>
      <c r="M273" s="140"/>
      <c r="N273" s="140"/>
      <c r="O273" s="140"/>
      <c r="P273" s="140"/>
      <c r="Q273" s="140"/>
      <c r="R273" s="140"/>
      <c r="S273" s="140"/>
      <c r="T273" s="140" t="s">
        <v>275</v>
      </c>
      <c r="U273" s="136"/>
      <c r="V273" s="137"/>
      <c r="W273" s="137"/>
      <c r="X273" s="137"/>
      <c r="Y273" s="135" t="s">
        <v>376</v>
      </c>
      <c r="Z273" s="268">
        <v>250000</v>
      </c>
      <c r="AA273" s="212">
        <v>50000</v>
      </c>
      <c r="AB273" s="212">
        <v>50000</v>
      </c>
      <c r="AC273" s="213" t="s">
        <v>376</v>
      </c>
    </row>
    <row r="274" spans="1:29" ht="27.75" customHeight="1" x14ac:dyDescent="0.3">
      <c r="A274" s="159" t="s">
        <v>158</v>
      </c>
      <c r="B274" s="160" t="s">
        <v>15</v>
      </c>
      <c r="C274" s="160" t="s">
        <v>138</v>
      </c>
      <c r="D274" s="160" t="s">
        <v>127</v>
      </c>
      <c r="E274" s="160"/>
      <c r="F274" s="160"/>
      <c r="G274" s="160"/>
      <c r="H274" s="160"/>
      <c r="I274" s="160"/>
      <c r="J274" s="160"/>
      <c r="K274" s="160"/>
      <c r="L274" s="160"/>
      <c r="M274" s="160"/>
      <c r="N274" s="160"/>
      <c r="O274" s="160"/>
      <c r="P274" s="160"/>
      <c r="Q274" s="160"/>
      <c r="R274" s="160"/>
      <c r="S274" s="160"/>
      <c r="T274" s="160"/>
      <c r="U274" s="160"/>
      <c r="V274" s="214"/>
      <c r="W274" s="214"/>
      <c r="X274" s="214"/>
      <c r="Y274" s="159"/>
      <c r="Z274" s="215">
        <f>Z275</f>
        <v>89405.94</v>
      </c>
      <c r="AA274" s="215">
        <v>0</v>
      </c>
      <c r="AB274" s="215">
        <v>0</v>
      </c>
      <c r="AC274" s="292" t="s">
        <v>158</v>
      </c>
    </row>
    <row r="275" spans="1:29" ht="93" customHeight="1" x14ac:dyDescent="0.3">
      <c r="A275" s="153" t="s">
        <v>1426</v>
      </c>
      <c r="B275" s="140" t="s">
        <v>15</v>
      </c>
      <c r="C275" s="140" t="s">
        <v>138</v>
      </c>
      <c r="D275" s="140" t="s">
        <v>127</v>
      </c>
      <c r="E275" s="234" t="s">
        <v>1427</v>
      </c>
      <c r="F275" s="234"/>
      <c r="G275" s="234"/>
      <c r="H275" s="234"/>
      <c r="I275" s="234"/>
      <c r="J275" s="234"/>
      <c r="K275" s="234"/>
      <c r="L275" s="234"/>
      <c r="M275" s="234"/>
      <c r="N275" s="234"/>
      <c r="O275" s="234"/>
      <c r="P275" s="234"/>
      <c r="Q275" s="234"/>
      <c r="R275" s="234"/>
      <c r="S275" s="234"/>
      <c r="T275" s="234"/>
      <c r="U275" s="234"/>
      <c r="V275" s="278"/>
      <c r="W275" s="278"/>
      <c r="X275" s="278"/>
      <c r="Y275" s="269"/>
      <c r="Z275" s="279">
        <f>Z276</f>
        <v>89405.94</v>
      </c>
      <c r="AA275" s="277">
        <v>0</v>
      </c>
      <c r="AB275" s="239">
        <v>0</v>
      </c>
      <c r="AC275" s="568" t="s">
        <v>235</v>
      </c>
    </row>
    <row r="276" spans="1:29" ht="46.5" customHeight="1" x14ac:dyDescent="0.3">
      <c r="A276" s="154" t="s">
        <v>565</v>
      </c>
      <c r="B276" s="140" t="s">
        <v>15</v>
      </c>
      <c r="C276" s="140" t="s">
        <v>138</v>
      </c>
      <c r="D276" s="140" t="s">
        <v>127</v>
      </c>
      <c r="E276" s="234" t="s">
        <v>1427</v>
      </c>
      <c r="F276" s="140"/>
      <c r="G276" s="140"/>
      <c r="H276" s="140"/>
      <c r="I276" s="140"/>
      <c r="J276" s="140"/>
      <c r="K276" s="140"/>
      <c r="L276" s="140"/>
      <c r="M276" s="140"/>
      <c r="N276" s="140"/>
      <c r="O276" s="140"/>
      <c r="P276" s="140"/>
      <c r="Q276" s="140"/>
      <c r="R276" s="140"/>
      <c r="S276" s="140"/>
      <c r="T276" s="140" t="s">
        <v>275</v>
      </c>
      <c r="U276" s="140"/>
      <c r="V276" s="141"/>
      <c r="W276" s="141"/>
      <c r="X276" s="141"/>
      <c r="Y276" s="142"/>
      <c r="Z276" s="143">
        <v>89405.94</v>
      </c>
      <c r="AA276" s="144">
        <v>0</v>
      </c>
      <c r="AB276" s="212">
        <v>0</v>
      </c>
      <c r="AC276" s="569" t="s">
        <v>377</v>
      </c>
    </row>
    <row r="277" spans="1:29" ht="29.25" hidden="1" customHeight="1" x14ac:dyDescent="0.3">
      <c r="A277" s="154"/>
      <c r="B277" s="140"/>
      <c r="C277" s="140"/>
      <c r="D277" s="140"/>
      <c r="E277" s="234"/>
      <c r="F277" s="140"/>
      <c r="G277" s="140"/>
      <c r="H277" s="140"/>
      <c r="I277" s="140"/>
      <c r="J277" s="140"/>
      <c r="K277" s="140"/>
      <c r="L277" s="140"/>
      <c r="M277" s="140"/>
      <c r="N277" s="140"/>
      <c r="O277" s="140"/>
      <c r="P277" s="140"/>
      <c r="Q277" s="140"/>
      <c r="R277" s="140"/>
      <c r="S277" s="140"/>
      <c r="T277" s="140"/>
      <c r="U277" s="140"/>
      <c r="V277" s="141"/>
      <c r="W277" s="141"/>
      <c r="X277" s="141"/>
      <c r="Y277" s="142"/>
      <c r="Z277" s="143"/>
      <c r="AA277" s="144"/>
      <c r="AB277" s="212"/>
      <c r="AC277" s="569" t="s">
        <v>378</v>
      </c>
    </row>
    <row r="278" spans="1:29" ht="35.25" customHeight="1" x14ac:dyDescent="0.3">
      <c r="A278" s="159" t="s">
        <v>379</v>
      </c>
      <c r="B278" s="160" t="s">
        <v>15</v>
      </c>
      <c r="C278" s="160" t="s">
        <v>126</v>
      </c>
      <c r="D278" s="160" t="s">
        <v>133</v>
      </c>
      <c r="E278" s="160"/>
      <c r="F278" s="160"/>
      <c r="G278" s="160"/>
      <c r="H278" s="160"/>
      <c r="I278" s="160"/>
      <c r="J278" s="160"/>
      <c r="K278" s="160"/>
      <c r="L278" s="160"/>
      <c r="M278" s="160"/>
      <c r="N278" s="160"/>
      <c r="O278" s="160"/>
      <c r="P278" s="160"/>
      <c r="Q278" s="160"/>
      <c r="R278" s="160"/>
      <c r="S278" s="160"/>
      <c r="T278" s="160"/>
      <c r="U278" s="160"/>
      <c r="V278" s="214"/>
      <c r="W278" s="214"/>
      <c r="X278" s="214"/>
      <c r="Y278" s="159" t="s">
        <v>379</v>
      </c>
      <c r="Z278" s="215">
        <f>Z279</f>
        <v>7283183.6899999995</v>
      </c>
      <c r="AA278" s="215">
        <f>AA279</f>
        <v>1181300</v>
      </c>
      <c r="AB278" s="215">
        <f>AB279</f>
        <v>1391400</v>
      </c>
      <c r="AC278" s="292" t="s">
        <v>379</v>
      </c>
    </row>
    <row r="279" spans="1:29" ht="24" customHeight="1" x14ac:dyDescent="0.3">
      <c r="A279" s="159" t="s">
        <v>159</v>
      </c>
      <c r="B279" s="160" t="s">
        <v>15</v>
      </c>
      <c r="C279" s="160" t="s">
        <v>126</v>
      </c>
      <c r="D279" s="160" t="s">
        <v>122</v>
      </c>
      <c r="E279" s="160"/>
      <c r="F279" s="160"/>
      <c r="G279" s="160"/>
      <c r="H279" s="160"/>
      <c r="I279" s="160"/>
      <c r="J279" s="160"/>
      <c r="K279" s="160"/>
      <c r="L279" s="160"/>
      <c r="M279" s="160"/>
      <c r="N279" s="160"/>
      <c r="O279" s="160"/>
      <c r="P279" s="160"/>
      <c r="Q279" s="160"/>
      <c r="R279" s="160"/>
      <c r="S279" s="160"/>
      <c r="T279" s="160"/>
      <c r="U279" s="160"/>
      <c r="V279" s="214"/>
      <c r="W279" s="214"/>
      <c r="X279" s="214"/>
      <c r="Y279" s="159" t="s">
        <v>159</v>
      </c>
      <c r="Z279" s="215">
        <f>Z280+Z284+Z288+Z290+Z294+Z292+Z282+Z286</f>
        <v>7283183.6899999995</v>
      </c>
      <c r="AA279" s="215">
        <f>AA280+AA284+AA288+AA290+AA294+AA286</f>
        <v>1181300</v>
      </c>
      <c r="AB279" s="215">
        <f>AB280+AB284+AB288+AB290+AB294+AB286</f>
        <v>1391400</v>
      </c>
      <c r="AC279" s="292" t="s">
        <v>159</v>
      </c>
    </row>
    <row r="280" spans="1:29" ht="78.75" hidden="1" customHeight="1" x14ac:dyDescent="0.3">
      <c r="A280" s="153" t="s">
        <v>583</v>
      </c>
      <c r="B280" s="234" t="s">
        <v>15</v>
      </c>
      <c r="C280" s="234" t="s">
        <v>126</v>
      </c>
      <c r="D280" s="234" t="s">
        <v>122</v>
      </c>
      <c r="E280" s="234" t="s">
        <v>584</v>
      </c>
      <c r="F280" s="234"/>
      <c r="G280" s="234"/>
      <c r="H280" s="234"/>
      <c r="I280" s="234"/>
      <c r="J280" s="234"/>
      <c r="K280" s="234"/>
      <c r="L280" s="234"/>
      <c r="M280" s="234"/>
      <c r="N280" s="234"/>
      <c r="O280" s="234"/>
      <c r="P280" s="234"/>
      <c r="Q280" s="234"/>
      <c r="R280" s="234"/>
      <c r="S280" s="234"/>
      <c r="T280" s="234"/>
      <c r="U280" s="161"/>
      <c r="V280" s="206"/>
      <c r="W280" s="206"/>
      <c r="X280" s="206"/>
      <c r="Y280" s="153" t="s">
        <v>380</v>
      </c>
      <c r="Z280" s="239">
        <f>Z281</f>
        <v>0</v>
      </c>
      <c r="AA280" s="239">
        <f>AA281</f>
        <v>0</v>
      </c>
      <c r="AB280" s="239">
        <f>AB281</f>
        <v>0</v>
      </c>
      <c r="AC280" s="568" t="s">
        <v>380</v>
      </c>
    </row>
    <row r="281" spans="1:29" ht="0.75" hidden="1" customHeight="1" x14ac:dyDescent="0.3">
      <c r="A281" s="135" t="s">
        <v>381</v>
      </c>
      <c r="B281" s="140" t="s">
        <v>15</v>
      </c>
      <c r="C281" s="140" t="s">
        <v>126</v>
      </c>
      <c r="D281" s="140" t="s">
        <v>122</v>
      </c>
      <c r="E281" s="234" t="s">
        <v>584</v>
      </c>
      <c r="F281" s="140"/>
      <c r="G281" s="140"/>
      <c r="H281" s="140"/>
      <c r="I281" s="140"/>
      <c r="J281" s="140"/>
      <c r="K281" s="140"/>
      <c r="L281" s="140"/>
      <c r="M281" s="140"/>
      <c r="N281" s="140"/>
      <c r="O281" s="140"/>
      <c r="P281" s="140"/>
      <c r="Q281" s="140"/>
      <c r="R281" s="140"/>
      <c r="S281" s="140"/>
      <c r="T281" s="140" t="s">
        <v>275</v>
      </c>
      <c r="U281" s="136"/>
      <c r="V281" s="137"/>
      <c r="W281" s="137"/>
      <c r="X281" s="137"/>
      <c r="Y281" s="135" t="s">
        <v>381</v>
      </c>
      <c r="Z281" s="212">
        <v>0</v>
      </c>
      <c r="AA281" s="212">
        <v>0</v>
      </c>
      <c r="AB281" s="212">
        <v>0</v>
      </c>
      <c r="AC281" s="213" t="s">
        <v>381</v>
      </c>
    </row>
    <row r="282" spans="1:29" ht="149.25" hidden="1" customHeight="1" x14ac:dyDescent="0.3">
      <c r="A282" s="492" t="s">
        <v>1041</v>
      </c>
      <c r="B282" s="140" t="s">
        <v>15</v>
      </c>
      <c r="C282" s="140" t="s">
        <v>126</v>
      </c>
      <c r="D282" s="140" t="s">
        <v>122</v>
      </c>
      <c r="E282" s="234" t="s">
        <v>1043</v>
      </c>
      <c r="F282" s="140"/>
      <c r="G282" s="140"/>
      <c r="H282" s="140"/>
      <c r="I282" s="140"/>
      <c r="J282" s="140"/>
      <c r="K282" s="140"/>
      <c r="L282" s="140"/>
      <c r="M282" s="140"/>
      <c r="N282" s="140"/>
      <c r="O282" s="140"/>
      <c r="P282" s="140"/>
      <c r="Q282" s="140"/>
      <c r="R282" s="140"/>
      <c r="S282" s="140"/>
      <c r="T282" s="140"/>
      <c r="U282" s="136"/>
      <c r="V282" s="137"/>
      <c r="W282" s="137"/>
      <c r="X282" s="137"/>
      <c r="Y282" s="135"/>
      <c r="Z282" s="212">
        <f>Z283</f>
        <v>0</v>
      </c>
      <c r="AA282" s="212">
        <v>0</v>
      </c>
      <c r="AB282" s="212">
        <v>0</v>
      </c>
      <c r="AC282" s="213"/>
    </row>
    <row r="283" spans="1:29" ht="123.75" hidden="1" customHeight="1" x14ac:dyDescent="0.3">
      <c r="A283" s="135" t="s">
        <v>1042</v>
      </c>
      <c r="B283" s="140" t="s">
        <v>15</v>
      </c>
      <c r="C283" s="140" t="s">
        <v>126</v>
      </c>
      <c r="D283" s="140" t="s">
        <v>122</v>
      </c>
      <c r="E283" s="234" t="s">
        <v>1043</v>
      </c>
      <c r="F283" s="140"/>
      <c r="G283" s="140"/>
      <c r="H283" s="140"/>
      <c r="I283" s="140"/>
      <c r="J283" s="140"/>
      <c r="K283" s="140"/>
      <c r="L283" s="140"/>
      <c r="M283" s="140"/>
      <c r="N283" s="140"/>
      <c r="O283" s="140"/>
      <c r="P283" s="140"/>
      <c r="Q283" s="140"/>
      <c r="R283" s="140"/>
      <c r="S283" s="140"/>
      <c r="T283" s="140" t="s">
        <v>275</v>
      </c>
      <c r="U283" s="136"/>
      <c r="V283" s="137"/>
      <c r="W283" s="137"/>
      <c r="X283" s="137"/>
      <c r="Y283" s="135"/>
      <c r="Z283" s="212">
        <v>0</v>
      </c>
      <c r="AA283" s="212">
        <v>0</v>
      </c>
      <c r="AB283" s="212">
        <v>0</v>
      </c>
      <c r="AC283" s="213"/>
    </row>
    <row r="284" spans="1:29" ht="130.5" customHeight="1" x14ac:dyDescent="0.3">
      <c r="A284" s="153" t="s">
        <v>1284</v>
      </c>
      <c r="B284" s="234" t="s">
        <v>15</v>
      </c>
      <c r="C284" s="234" t="s">
        <v>126</v>
      </c>
      <c r="D284" s="234" t="s">
        <v>122</v>
      </c>
      <c r="E284" s="234" t="s">
        <v>585</v>
      </c>
      <c r="F284" s="234"/>
      <c r="G284" s="234"/>
      <c r="H284" s="234"/>
      <c r="I284" s="234"/>
      <c r="J284" s="234"/>
      <c r="K284" s="234"/>
      <c r="L284" s="234"/>
      <c r="M284" s="234"/>
      <c r="N284" s="234"/>
      <c r="O284" s="234"/>
      <c r="P284" s="234"/>
      <c r="Q284" s="234"/>
      <c r="R284" s="234"/>
      <c r="S284" s="234"/>
      <c r="T284" s="234"/>
      <c r="U284" s="161"/>
      <c r="V284" s="206"/>
      <c r="W284" s="206"/>
      <c r="X284" s="206"/>
      <c r="Y284" s="153" t="s">
        <v>380</v>
      </c>
      <c r="Z284" s="239">
        <f>Z285</f>
        <v>600000</v>
      </c>
      <c r="AA284" s="239">
        <f>AA285</f>
        <v>50000</v>
      </c>
      <c r="AB284" s="239">
        <f>AB285</f>
        <v>50000</v>
      </c>
      <c r="AC284" s="568" t="s">
        <v>380</v>
      </c>
    </row>
    <row r="285" spans="1:29" ht="62.25" customHeight="1" x14ac:dyDescent="0.3">
      <c r="A285" s="135" t="s">
        <v>565</v>
      </c>
      <c r="B285" s="140" t="s">
        <v>15</v>
      </c>
      <c r="C285" s="140" t="s">
        <v>126</v>
      </c>
      <c r="D285" s="140" t="s">
        <v>122</v>
      </c>
      <c r="E285" s="234" t="s">
        <v>585</v>
      </c>
      <c r="F285" s="140"/>
      <c r="G285" s="140"/>
      <c r="H285" s="140"/>
      <c r="I285" s="140"/>
      <c r="J285" s="140"/>
      <c r="K285" s="140"/>
      <c r="L285" s="140"/>
      <c r="M285" s="140"/>
      <c r="N285" s="140"/>
      <c r="O285" s="140"/>
      <c r="P285" s="140"/>
      <c r="Q285" s="140"/>
      <c r="R285" s="140"/>
      <c r="S285" s="140"/>
      <c r="T285" s="140" t="s">
        <v>275</v>
      </c>
      <c r="U285" s="136"/>
      <c r="V285" s="137"/>
      <c r="W285" s="137"/>
      <c r="X285" s="137"/>
      <c r="Y285" s="135" t="s">
        <v>381</v>
      </c>
      <c r="Z285" s="268">
        <v>600000</v>
      </c>
      <c r="AA285" s="212">
        <v>50000</v>
      </c>
      <c r="AB285" s="212">
        <v>50000</v>
      </c>
      <c r="AC285" s="213" t="s">
        <v>381</v>
      </c>
    </row>
    <row r="286" spans="1:29" ht="131.25" customHeight="1" x14ac:dyDescent="0.3">
      <c r="A286" s="153" t="s">
        <v>1384</v>
      </c>
      <c r="B286" s="140" t="s">
        <v>15</v>
      </c>
      <c r="C286" s="140" t="s">
        <v>126</v>
      </c>
      <c r="D286" s="140" t="s">
        <v>122</v>
      </c>
      <c r="E286" s="234" t="s">
        <v>1385</v>
      </c>
      <c r="F286" s="140"/>
      <c r="G286" s="140"/>
      <c r="H286" s="140"/>
      <c r="I286" s="140"/>
      <c r="J286" s="140"/>
      <c r="K286" s="140"/>
      <c r="L286" s="140"/>
      <c r="M286" s="140"/>
      <c r="N286" s="140"/>
      <c r="O286" s="140"/>
      <c r="P286" s="140"/>
      <c r="Q286" s="140"/>
      <c r="R286" s="140"/>
      <c r="S286" s="140"/>
      <c r="T286" s="140"/>
      <c r="U286" s="136"/>
      <c r="V286" s="137"/>
      <c r="W286" s="137"/>
      <c r="X286" s="137"/>
      <c r="Y286" s="135"/>
      <c r="Z286" s="268">
        <f>Z287</f>
        <v>5900000</v>
      </c>
      <c r="AA286" s="212">
        <f>AA287</f>
        <v>631300</v>
      </c>
      <c r="AB286" s="212">
        <f>AB287</f>
        <v>841400</v>
      </c>
      <c r="AC286" s="213"/>
    </row>
    <row r="287" spans="1:29" ht="62.25" customHeight="1" x14ac:dyDescent="0.3">
      <c r="A287" s="135" t="s">
        <v>565</v>
      </c>
      <c r="B287" s="140" t="s">
        <v>15</v>
      </c>
      <c r="C287" s="140" t="s">
        <v>126</v>
      </c>
      <c r="D287" s="140" t="s">
        <v>122</v>
      </c>
      <c r="E287" s="234" t="s">
        <v>1385</v>
      </c>
      <c r="F287" s="140"/>
      <c r="G287" s="140"/>
      <c r="H287" s="140"/>
      <c r="I287" s="140"/>
      <c r="J287" s="140"/>
      <c r="K287" s="140"/>
      <c r="L287" s="140"/>
      <c r="M287" s="140"/>
      <c r="N287" s="140"/>
      <c r="O287" s="140"/>
      <c r="P287" s="140"/>
      <c r="Q287" s="140"/>
      <c r="R287" s="140"/>
      <c r="S287" s="140"/>
      <c r="T287" s="140" t="s">
        <v>275</v>
      </c>
      <c r="U287" s="136"/>
      <c r="V287" s="137"/>
      <c r="W287" s="137"/>
      <c r="X287" s="137"/>
      <c r="Y287" s="135"/>
      <c r="Z287" s="268">
        <v>5900000</v>
      </c>
      <c r="AA287" s="212">
        <v>631300</v>
      </c>
      <c r="AB287" s="212">
        <v>841400</v>
      </c>
      <c r="AC287" s="213"/>
    </row>
    <row r="288" spans="1:29" ht="176.25" customHeight="1" x14ac:dyDescent="0.3">
      <c r="A288" s="153" t="s">
        <v>1285</v>
      </c>
      <c r="B288" s="234" t="s">
        <v>15</v>
      </c>
      <c r="C288" s="234" t="s">
        <v>126</v>
      </c>
      <c r="D288" s="234" t="s">
        <v>122</v>
      </c>
      <c r="E288" s="234" t="s">
        <v>586</v>
      </c>
      <c r="F288" s="234"/>
      <c r="G288" s="234"/>
      <c r="H288" s="234"/>
      <c r="I288" s="234"/>
      <c r="J288" s="234"/>
      <c r="K288" s="234"/>
      <c r="L288" s="234"/>
      <c r="M288" s="234"/>
      <c r="N288" s="234"/>
      <c r="O288" s="234"/>
      <c r="P288" s="234"/>
      <c r="Q288" s="234"/>
      <c r="R288" s="234"/>
      <c r="S288" s="234"/>
      <c r="T288" s="234"/>
      <c r="U288" s="161"/>
      <c r="V288" s="206"/>
      <c r="W288" s="206"/>
      <c r="X288" s="206"/>
      <c r="Y288" s="153" t="s">
        <v>382</v>
      </c>
      <c r="Z288" s="239">
        <f>Z289</f>
        <v>533183.68999999994</v>
      </c>
      <c r="AA288" s="239">
        <f>AA289</f>
        <v>100000</v>
      </c>
      <c r="AB288" s="239">
        <f>AB289</f>
        <v>100000</v>
      </c>
      <c r="AC288" s="568" t="s">
        <v>382</v>
      </c>
    </row>
    <row r="289" spans="1:29" ht="60.75" customHeight="1" x14ac:dyDescent="0.3">
      <c r="A289" s="900" t="s">
        <v>565</v>
      </c>
      <c r="B289" s="707" t="s">
        <v>15</v>
      </c>
      <c r="C289" s="707" t="s">
        <v>126</v>
      </c>
      <c r="D289" s="707" t="s">
        <v>122</v>
      </c>
      <c r="E289" s="706" t="s">
        <v>586</v>
      </c>
      <c r="F289" s="707"/>
      <c r="G289" s="707"/>
      <c r="H289" s="707"/>
      <c r="I289" s="707"/>
      <c r="J289" s="707"/>
      <c r="K289" s="707"/>
      <c r="L289" s="707"/>
      <c r="M289" s="707"/>
      <c r="N289" s="707"/>
      <c r="O289" s="707"/>
      <c r="P289" s="707"/>
      <c r="Q289" s="707"/>
      <c r="R289" s="707"/>
      <c r="S289" s="707"/>
      <c r="T289" s="707" t="s">
        <v>275</v>
      </c>
      <c r="U289" s="901"/>
      <c r="V289" s="902"/>
      <c r="W289" s="902"/>
      <c r="X289" s="902"/>
      <c r="Y289" s="900" t="s">
        <v>383</v>
      </c>
      <c r="Z289" s="903">
        <f>1150000+1300000-89000-200000-666359+450000.69-450000-961458</f>
        <v>533183.68999999994</v>
      </c>
      <c r="AA289" s="212">
        <v>100000</v>
      </c>
      <c r="AB289" s="212">
        <v>100000</v>
      </c>
      <c r="AC289" s="213" t="s">
        <v>383</v>
      </c>
    </row>
    <row r="290" spans="1:29" ht="0.75" hidden="1" customHeight="1" x14ac:dyDescent="0.3">
      <c r="A290" s="153" t="s">
        <v>587</v>
      </c>
      <c r="B290" s="234" t="s">
        <v>15</v>
      </c>
      <c r="C290" s="234" t="s">
        <v>126</v>
      </c>
      <c r="D290" s="234" t="s">
        <v>122</v>
      </c>
      <c r="E290" s="234" t="s">
        <v>588</v>
      </c>
      <c r="F290" s="234"/>
      <c r="G290" s="234"/>
      <c r="H290" s="234"/>
      <c r="I290" s="234"/>
      <c r="J290" s="234"/>
      <c r="K290" s="234"/>
      <c r="L290" s="234"/>
      <c r="M290" s="234"/>
      <c r="N290" s="234"/>
      <c r="O290" s="234"/>
      <c r="P290" s="234"/>
      <c r="Q290" s="234"/>
      <c r="R290" s="234"/>
      <c r="S290" s="234"/>
      <c r="T290" s="234"/>
      <c r="U290" s="161"/>
      <c r="V290" s="206"/>
      <c r="W290" s="206"/>
      <c r="X290" s="206"/>
      <c r="Y290" s="153" t="s">
        <v>384</v>
      </c>
      <c r="Z290" s="239">
        <f>Z291</f>
        <v>0</v>
      </c>
      <c r="AA290" s="239">
        <f>AA291</f>
        <v>0</v>
      </c>
      <c r="AB290" s="239">
        <f>AB291</f>
        <v>0</v>
      </c>
      <c r="AC290" s="568" t="s">
        <v>384</v>
      </c>
    </row>
    <row r="291" spans="1:29" ht="43.5" hidden="1" customHeight="1" x14ac:dyDescent="0.3">
      <c r="A291" s="135" t="s">
        <v>736</v>
      </c>
      <c r="B291" s="140" t="s">
        <v>15</v>
      </c>
      <c r="C291" s="140" t="s">
        <v>126</v>
      </c>
      <c r="D291" s="140" t="s">
        <v>122</v>
      </c>
      <c r="E291" s="234" t="s">
        <v>588</v>
      </c>
      <c r="F291" s="140"/>
      <c r="G291" s="140"/>
      <c r="H291" s="140"/>
      <c r="I291" s="140"/>
      <c r="J291" s="140"/>
      <c r="K291" s="140"/>
      <c r="L291" s="140"/>
      <c r="M291" s="140"/>
      <c r="N291" s="140"/>
      <c r="O291" s="140"/>
      <c r="P291" s="140"/>
      <c r="Q291" s="140"/>
      <c r="R291" s="140"/>
      <c r="S291" s="140"/>
      <c r="T291" s="140" t="s">
        <v>350</v>
      </c>
      <c r="U291" s="136"/>
      <c r="V291" s="137"/>
      <c r="W291" s="137"/>
      <c r="X291" s="137"/>
      <c r="Y291" s="135" t="s">
        <v>385</v>
      </c>
      <c r="Z291" s="212">
        <v>0</v>
      </c>
      <c r="AA291" s="212">
        <v>0</v>
      </c>
      <c r="AB291" s="212">
        <v>0</v>
      </c>
      <c r="AC291" s="213" t="s">
        <v>385</v>
      </c>
    </row>
    <row r="292" spans="1:29" ht="164.25" hidden="1" customHeight="1" x14ac:dyDescent="0.3">
      <c r="A292" s="295" t="s">
        <v>986</v>
      </c>
      <c r="B292" s="140" t="s">
        <v>15</v>
      </c>
      <c r="C292" s="140" t="s">
        <v>126</v>
      </c>
      <c r="D292" s="140" t="s">
        <v>122</v>
      </c>
      <c r="E292" s="234" t="s">
        <v>988</v>
      </c>
      <c r="F292" s="140"/>
      <c r="G292" s="140"/>
      <c r="H292" s="140"/>
      <c r="I292" s="140"/>
      <c r="J292" s="140"/>
      <c r="K292" s="140"/>
      <c r="L292" s="140"/>
      <c r="M292" s="140"/>
      <c r="N292" s="140"/>
      <c r="O292" s="140"/>
      <c r="P292" s="140"/>
      <c r="Q292" s="140"/>
      <c r="R292" s="140"/>
      <c r="S292" s="140"/>
      <c r="T292" s="140"/>
      <c r="U292" s="136"/>
      <c r="V292" s="137"/>
      <c r="W292" s="137"/>
      <c r="X292" s="137"/>
      <c r="Y292" s="135"/>
      <c r="Z292" s="212">
        <f>Z293</f>
        <v>0</v>
      </c>
      <c r="AA292" s="212">
        <v>0</v>
      </c>
      <c r="AB292" s="212">
        <v>0</v>
      </c>
      <c r="AC292" s="213"/>
    </row>
    <row r="293" spans="1:29" ht="105.75" hidden="1" customHeight="1" x14ac:dyDescent="0.3">
      <c r="A293" s="343" t="s">
        <v>987</v>
      </c>
      <c r="B293" s="140" t="s">
        <v>15</v>
      </c>
      <c r="C293" s="140" t="s">
        <v>126</v>
      </c>
      <c r="D293" s="140" t="s">
        <v>122</v>
      </c>
      <c r="E293" s="234" t="s">
        <v>988</v>
      </c>
      <c r="F293" s="140"/>
      <c r="G293" s="140"/>
      <c r="H293" s="140"/>
      <c r="I293" s="140"/>
      <c r="J293" s="140"/>
      <c r="K293" s="140"/>
      <c r="L293" s="140"/>
      <c r="M293" s="140"/>
      <c r="N293" s="140"/>
      <c r="O293" s="140"/>
      <c r="P293" s="140"/>
      <c r="Q293" s="140"/>
      <c r="R293" s="140"/>
      <c r="S293" s="140"/>
      <c r="T293" s="140" t="s">
        <v>275</v>
      </c>
      <c r="U293" s="136"/>
      <c r="V293" s="137"/>
      <c r="W293" s="137"/>
      <c r="X293" s="137"/>
      <c r="Y293" s="135"/>
      <c r="Z293" s="212">
        <v>0</v>
      </c>
      <c r="AA293" s="212">
        <v>0</v>
      </c>
      <c r="AB293" s="212">
        <v>0</v>
      </c>
      <c r="AC293" s="213"/>
    </row>
    <row r="294" spans="1:29" ht="89.25" customHeight="1" x14ac:dyDescent="0.3">
      <c r="A294" s="153" t="s">
        <v>242</v>
      </c>
      <c r="B294" s="234" t="s">
        <v>15</v>
      </c>
      <c r="C294" s="234" t="s">
        <v>126</v>
      </c>
      <c r="D294" s="234" t="s">
        <v>122</v>
      </c>
      <c r="E294" s="234" t="s">
        <v>589</v>
      </c>
      <c r="F294" s="234"/>
      <c r="G294" s="234"/>
      <c r="H294" s="234"/>
      <c r="I294" s="234"/>
      <c r="J294" s="234"/>
      <c r="K294" s="234"/>
      <c r="L294" s="234"/>
      <c r="M294" s="234"/>
      <c r="N294" s="234"/>
      <c r="O294" s="234"/>
      <c r="P294" s="234"/>
      <c r="Q294" s="234"/>
      <c r="R294" s="234"/>
      <c r="S294" s="234"/>
      <c r="T294" s="234"/>
      <c r="U294" s="161"/>
      <c r="V294" s="206"/>
      <c r="W294" s="206"/>
      <c r="X294" s="206"/>
      <c r="Y294" s="153" t="s">
        <v>242</v>
      </c>
      <c r="Z294" s="239">
        <f>Z295</f>
        <v>250000</v>
      </c>
      <c r="AA294" s="239">
        <f>AA295</f>
        <v>400000</v>
      </c>
      <c r="AB294" s="239">
        <f>AB295</f>
        <v>400000</v>
      </c>
      <c r="AC294" s="568" t="s">
        <v>242</v>
      </c>
    </row>
    <row r="295" spans="1:29" ht="67.5" customHeight="1" x14ac:dyDescent="0.3">
      <c r="A295" s="135" t="s">
        <v>565</v>
      </c>
      <c r="B295" s="140" t="s">
        <v>15</v>
      </c>
      <c r="C295" s="140" t="s">
        <v>126</v>
      </c>
      <c r="D295" s="140" t="s">
        <v>122</v>
      </c>
      <c r="E295" s="234" t="s">
        <v>589</v>
      </c>
      <c r="F295" s="140"/>
      <c r="G295" s="140"/>
      <c r="H295" s="140"/>
      <c r="I295" s="140"/>
      <c r="J295" s="140"/>
      <c r="K295" s="140"/>
      <c r="L295" s="140"/>
      <c r="M295" s="140"/>
      <c r="N295" s="140"/>
      <c r="O295" s="140"/>
      <c r="P295" s="140"/>
      <c r="Q295" s="140"/>
      <c r="R295" s="140"/>
      <c r="S295" s="140"/>
      <c r="T295" s="140" t="s">
        <v>275</v>
      </c>
      <c r="U295" s="136"/>
      <c r="V295" s="137"/>
      <c r="W295" s="137"/>
      <c r="X295" s="137"/>
      <c r="Y295" s="135" t="s">
        <v>386</v>
      </c>
      <c r="Z295" s="212">
        <f>400000-150000</f>
        <v>250000</v>
      </c>
      <c r="AA295" s="212">
        <v>400000</v>
      </c>
      <c r="AB295" s="212">
        <v>400000</v>
      </c>
      <c r="AC295" s="213" t="s">
        <v>386</v>
      </c>
    </row>
    <row r="296" spans="1:29" ht="79.5" hidden="1" customHeight="1" x14ac:dyDescent="0.3">
      <c r="A296" s="159"/>
      <c r="B296" s="160"/>
      <c r="C296" s="160"/>
      <c r="D296" s="160"/>
      <c r="E296" s="160"/>
      <c r="F296" s="160"/>
      <c r="G296" s="160"/>
      <c r="H296" s="160"/>
      <c r="I296" s="160"/>
      <c r="J296" s="160"/>
      <c r="K296" s="160"/>
      <c r="L296" s="160"/>
      <c r="M296" s="160"/>
      <c r="N296" s="160"/>
      <c r="O296" s="160"/>
      <c r="P296" s="160"/>
      <c r="Q296" s="160"/>
      <c r="R296" s="160"/>
      <c r="S296" s="160"/>
      <c r="T296" s="160"/>
      <c r="U296" s="160"/>
      <c r="V296" s="214"/>
      <c r="W296" s="214"/>
      <c r="X296" s="214"/>
      <c r="Y296" s="159"/>
      <c r="Z296" s="215"/>
      <c r="AA296" s="215"/>
      <c r="AB296" s="215"/>
      <c r="AC296" s="292" t="s">
        <v>387</v>
      </c>
    </row>
    <row r="297" spans="1:29" ht="79.5" hidden="1" customHeight="1" x14ac:dyDescent="0.3">
      <c r="A297" s="159"/>
      <c r="B297" s="160"/>
      <c r="C297" s="160"/>
      <c r="D297" s="160"/>
      <c r="E297" s="160"/>
      <c r="F297" s="160"/>
      <c r="G297" s="160"/>
      <c r="H297" s="160"/>
      <c r="I297" s="160"/>
      <c r="J297" s="160"/>
      <c r="K297" s="160"/>
      <c r="L297" s="160"/>
      <c r="M297" s="160"/>
      <c r="N297" s="160"/>
      <c r="O297" s="160"/>
      <c r="P297" s="160"/>
      <c r="Q297" s="160"/>
      <c r="R297" s="160"/>
      <c r="S297" s="160"/>
      <c r="T297" s="160"/>
      <c r="U297" s="160"/>
      <c r="V297" s="214"/>
      <c r="W297" s="214"/>
      <c r="X297" s="214"/>
      <c r="Y297" s="159"/>
      <c r="Z297" s="215"/>
      <c r="AA297" s="215"/>
      <c r="AB297" s="215"/>
      <c r="AC297" s="292" t="s">
        <v>161</v>
      </c>
    </row>
    <row r="298" spans="1:29" ht="79.5" hidden="1" customHeight="1" x14ac:dyDescent="0.3">
      <c r="A298" s="155"/>
      <c r="B298" s="234"/>
      <c r="C298" s="234"/>
      <c r="D298" s="234"/>
      <c r="E298" s="234"/>
      <c r="F298" s="234"/>
      <c r="G298" s="234"/>
      <c r="H298" s="234"/>
      <c r="I298" s="234"/>
      <c r="J298" s="234"/>
      <c r="K298" s="234"/>
      <c r="L298" s="234"/>
      <c r="M298" s="234"/>
      <c r="N298" s="234"/>
      <c r="O298" s="234"/>
      <c r="P298" s="234"/>
      <c r="Q298" s="234"/>
      <c r="R298" s="234"/>
      <c r="S298" s="234"/>
      <c r="T298" s="234"/>
      <c r="U298" s="161"/>
      <c r="V298" s="206"/>
      <c r="W298" s="206"/>
      <c r="X298" s="206"/>
      <c r="Y298" s="155"/>
      <c r="Z298" s="239"/>
      <c r="AA298" s="239"/>
      <c r="AB298" s="239"/>
      <c r="AC298" s="573" t="s">
        <v>227</v>
      </c>
    </row>
    <row r="299" spans="1:29" ht="79.5" hidden="1" customHeight="1" x14ac:dyDescent="0.3">
      <c r="A299" s="154"/>
      <c r="B299" s="140"/>
      <c r="C299" s="140"/>
      <c r="D299" s="140"/>
      <c r="E299" s="234"/>
      <c r="F299" s="140"/>
      <c r="G299" s="140"/>
      <c r="H299" s="140"/>
      <c r="I299" s="140"/>
      <c r="J299" s="140"/>
      <c r="K299" s="140"/>
      <c r="L299" s="140"/>
      <c r="M299" s="140"/>
      <c r="N299" s="140"/>
      <c r="O299" s="140"/>
      <c r="P299" s="140"/>
      <c r="Q299" s="140"/>
      <c r="R299" s="140"/>
      <c r="S299" s="140"/>
      <c r="T299" s="140"/>
      <c r="U299" s="136"/>
      <c r="V299" s="137"/>
      <c r="W299" s="137"/>
      <c r="X299" s="137"/>
      <c r="Y299" s="154"/>
      <c r="Z299" s="212"/>
      <c r="AA299" s="212"/>
      <c r="AB299" s="212"/>
      <c r="AC299" s="569" t="s">
        <v>388</v>
      </c>
    </row>
    <row r="300" spans="1:29" ht="79.5" hidden="1" customHeight="1" x14ac:dyDescent="0.3">
      <c r="A300" s="154"/>
      <c r="B300" s="140"/>
      <c r="C300" s="140"/>
      <c r="D300" s="140"/>
      <c r="E300" s="234"/>
      <c r="F300" s="140"/>
      <c r="G300" s="140"/>
      <c r="H300" s="140"/>
      <c r="I300" s="140"/>
      <c r="J300" s="140"/>
      <c r="K300" s="140"/>
      <c r="L300" s="140"/>
      <c r="M300" s="140"/>
      <c r="N300" s="140"/>
      <c r="O300" s="140"/>
      <c r="P300" s="140"/>
      <c r="Q300" s="140"/>
      <c r="R300" s="140"/>
      <c r="S300" s="140"/>
      <c r="T300" s="140"/>
      <c r="U300" s="136"/>
      <c r="V300" s="137"/>
      <c r="W300" s="137"/>
      <c r="X300" s="137"/>
      <c r="Y300" s="154"/>
      <c r="Z300" s="212"/>
      <c r="AA300" s="212"/>
      <c r="AB300" s="212"/>
      <c r="AC300" s="569" t="s">
        <v>389</v>
      </c>
    </row>
    <row r="301" spans="1:29" ht="27.75" customHeight="1" x14ac:dyDescent="0.3">
      <c r="A301" s="159" t="s">
        <v>390</v>
      </c>
      <c r="B301" s="160" t="s">
        <v>15</v>
      </c>
      <c r="C301" s="160" t="s">
        <v>143</v>
      </c>
      <c r="D301" s="160" t="s">
        <v>133</v>
      </c>
      <c r="E301" s="160"/>
      <c r="F301" s="160"/>
      <c r="G301" s="160"/>
      <c r="H301" s="160"/>
      <c r="I301" s="160"/>
      <c r="J301" s="160"/>
      <c r="K301" s="160"/>
      <c r="L301" s="160"/>
      <c r="M301" s="160"/>
      <c r="N301" s="160"/>
      <c r="O301" s="160"/>
      <c r="P301" s="160"/>
      <c r="Q301" s="160"/>
      <c r="R301" s="160"/>
      <c r="S301" s="160"/>
      <c r="T301" s="160"/>
      <c r="U301" s="160"/>
      <c r="V301" s="214"/>
      <c r="W301" s="214"/>
      <c r="X301" s="214"/>
      <c r="Y301" s="159" t="s">
        <v>390</v>
      </c>
      <c r="Z301" s="215">
        <f>Z302+Z307+Z323</f>
        <v>12866772.939999999</v>
      </c>
      <c r="AA301" s="215">
        <f>AA302+AA307+AA323</f>
        <v>7375415.3799999999</v>
      </c>
      <c r="AB301" s="215">
        <f>AB302+AB307+AB323</f>
        <v>7375415.3799999999</v>
      </c>
      <c r="AC301" s="292" t="s">
        <v>390</v>
      </c>
    </row>
    <row r="302" spans="1:29" ht="18.600000000000001" customHeight="1" x14ac:dyDescent="0.3">
      <c r="A302" s="159" t="s">
        <v>162</v>
      </c>
      <c r="B302" s="160" t="s">
        <v>15</v>
      </c>
      <c r="C302" s="160" t="s">
        <v>143</v>
      </c>
      <c r="D302" s="160" t="s">
        <v>122</v>
      </c>
      <c r="E302" s="160"/>
      <c r="F302" s="160"/>
      <c r="G302" s="160"/>
      <c r="H302" s="160"/>
      <c r="I302" s="160"/>
      <c r="J302" s="160"/>
      <c r="K302" s="160"/>
      <c r="L302" s="160"/>
      <c r="M302" s="160"/>
      <c r="N302" s="160"/>
      <c r="O302" s="160"/>
      <c r="P302" s="160"/>
      <c r="Q302" s="160"/>
      <c r="R302" s="160"/>
      <c r="S302" s="160"/>
      <c r="T302" s="160"/>
      <c r="U302" s="160"/>
      <c r="V302" s="214"/>
      <c r="W302" s="214"/>
      <c r="X302" s="214"/>
      <c r="Y302" s="159" t="s">
        <v>162</v>
      </c>
      <c r="Z302" s="215">
        <f>Z303+Z305</f>
        <v>1758615.38</v>
      </c>
      <c r="AA302" s="215">
        <f>AA303+AA305</f>
        <v>1758615.38</v>
      </c>
      <c r="AB302" s="215">
        <f>AB303+AB305</f>
        <v>1758615.38</v>
      </c>
      <c r="AC302" s="292" t="s">
        <v>162</v>
      </c>
    </row>
    <row r="303" spans="1:29" ht="96" customHeight="1" x14ac:dyDescent="0.3">
      <c r="A303" s="153" t="s">
        <v>391</v>
      </c>
      <c r="B303" s="161" t="s">
        <v>15</v>
      </c>
      <c r="C303" s="161" t="s">
        <v>143</v>
      </c>
      <c r="D303" s="161" t="s">
        <v>122</v>
      </c>
      <c r="E303" s="234" t="s">
        <v>607</v>
      </c>
      <c r="F303" s="161"/>
      <c r="G303" s="161"/>
      <c r="H303" s="161"/>
      <c r="I303" s="161"/>
      <c r="J303" s="161"/>
      <c r="K303" s="161"/>
      <c r="L303" s="161"/>
      <c r="M303" s="161"/>
      <c r="N303" s="161"/>
      <c r="O303" s="161"/>
      <c r="P303" s="161"/>
      <c r="Q303" s="161"/>
      <c r="R303" s="161"/>
      <c r="S303" s="161"/>
      <c r="T303" s="161"/>
      <c r="U303" s="161"/>
      <c r="V303" s="206"/>
      <c r="W303" s="206"/>
      <c r="X303" s="206"/>
      <c r="Y303" s="153" t="s">
        <v>391</v>
      </c>
      <c r="Z303" s="239">
        <f>Z304</f>
        <v>1643415.38</v>
      </c>
      <c r="AA303" s="239">
        <f>AA304</f>
        <v>1643415.38</v>
      </c>
      <c r="AB303" s="239">
        <f>AB304</f>
        <v>1643415.38</v>
      </c>
      <c r="AC303" s="568" t="s">
        <v>391</v>
      </c>
    </row>
    <row r="304" spans="1:29" ht="137.25" customHeight="1" x14ac:dyDescent="0.3">
      <c r="A304" s="135" t="s">
        <v>392</v>
      </c>
      <c r="B304" s="136" t="s">
        <v>15</v>
      </c>
      <c r="C304" s="136" t="s">
        <v>143</v>
      </c>
      <c r="D304" s="136" t="s">
        <v>122</v>
      </c>
      <c r="E304" s="234" t="s">
        <v>607</v>
      </c>
      <c r="F304" s="136"/>
      <c r="G304" s="136"/>
      <c r="H304" s="136"/>
      <c r="I304" s="136"/>
      <c r="J304" s="136"/>
      <c r="K304" s="136"/>
      <c r="L304" s="136"/>
      <c r="M304" s="136"/>
      <c r="N304" s="136"/>
      <c r="O304" s="136"/>
      <c r="P304" s="136"/>
      <c r="Q304" s="136"/>
      <c r="R304" s="136"/>
      <c r="S304" s="136"/>
      <c r="T304" s="136" t="s">
        <v>393</v>
      </c>
      <c r="U304" s="136"/>
      <c r="V304" s="137"/>
      <c r="W304" s="137"/>
      <c r="X304" s="137"/>
      <c r="Y304" s="135" t="s">
        <v>392</v>
      </c>
      <c r="Z304" s="212">
        <f>1427098.38+213609.02+2707.98</f>
        <v>1643415.38</v>
      </c>
      <c r="AA304" s="212">
        <v>1643415.38</v>
      </c>
      <c r="AB304" s="212">
        <v>1643415.38</v>
      </c>
      <c r="AC304" s="213" t="s">
        <v>392</v>
      </c>
    </row>
    <row r="305" spans="1:29" ht="191.25" customHeight="1" x14ac:dyDescent="0.3">
      <c r="A305" s="155" t="s">
        <v>469</v>
      </c>
      <c r="B305" s="136" t="s">
        <v>15</v>
      </c>
      <c r="C305" s="136" t="s">
        <v>143</v>
      </c>
      <c r="D305" s="136" t="s">
        <v>122</v>
      </c>
      <c r="E305" s="234" t="s">
        <v>608</v>
      </c>
      <c r="F305" s="136"/>
      <c r="G305" s="136"/>
      <c r="H305" s="136"/>
      <c r="I305" s="136"/>
      <c r="J305" s="136"/>
      <c r="K305" s="136"/>
      <c r="L305" s="136"/>
      <c r="M305" s="136"/>
      <c r="N305" s="136"/>
      <c r="O305" s="136"/>
      <c r="P305" s="136"/>
      <c r="Q305" s="136"/>
      <c r="R305" s="136"/>
      <c r="S305" s="136"/>
      <c r="T305" s="136"/>
      <c r="U305" s="136"/>
      <c r="V305" s="137"/>
      <c r="W305" s="137"/>
      <c r="X305" s="137"/>
      <c r="Y305" s="135"/>
      <c r="Z305" s="212">
        <f>Z306</f>
        <v>115200</v>
      </c>
      <c r="AA305" s="212">
        <f>AA306</f>
        <v>115200</v>
      </c>
      <c r="AB305" s="212">
        <f>AB306</f>
        <v>115200</v>
      </c>
      <c r="AC305" s="213"/>
    </row>
    <row r="306" spans="1:29" ht="54.75" customHeight="1" x14ac:dyDescent="0.3">
      <c r="A306" s="154" t="s">
        <v>730</v>
      </c>
      <c r="B306" s="136" t="s">
        <v>15</v>
      </c>
      <c r="C306" s="136" t="s">
        <v>143</v>
      </c>
      <c r="D306" s="136" t="s">
        <v>122</v>
      </c>
      <c r="E306" s="234" t="s">
        <v>608</v>
      </c>
      <c r="F306" s="136"/>
      <c r="G306" s="136"/>
      <c r="H306" s="136"/>
      <c r="I306" s="136"/>
      <c r="J306" s="136"/>
      <c r="K306" s="136"/>
      <c r="L306" s="136"/>
      <c r="M306" s="136"/>
      <c r="N306" s="136"/>
      <c r="O306" s="136"/>
      <c r="P306" s="136"/>
      <c r="Q306" s="136"/>
      <c r="R306" s="136"/>
      <c r="S306" s="136"/>
      <c r="T306" s="136" t="s">
        <v>393</v>
      </c>
      <c r="U306" s="136"/>
      <c r="V306" s="137"/>
      <c r="W306" s="137"/>
      <c r="X306" s="137"/>
      <c r="Y306" s="135"/>
      <c r="Z306" s="212">
        <v>115200</v>
      </c>
      <c r="AA306" s="212">
        <v>115200</v>
      </c>
      <c r="AB306" s="212">
        <v>115200</v>
      </c>
      <c r="AC306" s="213"/>
    </row>
    <row r="307" spans="1:29" ht="37.15" customHeight="1" x14ac:dyDescent="0.3">
      <c r="A307" s="159" t="s">
        <v>163</v>
      </c>
      <c r="B307" s="160" t="s">
        <v>15</v>
      </c>
      <c r="C307" s="160" t="s">
        <v>143</v>
      </c>
      <c r="D307" s="160" t="s">
        <v>123</v>
      </c>
      <c r="E307" s="160"/>
      <c r="F307" s="160"/>
      <c r="G307" s="160"/>
      <c r="H307" s="160"/>
      <c r="I307" s="160"/>
      <c r="J307" s="160"/>
      <c r="K307" s="160"/>
      <c r="L307" s="160"/>
      <c r="M307" s="160"/>
      <c r="N307" s="160"/>
      <c r="O307" s="160"/>
      <c r="P307" s="160"/>
      <c r="Q307" s="160"/>
      <c r="R307" s="160"/>
      <c r="S307" s="160"/>
      <c r="T307" s="160"/>
      <c r="U307" s="160"/>
      <c r="V307" s="214"/>
      <c r="W307" s="214"/>
      <c r="X307" s="214"/>
      <c r="Y307" s="159" t="s">
        <v>163</v>
      </c>
      <c r="Z307" s="215">
        <f>Z308+Z314+Z316+Z318+Z321+Z310+Z312</f>
        <v>3734637.56</v>
      </c>
      <c r="AA307" s="215">
        <f>AA308+AA314+AA316+AA318+AA321+AA310+AA312</f>
        <v>350000</v>
      </c>
      <c r="AB307" s="215">
        <f>AB308+AB314+AB316+AB318+AB321+AB310+AB312</f>
        <v>350000</v>
      </c>
      <c r="AC307" s="292" t="s">
        <v>163</v>
      </c>
    </row>
    <row r="308" spans="1:29" ht="177.75" customHeight="1" x14ac:dyDescent="0.3">
      <c r="A308" s="153" t="s">
        <v>1360</v>
      </c>
      <c r="B308" s="161" t="s">
        <v>15</v>
      </c>
      <c r="C308" s="161" t="s">
        <v>143</v>
      </c>
      <c r="D308" s="161" t="s">
        <v>123</v>
      </c>
      <c r="E308" s="234" t="s">
        <v>609</v>
      </c>
      <c r="F308" s="161"/>
      <c r="G308" s="161"/>
      <c r="H308" s="161"/>
      <c r="I308" s="161"/>
      <c r="J308" s="161"/>
      <c r="K308" s="161"/>
      <c r="L308" s="161"/>
      <c r="M308" s="161"/>
      <c r="N308" s="161"/>
      <c r="O308" s="161"/>
      <c r="P308" s="161"/>
      <c r="Q308" s="161"/>
      <c r="R308" s="161"/>
      <c r="S308" s="161"/>
      <c r="T308" s="161"/>
      <c r="U308" s="161"/>
      <c r="V308" s="206"/>
      <c r="W308" s="206"/>
      <c r="X308" s="206"/>
      <c r="Y308" s="153" t="s">
        <v>394</v>
      </c>
      <c r="Z308" s="239">
        <f>Z309</f>
        <v>0</v>
      </c>
      <c r="AA308" s="239">
        <f>AA309</f>
        <v>50000</v>
      </c>
      <c r="AB308" s="239">
        <f>AB309</f>
        <v>50000</v>
      </c>
      <c r="AC308" s="568" t="s">
        <v>394</v>
      </c>
    </row>
    <row r="309" spans="1:29" ht="59.25" customHeight="1" x14ac:dyDescent="0.3">
      <c r="A309" s="135" t="s">
        <v>565</v>
      </c>
      <c r="B309" s="136" t="s">
        <v>15</v>
      </c>
      <c r="C309" s="136" t="s">
        <v>143</v>
      </c>
      <c r="D309" s="136" t="s">
        <v>123</v>
      </c>
      <c r="E309" s="234" t="s">
        <v>609</v>
      </c>
      <c r="F309" s="136"/>
      <c r="G309" s="136"/>
      <c r="H309" s="136"/>
      <c r="I309" s="136"/>
      <c r="J309" s="136"/>
      <c r="K309" s="136"/>
      <c r="L309" s="136"/>
      <c r="M309" s="136"/>
      <c r="N309" s="136"/>
      <c r="O309" s="136"/>
      <c r="P309" s="136"/>
      <c r="Q309" s="136"/>
      <c r="R309" s="136"/>
      <c r="S309" s="136"/>
      <c r="T309" s="136" t="s">
        <v>275</v>
      </c>
      <c r="U309" s="136"/>
      <c r="V309" s="137"/>
      <c r="W309" s="137"/>
      <c r="X309" s="137"/>
      <c r="Y309" s="135" t="s">
        <v>395</v>
      </c>
      <c r="Z309" s="212">
        <f>50000-50000</f>
        <v>0</v>
      </c>
      <c r="AA309" s="212">
        <v>50000</v>
      </c>
      <c r="AB309" s="212">
        <v>50000</v>
      </c>
      <c r="AC309" s="213" t="s">
        <v>395</v>
      </c>
    </row>
    <row r="310" spans="1:29" s="275" customFormat="1" ht="144" hidden="1" customHeight="1" x14ac:dyDescent="0.3">
      <c r="A310" s="222" t="s">
        <v>610</v>
      </c>
      <c r="B310" s="136" t="s">
        <v>15</v>
      </c>
      <c r="C310" s="136" t="s">
        <v>143</v>
      </c>
      <c r="D310" s="136" t="s">
        <v>123</v>
      </c>
      <c r="E310" s="234" t="s">
        <v>1017</v>
      </c>
      <c r="F310" s="136"/>
      <c r="G310" s="136"/>
      <c r="H310" s="136"/>
      <c r="I310" s="136"/>
      <c r="J310" s="136"/>
      <c r="K310" s="136"/>
      <c r="L310" s="136"/>
      <c r="M310" s="136"/>
      <c r="N310" s="136"/>
      <c r="O310" s="136"/>
      <c r="P310" s="136"/>
      <c r="Q310" s="136"/>
      <c r="R310" s="136"/>
      <c r="S310" s="136"/>
      <c r="T310" s="136"/>
      <c r="U310" s="136"/>
      <c r="V310" s="137"/>
      <c r="W310" s="137"/>
      <c r="X310" s="137"/>
      <c r="Y310" s="135"/>
      <c r="Z310" s="212">
        <f>Z311</f>
        <v>0</v>
      </c>
      <c r="AA310" s="212">
        <f>AA311</f>
        <v>0</v>
      </c>
      <c r="AB310" s="212">
        <f>AB311</f>
        <v>0</v>
      </c>
      <c r="AC310" s="571"/>
    </row>
    <row r="311" spans="1:29" s="275" customFormat="1" ht="77.25" hidden="1" customHeight="1" x14ac:dyDescent="0.3">
      <c r="A311" s="265" t="s">
        <v>397</v>
      </c>
      <c r="B311" s="136" t="s">
        <v>15</v>
      </c>
      <c r="C311" s="136" t="s">
        <v>143</v>
      </c>
      <c r="D311" s="136" t="s">
        <v>123</v>
      </c>
      <c r="E311" s="234" t="s">
        <v>1017</v>
      </c>
      <c r="F311" s="136"/>
      <c r="G311" s="136"/>
      <c r="H311" s="136"/>
      <c r="I311" s="136"/>
      <c r="J311" s="136"/>
      <c r="K311" s="136"/>
      <c r="L311" s="136"/>
      <c r="M311" s="136"/>
      <c r="N311" s="136"/>
      <c r="O311" s="136"/>
      <c r="P311" s="136"/>
      <c r="Q311" s="136"/>
      <c r="R311" s="136"/>
      <c r="S311" s="136"/>
      <c r="T311" s="136" t="s">
        <v>393</v>
      </c>
      <c r="U311" s="136"/>
      <c r="V311" s="137"/>
      <c r="W311" s="137"/>
      <c r="X311" s="137"/>
      <c r="Y311" s="135"/>
      <c r="Z311" s="212">
        <v>0</v>
      </c>
      <c r="AA311" s="212">
        <v>0</v>
      </c>
      <c r="AB311" s="212">
        <v>0</v>
      </c>
      <c r="AC311" s="571"/>
    </row>
    <row r="312" spans="1:29" ht="174.75" hidden="1" customHeight="1" x14ac:dyDescent="0.3">
      <c r="A312" s="153" t="s">
        <v>1013</v>
      </c>
      <c r="B312" s="136" t="s">
        <v>15</v>
      </c>
      <c r="C312" s="136" t="s">
        <v>143</v>
      </c>
      <c r="D312" s="136" t="s">
        <v>123</v>
      </c>
      <c r="E312" s="161" t="s">
        <v>1014</v>
      </c>
      <c r="F312" s="136"/>
      <c r="G312" s="136"/>
      <c r="H312" s="136"/>
      <c r="I312" s="136"/>
      <c r="J312" s="136"/>
      <c r="K312" s="136"/>
      <c r="L312" s="136"/>
      <c r="M312" s="136"/>
      <c r="N312" s="136"/>
      <c r="O312" s="136"/>
      <c r="P312" s="136"/>
      <c r="Q312" s="136"/>
      <c r="R312" s="136"/>
      <c r="S312" s="136"/>
      <c r="T312" s="136"/>
      <c r="U312" s="136"/>
      <c r="V312" s="137"/>
      <c r="W312" s="137"/>
      <c r="X312" s="137"/>
      <c r="Y312" s="135"/>
      <c r="Z312" s="212">
        <f>Z313</f>
        <v>0</v>
      </c>
      <c r="AA312" s="212">
        <v>0</v>
      </c>
      <c r="AB312" s="212">
        <v>0</v>
      </c>
      <c r="AC312" s="213"/>
    </row>
    <row r="313" spans="1:29" ht="75.75" hidden="1" customHeight="1" x14ac:dyDescent="0.3">
      <c r="A313" s="265" t="s">
        <v>397</v>
      </c>
      <c r="B313" s="136" t="s">
        <v>15</v>
      </c>
      <c r="C313" s="136" t="s">
        <v>143</v>
      </c>
      <c r="D313" s="136" t="s">
        <v>123</v>
      </c>
      <c r="E313" s="161" t="s">
        <v>1014</v>
      </c>
      <c r="F313" s="136"/>
      <c r="G313" s="136"/>
      <c r="H313" s="136"/>
      <c r="I313" s="136"/>
      <c r="J313" s="136"/>
      <c r="K313" s="136"/>
      <c r="L313" s="136"/>
      <c r="M313" s="136"/>
      <c r="N313" s="136"/>
      <c r="O313" s="136"/>
      <c r="P313" s="136"/>
      <c r="Q313" s="136"/>
      <c r="R313" s="136"/>
      <c r="S313" s="136"/>
      <c r="T313" s="136" t="s">
        <v>393</v>
      </c>
      <c r="U313" s="136"/>
      <c r="V313" s="137"/>
      <c r="W313" s="137"/>
      <c r="X313" s="137"/>
      <c r="Y313" s="135"/>
      <c r="Z313" s="212">
        <v>0</v>
      </c>
      <c r="AA313" s="212">
        <v>0</v>
      </c>
      <c r="AB313" s="212">
        <v>0</v>
      </c>
      <c r="AC313" s="213"/>
    </row>
    <row r="314" spans="1:29" ht="144.75" customHeight="1" x14ac:dyDescent="0.3">
      <c r="A314" s="222" t="s">
        <v>1286</v>
      </c>
      <c r="B314" s="223" t="s">
        <v>15</v>
      </c>
      <c r="C314" s="223" t="s">
        <v>143</v>
      </c>
      <c r="D314" s="223" t="s">
        <v>123</v>
      </c>
      <c r="E314" s="234" t="s">
        <v>801</v>
      </c>
      <c r="F314" s="223"/>
      <c r="G314" s="223"/>
      <c r="H314" s="223"/>
      <c r="I314" s="223"/>
      <c r="J314" s="223"/>
      <c r="K314" s="223"/>
      <c r="L314" s="223"/>
      <c r="M314" s="223"/>
      <c r="N314" s="223"/>
      <c r="O314" s="223"/>
      <c r="P314" s="223"/>
      <c r="Q314" s="223"/>
      <c r="R314" s="223"/>
      <c r="S314" s="223"/>
      <c r="T314" s="223"/>
      <c r="U314" s="223"/>
      <c r="V314" s="224"/>
      <c r="W314" s="224"/>
      <c r="X314" s="224"/>
      <c r="Y314" s="222" t="s">
        <v>396</v>
      </c>
      <c r="Z314" s="267">
        <f>Z315</f>
        <v>0</v>
      </c>
      <c r="AA314" s="267">
        <f>AA315</f>
        <v>0</v>
      </c>
      <c r="AB314" s="267">
        <f>AB315</f>
        <v>0</v>
      </c>
      <c r="AC314" s="568" t="s">
        <v>396</v>
      </c>
    </row>
    <row r="315" spans="1:29" ht="51.75" customHeight="1" x14ac:dyDescent="0.3">
      <c r="A315" s="265" t="s">
        <v>730</v>
      </c>
      <c r="B315" s="772" t="s">
        <v>15</v>
      </c>
      <c r="C315" s="772" t="s">
        <v>143</v>
      </c>
      <c r="D315" s="772" t="s">
        <v>123</v>
      </c>
      <c r="E315" s="234" t="s">
        <v>801</v>
      </c>
      <c r="F315" s="772"/>
      <c r="G315" s="772"/>
      <c r="H315" s="772"/>
      <c r="I315" s="772"/>
      <c r="J315" s="772"/>
      <c r="K315" s="772"/>
      <c r="L315" s="772"/>
      <c r="M315" s="772"/>
      <c r="N315" s="772"/>
      <c r="O315" s="772"/>
      <c r="P315" s="772"/>
      <c r="Q315" s="772"/>
      <c r="R315" s="772"/>
      <c r="S315" s="772"/>
      <c r="T315" s="772" t="s">
        <v>393</v>
      </c>
      <c r="U315" s="773"/>
      <c r="V315" s="774"/>
      <c r="W315" s="774"/>
      <c r="X315" s="774"/>
      <c r="Y315" s="775" t="s">
        <v>397</v>
      </c>
      <c r="Z315" s="268">
        <f>1000000+1355000-2355000</f>
        <v>0</v>
      </c>
      <c r="AA315" s="268">
        <f>100000-100000</f>
        <v>0</v>
      </c>
      <c r="AB315" s="268">
        <f>100000-100000</f>
        <v>0</v>
      </c>
      <c r="AC315" s="213" t="s">
        <v>397</v>
      </c>
    </row>
    <row r="316" spans="1:29" ht="132" customHeight="1" x14ac:dyDescent="0.3">
      <c r="A316" s="222" t="s">
        <v>1286</v>
      </c>
      <c r="B316" s="223" t="s">
        <v>15</v>
      </c>
      <c r="C316" s="223" t="s">
        <v>143</v>
      </c>
      <c r="D316" s="223" t="s">
        <v>123</v>
      </c>
      <c r="E316" s="234" t="s">
        <v>1017</v>
      </c>
      <c r="F316" s="223"/>
      <c r="G316" s="223"/>
      <c r="H316" s="223"/>
      <c r="I316" s="223"/>
      <c r="J316" s="223"/>
      <c r="K316" s="223"/>
      <c r="L316" s="223"/>
      <c r="M316" s="223"/>
      <c r="N316" s="223"/>
      <c r="O316" s="223"/>
      <c r="P316" s="223"/>
      <c r="Q316" s="223"/>
      <c r="R316" s="223"/>
      <c r="S316" s="223"/>
      <c r="T316" s="223"/>
      <c r="U316" s="161"/>
      <c r="V316" s="206"/>
      <c r="W316" s="206"/>
      <c r="X316" s="206"/>
      <c r="Y316" s="153" t="s">
        <v>398</v>
      </c>
      <c r="Z316" s="267">
        <f>Z317</f>
        <v>2754637.56</v>
      </c>
      <c r="AA316" s="239">
        <f>AA317</f>
        <v>0</v>
      </c>
      <c r="AB316" s="239">
        <f>AB317</f>
        <v>0</v>
      </c>
      <c r="AC316" s="568" t="s">
        <v>398</v>
      </c>
    </row>
    <row r="317" spans="1:29" ht="52.5" customHeight="1" x14ac:dyDescent="0.3">
      <c r="A317" s="265" t="s">
        <v>730</v>
      </c>
      <c r="B317" s="772" t="s">
        <v>15</v>
      </c>
      <c r="C317" s="772" t="s">
        <v>143</v>
      </c>
      <c r="D317" s="772" t="s">
        <v>123</v>
      </c>
      <c r="E317" s="234" t="s">
        <v>1017</v>
      </c>
      <c r="F317" s="772"/>
      <c r="G317" s="772"/>
      <c r="H317" s="772"/>
      <c r="I317" s="772"/>
      <c r="J317" s="772"/>
      <c r="K317" s="772"/>
      <c r="L317" s="772"/>
      <c r="M317" s="772"/>
      <c r="N317" s="772"/>
      <c r="O317" s="772"/>
      <c r="P317" s="772"/>
      <c r="Q317" s="772"/>
      <c r="R317" s="772"/>
      <c r="S317" s="772"/>
      <c r="T317" s="772" t="s">
        <v>393</v>
      </c>
      <c r="U317" s="136"/>
      <c r="V317" s="137"/>
      <c r="W317" s="137"/>
      <c r="X317" s="137"/>
      <c r="Y317" s="135" t="s">
        <v>399</v>
      </c>
      <c r="Z317" s="268">
        <f>2355000+336726.78+24+62886.78</f>
        <v>2754637.56</v>
      </c>
      <c r="AA317" s="212">
        <v>0</v>
      </c>
      <c r="AB317" s="212">
        <v>0</v>
      </c>
      <c r="AC317" s="213" t="s">
        <v>399</v>
      </c>
    </row>
    <row r="318" spans="1:29" ht="66" customHeight="1" x14ac:dyDescent="0.3">
      <c r="A318" s="153" t="s">
        <v>240</v>
      </c>
      <c r="B318" s="161" t="s">
        <v>15</v>
      </c>
      <c r="C318" s="161" t="s">
        <v>143</v>
      </c>
      <c r="D318" s="161" t="s">
        <v>123</v>
      </c>
      <c r="E318" s="234" t="s">
        <v>611</v>
      </c>
      <c r="F318" s="234"/>
      <c r="G318" s="234"/>
      <c r="H318" s="234"/>
      <c r="I318" s="234"/>
      <c r="J318" s="234"/>
      <c r="K318" s="234"/>
      <c r="L318" s="234"/>
      <c r="M318" s="234"/>
      <c r="N318" s="234"/>
      <c r="O318" s="234"/>
      <c r="P318" s="234"/>
      <c r="Q318" s="234"/>
      <c r="R318" s="234"/>
      <c r="S318" s="234"/>
      <c r="T318" s="234"/>
      <c r="U318" s="161"/>
      <c r="V318" s="206"/>
      <c r="W318" s="206"/>
      <c r="X318" s="206"/>
      <c r="Y318" s="153" t="s">
        <v>240</v>
      </c>
      <c r="Z318" s="267">
        <f>Z320+Z319</f>
        <v>600000</v>
      </c>
      <c r="AA318" s="239">
        <f>AA320+AA319</f>
        <v>300000</v>
      </c>
      <c r="AB318" s="239">
        <f>AB320+AB319</f>
        <v>300000</v>
      </c>
      <c r="AC318" s="568" t="s">
        <v>240</v>
      </c>
    </row>
    <row r="319" spans="1:29" ht="59.25" customHeight="1" x14ac:dyDescent="0.3">
      <c r="A319" s="153" t="s">
        <v>565</v>
      </c>
      <c r="B319" s="136" t="s">
        <v>15</v>
      </c>
      <c r="C319" s="136" t="s">
        <v>143</v>
      </c>
      <c r="D319" s="136" t="s">
        <v>123</v>
      </c>
      <c r="E319" s="234" t="s">
        <v>611</v>
      </c>
      <c r="F319" s="136"/>
      <c r="G319" s="136"/>
      <c r="H319" s="136"/>
      <c r="I319" s="136"/>
      <c r="J319" s="136"/>
      <c r="K319" s="136"/>
      <c r="L319" s="136"/>
      <c r="M319" s="136"/>
      <c r="N319" s="136"/>
      <c r="O319" s="136"/>
      <c r="P319" s="136"/>
      <c r="Q319" s="136"/>
      <c r="R319" s="136"/>
      <c r="S319" s="136"/>
      <c r="T319" s="136" t="s">
        <v>275</v>
      </c>
      <c r="U319" s="161"/>
      <c r="V319" s="206"/>
      <c r="W319" s="206"/>
      <c r="X319" s="206"/>
      <c r="Y319" s="153"/>
      <c r="Z319" s="267">
        <v>300000</v>
      </c>
      <c r="AA319" s="239">
        <v>100000</v>
      </c>
      <c r="AB319" s="239">
        <v>100000</v>
      </c>
      <c r="AC319" s="568"/>
    </row>
    <row r="320" spans="1:29" ht="52.5" customHeight="1" x14ac:dyDescent="0.3">
      <c r="A320" s="135" t="s">
        <v>730</v>
      </c>
      <c r="B320" s="136" t="s">
        <v>15</v>
      </c>
      <c r="C320" s="136" t="s">
        <v>143</v>
      </c>
      <c r="D320" s="136" t="s">
        <v>123</v>
      </c>
      <c r="E320" s="234" t="s">
        <v>611</v>
      </c>
      <c r="F320" s="136"/>
      <c r="G320" s="136"/>
      <c r="H320" s="136"/>
      <c r="I320" s="136"/>
      <c r="J320" s="136"/>
      <c r="K320" s="136"/>
      <c r="L320" s="136"/>
      <c r="M320" s="136"/>
      <c r="N320" s="136"/>
      <c r="O320" s="136"/>
      <c r="P320" s="136"/>
      <c r="Q320" s="136"/>
      <c r="R320" s="136"/>
      <c r="S320" s="136"/>
      <c r="T320" s="136" t="s">
        <v>393</v>
      </c>
      <c r="U320" s="136"/>
      <c r="V320" s="137"/>
      <c r="W320" s="137"/>
      <c r="X320" s="137"/>
      <c r="Y320" s="135" t="s">
        <v>400</v>
      </c>
      <c r="Z320" s="268">
        <v>300000</v>
      </c>
      <c r="AA320" s="212">
        <v>200000</v>
      </c>
      <c r="AB320" s="212">
        <v>200000</v>
      </c>
      <c r="AC320" s="213" t="s">
        <v>400</v>
      </c>
    </row>
    <row r="321" spans="1:29" ht="105" customHeight="1" x14ac:dyDescent="0.3">
      <c r="A321" s="492" t="s">
        <v>1488</v>
      </c>
      <c r="B321" s="136" t="s">
        <v>15</v>
      </c>
      <c r="C321" s="136" t="s">
        <v>143</v>
      </c>
      <c r="D321" s="136" t="s">
        <v>123</v>
      </c>
      <c r="E321" s="234" t="s">
        <v>613</v>
      </c>
      <c r="F321" s="136"/>
      <c r="G321" s="136"/>
      <c r="H321" s="136"/>
      <c r="I321" s="136"/>
      <c r="J321" s="136"/>
      <c r="K321" s="136"/>
      <c r="L321" s="136"/>
      <c r="M321" s="136"/>
      <c r="N321" s="136"/>
      <c r="O321" s="136"/>
      <c r="P321" s="136"/>
      <c r="Q321" s="136"/>
      <c r="R321" s="136"/>
      <c r="S321" s="136"/>
      <c r="T321" s="136"/>
      <c r="U321" s="136"/>
      <c r="V321" s="137"/>
      <c r="W321" s="137"/>
      <c r="X321" s="137"/>
      <c r="Y321" s="135"/>
      <c r="Z321" s="268">
        <f>Z322</f>
        <v>380000</v>
      </c>
      <c r="AA321" s="212">
        <f>AA322</f>
        <v>0</v>
      </c>
      <c r="AB321" s="212">
        <f>AB322</f>
        <v>0</v>
      </c>
      <c r="AC321" s="213"/>
    </row>
    <row r="322" spans="1:29" ht="44.25" customHeight="1" x14ac:dyDescent="0.3">
      <c r="A322" s="225" t="s">
        <v>730</v>
      </c>
      <c r="B322" s="136" t="s">
        <v>15</v>
      </c>
      <c r="C322" s="136" t="s">
        <v>143</v>
      </c>
      <c r="D322" s="136" t="s">
        <v>123</v>
      </c>
      <c r="E322" s="234" t="s">
        <v>613</v>
      </c>
      <c r="F322" s="136"/>
      <c r="G322" s="136"/>
      <c r="H322" s="136"/>
      <c r="I322" s="136"/>
      <c r="J322" s="136"/>
      <c r="K322" s="136"/>
      <c r="L322" s="136"/>
      <c r="M322" s="136"/>
      <c r="N322" s="136"/>
      <c r="O322" s="136"/>
      <c r="P322" s="136"/>
      <c r="Q322" s="136"/>
      <c r="R322" s="136"/>
      <c r="S322" s="136"/>
      <c r="T322" s="136" t="s">
        <v>393</v>
      </c>
      <c r="U322" s="136"/>
      <c r="V322" s="137"/>
      <c r="W322" s="137"/>
      <c r="X322" s="137"/>
      <c r="Y322" s="135"/>
      <c r="Z322" s="268">
        <f>300000+80000</f>
        <v>380000</v>
      </c>
      <c r="AA322" s="212">
        <v>0</v>
      </c>
      <c r="AB322" s="212">
        <v>0</v>
      </c>
      <c r="AC322" s="213"/>
    </row>
    <row r="323" spans="1:29" ht="18.600000000000001" customHeight="1" x14ac:dyDescent="0.3">
      <c r="A323" s="159" t="s">
        <v>164</v>
      </c>
      <c r="B323" s="160" t="s">
        <v>15</v>
      </c>
      <c r="C323" s="160" t="s">
        <v>143</v>
      </c>
      <c r="D323" s="160" t="s">
        <v>136</v>
      </c>
      <c r="E323" s="160"/>
      <c r="F323" s="160"/>
      <c r="G323" s="160"/>
      <c r="H323" s="160"/>
      <c r="I323" s="160"/>
      <c r="J323" s="160"/>
      <c r="K323" s="160"/>
      <c r="L323" s="160"/>
      <c r="M323" s="160"/>
      <c r="N323" s="160"/>
      <c r="O323" s="160"/>
      <c r="P323" s="160"/>
      <c r="Q323" s="160"/>
      <c r="R323" s="160"/>
      <c r="S323" s="160"/>
      <c r="T323" s="160"/>
      <c r="U323" s="160"/>
      <c r="V323" s="214"/>
      <c r="W323" s="214"/>
      <c r="X323" s="214"/>
      <c r="Y323" s="159" t="s">
        <v>164</v>
      </c>
      <c r="Z323" s="591">
        <f>Z324+Z326</f>
        <v>7373520</v>
      </c>
      <c r="AA323" s="215">
        <f>AA324+AA326</f>
        <v>5266800</v>
      </c>
      <c r="AB323" s="215">
        <f>AB324+AB326</f>
        <v>5266800</v>
      </c>
      <c r="AC323" s="583" t="s">
        <v>164</v>
      </c>
    </row>
    <row r="324" spans="1:29" ht="220.5" customHeight="1" x14ac:dyDescent="0.3">
      <c r="A324" s="153" t="s">
        <v>1308</v>
      </c>
      <c r="B324" s="140" t="s">
        <v>15</v>
      </c>
      <c r="C324" s="140" t="s">
        <v>143</v>
      </c>
      <c r="D324" s="140" t="s">
        <v>136</v>
      </c>
      <c r="E324" s="234" t="s">
        <v>912</v>
      </c>
      <c r="F324" s="140"/>
      <c r="G324" s="140"/>
      <c r="H324" s="140"/>
      <c r="I324" s="140"/>
      <c r="J324" s="140"/>
      <c r="K324" s="140"/>
      <c r="L324" s="140"/>
      <c r="M324" s="140"/>
      <c r="N324" s="140"/>
      <c r="O324" s="140"/>
      <c r="P324" s="140"/>
      <c r="Q324" s="140"/>
      <c r="R324" s="140"/>
      <c r="S324" s="140"/>
      <c r="T324" s="140"/>
      <c r="U324" s="161"/>
      <c r="V324" s="206"/>
      <c r="W324" s="206"/>
      <c r="X324" s="206"/>
      <c r="Y324" s="153" t="s">
        <v>228</v>
      </c>
      <c r="Z324" s="267">
        <f>Z325</f>
        <v>7373520</v>
      </c>
      <c r="AA324" s="239">
        <f>AA325</f>
        <v>5266800</v>
      </c>
      <c r="AB324" s="239">
        <f>AB325</f>
        <v>5266800</v>
      </c>
      <c r="AC324" s="568" t="s">
        <v>228</v>
      </c>
    </row>
    <row r="325" spans="1:29" ht="60" customHeight="1" x14ac:dyDescent="0.3">
      <c r="A325" s="135" t="s">
        <v>728</v>
      </c>
      <c r="B325" s="234" t="s">
        <v>15</v>
      </c>
      <c r="C325" s="234" t="s">
        <v>143</v>
      </c>
      <c r="D325" s="234" t="s">
        <v>136</v>
      </c>
      <c r="E325" s="234" t="s">
        <v>912</v>
      </c>
      <c r="F325" s="234"/>
      <c r="G325" s="234"/>
      <c r="H325" s="234"/>
      <c r="I325" s="234"/>
      <c r="J325" s="234"/>
      <c r="K325" s="234"/>
      <c r="L325" s="234"/>
      <c r="M325" s="234"/>
      <c r="N325" s="234"/>
      <c r="O325" s="234"/>
      <c r="P325" s="234"/>
      <c r="Q325" s="234"/>
      <c r="R325" s="234"/>
      <c r="S325" s="234"/>
      <c r="T325" s="234" t="s">
        <v>350</v>
      </c>
      <c r="U325" s="136"/>
      <c r="V325" s="137"/>
      <c r="W325" s="137"/>
      <c r="X325" s="137"/>
      <c r="Y325" s="135" t="s">
        <v>401</v>
      </c>
      <c r="Z325" s="268">
        <f>6320200-40+1053360</f>
        <v>7373520</v>
      </c>
      <c r="AA325" s="212">
        <v>5266800</v>
      </c>
      <c r="AB325" s="212">
        <v>5266800</v>
      </c>
      <c r="AC325" s="213" t="s">
        <v>401</v>
      </c>
    </row>
    <row r="326" spans="1:29" ht="255" hidden="1" customHeight="1" x14ac:dyDescent="0.3">
      <c r="A326" s="153" t="s">
        <v>614</v>
      </c>
      <c r="B326" s="161" t="s">
        <v>15</v>
      </c>
      <c r="C326" s="161" t="s">
        <v>143</v>
      </c>
      <c r="D326" s="161" t="s">
        <v>136</v>
      </c>
      <c r="E326" s="161" t="s">
        <v>615</v>
      </c>
      <c r="F326" s="161"/>
      <c r="G326" s="161"/>
      <c r="H326" s="161"/>
      <c r="I326" s="161"/>
      <c r="J326" s="161"/>
      <c r="K326" s="161"/>
      <c r="L326" s="161"/>
      <c r="M326" s="161"/>
      <c r="N326" s="161"/>
      <c r="O326" s="161"/>
      <c r="P326" s="161"/>
      <c r="Q326" s="161"/>
      <c r="R326" s="161"/>
      <c r="S326" s="161"/>
      <c r="T326" s="161"/>
      <c r="U326" s="161"/>
      <c r="V326" s="206"/>
      <c r="W326" s="206"/>
      <c r="X326" s="206"/>
      <c r="Y326" s="153" t="s">
        <v>229</v>
      </c>
      <c r="Z326" s="267">
        <f>Z327</f>
        <v>0</v>
      </c>
      <c r="AA326" s="239">
        <f>AA327</f>
        <v>0</v>
      </c>
      <c r="AB326" s="239">
        <f>AB327</f>
        <v>0</v>
      </c>
      <c r="AC326" s="568" t="s">
        <v>229</v>
      </c>
    </row>
    <row r="327" spans="1:29" ht="167.25" hidden="1" customHeight="1" x14ac:dyDescent="0.3">
      <c r="A327" s="154" t="s">
        <v>402</v>
      </c>
      <c r="B327" s="136" t="s">
        <v>15</v>
      </c>
      <c r="C327" s="136" t="s">
        <v>143</v>
      </c>
      <c r="D327" s="136" t="s">
        <v>136</v>
      </c>
      <c r="E327" s="161" t="s">
        <v>615</v>
      </c>
      <c r="F327" s="136"/>
      <c r="G327" s="136"/>
      <c r="H327" s="136"/>
      <c r="I327" s="136"/>
      <c r="J327" s="136"/>
      <c r="K327" s="136"/>
      <c r="L327" s="136"/>
      <c r="M327" s="136"/>
      <c r="N327" s="136"/>
      <c r="O327" s="136"/>
      <c r="P327" s="136"/>
      <c r="Q327" s="136"/>
      <c r="R327" s="136"/>
      <c r="S327" s="136"/>
      <c r="T327" s="136" t="s">
        <v>350</v>
      </c>
      <c r="U327" s="136"/>
      <c r="V327" s="137"/>
      <c r="W327" s="137"/>
      <c r="X327" s="137"/>
      <c r="Y327" s="154" t="s">
        <v>402</v>
      </c>
      <c r="Z327" s="268">
        <v>0</v>
      </c>
      <c r="AA327" s="212">
        <v>0</v>
      </c>
      <c r="AB327" s="212">
        <v>0</v>
      </c>
      <c r="AC327" s="569" t="s">
        <v>402</v>
      </c>
    </row>
    <row r="328" spans="1:29" ht="18.600000000000001" customHeight="1" x14ac:dyDescent="0.3">
      <c r="A328" s="159" t="s">
        <v>403</v>
      </c>
      <c r="B328" s="160" t="s">
        <v>15</v>
      </c>
      <c r="C328" s="160" t="s">
        <v>128</v>
      </c>
      <c r="D328" s="160" t="s">
        <v>133</v>
      </c>
      <c r="E328" s="160"/>
      <c r="F328" s="160"/>
      <c r="G328" s="160"/>
      <c r="H328" s="160"/>
      <c r="I328" s="160"/>
      <c r="J328" s="160"/>
      <c r="K328" s="160"/>
      <c r="L328" s="160"/>
      <c r="M328" s="160"/>
      <c r="N328" s="160"/>
      <c r="O328" s="160"/>
      <c r="P328" s="160"/>
      <c r="Q328" s="160"/>
      <c r="R328" s="160"/>
      <c r="S328" s="160"/>
      <c r="T328" s="160"/>
      <c r="U328" s="160"/>
      <c r="V328" s="214"/>
      <c r="W328" s="214"/>
      <c r="X328" s="214"/>
      <c r="Y328" s="159" t="s">
        <v>403</v>
      </c>
      <c r="Z328" s="591">
        <f>Z329+Z336</f>
        <v>2983328.44</v>
      </c>
      <c r="AA328" s="215">
        <f>AA329+AA336</f>
        <v>250000</v>
      </c>
      <c r="AB328" s="215">
        <f>AB329+AB336</f>
        <v>250000</v>
      </c>
      <c r="AC328" s="292" t="s">
        <v>403</v>
      </c>
    </row>
    <row r="329" spans="1:29" ht="18.600000000000001" customHeight="1" x14ac:dyDescent="0.3">
      <c r="A329" s="159" t="s">
        <v>119</v>
      </c>
      <c r="B329" s="160" t="s">
        <v>15</v>
      </c>
      <c r="C329" s="160" t="s">
        <v>128</v>
      </c>
      <c r="D329" s="160" t="s">
        <v>122</v>
      </c>
      <c r="E329" s="160"/>
      <c r="F329" s="160"/>
      <c r="G329" s="160"/>
      <c r="H329" s="160"/>
      <c r="I329" s="160"/>
      <c r="J329" s="160"/>
      <c r="K329" s="160"/>
      <c r="L329" s="160"/>
      <c r="M329" s="160"/>
      <c r="N329" s="160"/>
      <c r="O329" s="160"/>
      <c r="P329" s="160"/>
      <c r="Q329" s="160"/>
      <c r="R329" s="160"/>
      <c r="S329" s="160"/>
      <c r="T329" s="160"/>
      <c r="U329" s="160"/>
      <c r="V329" s="214"/>
      <c r="W329" s="214"/>
      <c r="X329" s="214"/>
      <c r="Y329" s="159" t="s">
        <v>119</v>
      </c>
      <c r="Z329" s="591">
        <f>Z330+Z332+Z334</f>
        <v>1070000</v>
      </c>
      <c r="AA329" s="215">
        <f>AA330+AA332</f>
        <v>150000</v>
      </c>
      <c r="AB329" s="215">
        <f>AB330+AB332</f>
        <v>150000</v>
      </c>
      <c r="AC329" s="292" t="s">
        <v>119</v>
      </c>
    </row>
    <row r="330" spans="1:29" ht="145.5" customHeight="1" x14ac:dyDescent="0.3">
      <c r="A330" s="153" t="s">
        <v>1291</v>
      </c>
      <c r="B330" s="234" t="s">
        <v>15</v>
      </c>
      <c r="C330" s="234" t="s">
        <v>128</v>
      </c>
      <c r="D330" s="234" t="s">
        <v>122</v>
      </c>
      <c r="E330" s="234" t="s">
        <v>616</v>
      </c>
      <c r="F330" s="161"/>
      <c r="G330" s="161"/>
      <c r="H330" s="161"/>
      <c r="I330" s="161"/>
      <c r="J330" s="161"/>
      <c r="K330" s="161"/>
      <c r="L330" s="161"/>
      <c r="M330" s="161"/>
      <c r="N330" s="161"/>
      <c r="O330" s="161"/>
      <c r="P330" s="161"/>
      <c r="Q330" s="161"/>
      <c r="R330" s="161"/>
      <c r="S330" s="161"/>
      <c r="T330" s="161"/>
      <c r="U330" s="161"/>
      <c r="V330" s="206"/>
      <c r="W330" s="206"/>
      <c r="X330" s="206"/>
      <c r="Y330" s="153" t="s">
        <v>404</v>
      </c>
      <c r="Z330" s="239">
        <f>Z331</f>
        <v>900000</v>
      </c>
      <c r="AA330" s="239">
        <f>AA331</f>
        <v>100000</v>
      </c>
      <c r="AB330" s="239">
        <f>AB331</f>
        <v>100000</v>
      </c>
      <c r="AC330" s="568" t="s">
        <v>404</v>
      </c>
    </row>
    <row r="331" spans="1:29" ht="78" customHeight="1" x14ac:dyDescent="0.3">
      <c r="A331" s="135" t="s">
        <v>565</v>
      </c>
      <c r="B331" s="140" t="s">
        <v>15</v>
      </c>
      <c r="C331" s="140" t="s">
        <v>128</v>
      </c>
      <c r="D331" s="140" t="s">
        <v>122</v>
      </c>
      <c r="E331" s="234" t="s">
        <v>616</v>
      </c>
      <c r="F331" s="136"/>
      <c r="G331" s="136"/>
      <c r="H331" s="136"/>
      <c r="I331" s="136"/>
      <c r="J331" s="136"/>
      <c r="K331" s="136"/>
      <c r="L331" s="136"/>
      <c r="M331" s="136"/>
      <c r="N331" s="136"/>
      <c r="O331" s="136"/>
      <c r="P331" s="136"/>
      <c r="Q331" s="136"/>
      <c r="R331" s="136"/>
      <c r="S331" s="136"/>
      <c r="T331" s="136" t="s">
        <v>275</v>
      </c>
      <c r="U331" s="136"/>
      <c r="V331" s="137"/>
      <c r="W331" s="137"/>
      <c r="X331" s="137"/>
      <c r="Y331" s="135" t="s">
        <v>405</v>
      </c>
      <c r="Z331" s="212">
        <f>500000+400000</f>
        <v>900000</v>
      </c>
      <c r="AA331" s="212">
        <v>100000</v>
      </c>
      <c r="AB331" s="212">
        <v>100000</v>
      </c>
      <c r="AC331" s="213" t="s">
        <v>405</v>
      </c>
    </row>
    <row r="332" spans="1:29" ht="180" customHeight="1" x14ac:dyDescent="0.3">
      <c r="A332" s="153" t="s">
        <v>1292</v>
      </c>
      <c r="B332" s="234" t="s">
        <v>15</v>
      </c>
      <c r="C332" s="234" t="s">
        <v>128</v>
      </c>
      <c r="D332" s="234" t="s">
        <v>122</v>
      </c>
      <c r="E332" s="234" t="s">
        <v>617</v>
      </c>
      <c r="F332" s="161"/>
      <c r="G332" s="161"/>
      <c r="H332" s="161"/>
      <c r="I332" s="161"/>
      <c r="J332" s="161"/>
      <c r="K332" s="161"/>
      <c r="L332" s="161"/>
      <c r="M332" s="161"/>
      <c r="N332" s="161"/>
      <c r="O332" s="161"/>
      <c r="P332" s="161"/>
      <c r="Q332" s="161"/>
      <c r="R332" s="161"/>
      <c r="S332" s="161"/>
      <c r="T332" s="161"/>
      <c r="U332" s="161"/>
      <c r="V332" s="206"/>
      <c r="W332" s="206"/>
      <c r="X332" s="206"/>
      <c r="Y332" s="153" t="s">
        <v>406</v>
      </c>
      <c r="Z332" s="239">
        <f>Z333</f>
        <v>50000</v>
      </c>
      <c r="AA332" s="239">
        <f>AA333</f>
        <v>50000</v>
      </c>
      <c r="AB332" s="239">
        <f>AB333</f>
        <v>50000</v>
      </c>
      <c r="AC332" s="568" t="s">
        <v>406</v>
      </c>
    </row>
    <row r="333" spans="1:29" ht="72" customHeight="1" x14ac:dyDescent="0.3">
      <c r="A333" s="135" t="s">
        <v>565</v>
      </c>
      <c r="B333" s="140" t="s">
        <v>15</v>
      </c>
      <c r="C333" s="140" t="s">
        <v>128</v>
      </c>
      <c r="D333" s="140" t="s">
        <v>122</v>
      </c>
      <c r="E333" s="234" t="s">
        <v>617</v>
      </c>
      <c r="F333" s="136"/>
      <c r="G333" s="136"/>
      <c r="H333" s="136"/>
      <c r="I333" s="136"/>
      <c r="J333" s="136"/>
      <c r="K333" s="136"/>
      <c r="L333" s="136"/>
      <c r="M333" s="136"/>
      <c r="N333" s="136"/>
      <c r="O333" s="136"/>
      <c r="P333" s="136"/>
      <c r="Q333" s="136"/>
      <c r="R333" s="136"/>
      <c r="S333" s="136"/>
      <c r="T333" s="136" t="s">
        <v>275</v>
      </c>
      <c r="U333" s="136"/>
      <c r="V333" s="137"/>
      <c r="W333" s="137"/>
      <c r="X333" s="137"/>
      <c r="Y333" s="135" t="s">
        <v>407</v>
      </c>
      <c r="Z333" s="212">
        <v>50000</v>
      </c>
      <c r="AA333" s="212">
        <v>50000</v>
      </c>
      <c r="AB333" s="212">
        <v>50000</v>
      </c>
      <c r="AC333" s="213" t="s">
        <v>407</v>
      </c>
    </row>
    <row r="334" spans="1:29" ht="135.75" customHeight="1" x14ac:dyDescent="0.3">
      <c r="A334" s="492" t="s">
        <v>1293</v>
      </c>
      <c r="B334" s="140" t="s">
        <v>15</v>
      </c>
      <c r="C334" s="140" t="s">
        <v>128</v>
      </c>
      <c r="D334" s="140" t="s">
        <v>122</v>
      </c>
      <c r="E334" s="234" t="s">
        <v>1022</v>
      </c>
      <c r="F334" s="136"/>
      <c r="G334" s="136"/>
      <c r="H334" s="136"/>
      <c r="I334" s="136"/>
      <c r="J334" s="136"/>
      <c r="K334" s="136"/>
      <c r="L334" s="136"/>
      <c r="M334" s="136"/>
      <c r="N334" s="136"/>
      <c r="O334" s="136"/>
      <c r="P334" s="136"/>
      <c r="Q334" s="136"/>
      <c r="R334" s="136"/>
      <c r="S334" s="136"/>
      <c r="T334" s="136"/>
      <c r="U334" s="136"/>
      <c r="V334" s="137"/>
      <c r="W334" s="137"/>
      <c r="X334" s="137"/>
      <c r="Y334" s="135"/>
      <c r="Z334" s="212">
        <f>Z335</f>
        <v>120000</v>
      </c>
      <c r="AA334" s="212">
        <v>0</v>
      </c>
      <c r="AB334" s="212">
        <v>0</v>
      </c>
      <c r="AC334" s="213"/>
    </row>
    <row r="335" spans="1:29" ht="58.5" customHeight="1" x14ac:dyDescent="0.3">
      <c r="A335" s="135" t="s">
        <v>565</v>
      </c>
      <c r="B335" s="140" t="s">
        <v>15</v>
      </c>
      <c r="C335" s="140" t="s">
        <v>128</v>
      </c>
      <c r="D335" s="140" t="s">
        <v>122</v>
      </c>
      <c r="E335" s="234" t="s">
        <v>1022</v>
      </c>
      <c r="F335" s="136"/>
      <c r="G335" s="136"/>
      <c r="H335" s="136"/>
      <c r="I335" s="136"/>
      <c r="J335" s="136"/>
      <c r="K335" s="136"/>
      <c r="L335" s="136"/>
      <c r="M335" s="136"/>
      <c r="N335" s="136"/>
      <c r="O335" s="136"/>
      <c r="P335" s="136"/>
      <c r="Q335" s="136"/>
      <c r="R335" s="136"/>
      <c r="S335" s="136"/>
      <c r="T335" s="136" t="s">
        <v>275</v>
      </c>
      <c r="U335" s="136"/>
      <c r="V335" s="137"/>
      <c r="W335" s="137"/>
      <c r="X335" s="137"/>
      <c r="Y335" s="135"/>
      <c r="Z335" s="268">
        <v>120000</v>
      </c>
      <c r="AA335" s="212">
        <v>0</v>
      </c>
      <c r="AB335" s="212">
        <v>0</v>
      </c>
      <c r="AC335" s="213"/>
    </row>
    <row r="336" spans="1:29" ht="18.600000000000001" customHeight="1" x14ac:dyDescent="0.3">
      <c r="A336" s="159" t="s">
        <v>166</v>
      </c>
      <c r="B336" s="160" t="s">
        <v>15</v>
      </c>
      <c r="C336" s="160" t="s">
        <v>128</v>
      </c>
      <c r="D336" s="160" t="s">
        <v>132</v>
      </c>
      <c r="E336" s="160"/>
      <c r="F336" s="160"/>
      <c r="G336" s="160"/>
      <c r="H336" s="160"/>
      <c r="I336" s="160"/>
      <c r="J336" s="160"/>
      <c r="K336" s="160"/>
      <c r="L336" s="160"/>
      <c r="M336" s="160"/>
      <c r="N336" s="160"/>
      <c r="O336" s="160"/>
      <c r="P336" s="160"/>
      <c r="Q336" s="160"/>
      <c r="R336" s="160"/>
      <c r="S336" s="160"/>
      <c r="T336" s="160"/>
      <c r="U336" s="160"/>
      <c r="V336" s="214"/>
      <c r="W336" s="214"/>
      <c r="X336" s="214"/>
      <c r="Y336" s="159" t="s">
        <v>166</v>
      </c>
      <c r="Z336" s="591">
        <f>Z337+Z339+Z341</f>
        <v>1913328.44</v>
      </c>
      <c r="AA336" s="215">
        <f>AA337+AA339+AA341</f>
        <v>100000</v>
      </c>
      <c r="AB336" s="215">
        <f>AB337+AB339+AB341</f>
        <v>100000</v>
      </c>
      <c r="AC336" s="292" t="s">
        <v>166</v>
      </c>
    </row>
    <row r="337" spans="1:31" ht="147" customHeight="1" x14ac:dyDescent="0.3">
      <c r="A337" s="153" t="s">
        <v>1294</v>
      </c>
      <c r="B337" s="234" t="s">
        <v>15</v>
      </c>
      <c r="C337" s="234" t="s">
        <v>128</v>
      </c>
      <c r="D337" s="234" t="s">
        <v>132</v>
      </c>
      <c r="E337" s="234" t="s">
        <v>618</v>
      </c>
      <c r="F337" s="234"/>
      <c r="G337" s="234"/>
      <c r="H337" s="234"/>
      <c r="I337" s="234"/>
      <c r="J337" s="234"/>
      <c r="K337" s="234"/>
      <c r="L337" s="234"/>
      <c r="M337" s="234"/>
      <c r="N337" s="234"/>
      <c r="O337" s="234"/>
      <c r="P337" s="234"/>
      <c r="Q337" s="234"/>
      <c r="R337" s="234"/>
      <c r="S337" s="234"/>
      <c r="T337" s="234"/>
      <c r="U337" s="161"/>
      <c r="V337" s="206"/>
      <c r="W337" s="206"/>
      <c r="X337" s="206"/>
      <c r="Y337" s="153" t="s">
        <v>408</v>
      </c>
      <c r="Z337" s="267">
        <f>Z338</f>
        <v>513328.44</v>
      </c>
      <c r="AA337" s="239">
        <f>AA338</f>
        <v>50000</v>
      </c>
      <c r="AB337" s="239">
        <f>AB338</f>
        <v>50000</v>
      </c>
      <c r="AC337" s="568" t="s">
        <v>408</v>
      </c>
    </row>
    <row r="338" spans="1:31" ht="63" customHeight="1" x14ac:dyDescent="0.3">
      <c r="A338" s="135" t="s">
        <v>565</v>
      </c>
      <c r="B338" s="140" t="s">
        <v>15</v>
      </c>
      <c r="C338" s="140" t="s">
        <v>128</v>
      </c>
      <c r="D338" s="140" t="s">
        <v>132</v>
      </c>
      <c r="E338" s="234" t="s">
        <v>618</v>
      </c>
      <c r="F338" s="140"/>
      <c r="G338" s="140"/>
      <c r="H338" s="140"/>
      <c r="I338" s="140"/>
      <c r="J338" s="140"/>
      <c r="K338" s="140"/>
      <c r="L338" s="140"/>
      <c r="M338" s="140"/>
      <c r="N338" s="140"/>
      <c r="O338" s="140"/>
      <c r="P338" s="140"/>
      <c r="Q338" s="140"/>
      <c r="R338" s="140"/>
      <c r="S338" s="140"/>
      <c r="T338" s="140" t="s">
        <v>275</v>
      </c>
      <c r="U338" s="136"/>
      <c r="V338" s="137"/>
      <c r="W338" s="137"/>
      <c r="X338" s="137"/>
      <c r="Y338" s="135" t="s">
        <v>409</v>
      </c>
      <c r="Z338" s="268">
        <f>600000-86671.56</f>
        <v>513328.44</v>
      </c>
      <c r="AA338" s="212">
        <v>50000</v>
      </c>
      <c r="AB338" s="212">
        <v>50000</v>
      </c>
      <c r="AC338" s="213" t="s">
        <v>409</v>
      </c>
    </row>
    <row r="339" spans="1:31" ht="158.25" customHeight="1" x14ac:dyDescent="0.3">
      <c r="A339" s="153" t="s">
        <v>1295</v>
      </c>
      <c r="B339" s="234" t="s">
        <v>15</v>
      </c>
      <c r="C339" s="234" t="s">
        <v>128</v>
      </c>
      <c r="D339" s="234" t="s">
        <v>132</v>
      </c>
      <c r="E339" s="234" t="s">
        <v>619</v>
      </c>
      <c r="F339" s="234"/>
      <c r="G339" s="234"/>
      <c r="H339" s="234"/>
      <c r="I339" s="234"/>
      <c r="J339" s="234"/>
      <c r="K339" s="234"/>
      <c r="L339" s="234"/>
      <c r="M339" s="234"/>
      <c r="N339" s="234"/>
      <c r="O339" s="234"/>
      <c r="P339" s="234"/>
      <c r="Q339" s="234"/>
      <c r="R339" s="234"/>
      <c r="S339" s="234"/>
      <c r="T339" s="234"/>
      <c r="U339" s="161"/>
      <c r="V339" s="206"/>
      <c r="W339" s="206"/>
      <c r="X339" s="206"/>
      <c r="Y339" s="153" t="s">
        <v>410</v>
      </c>
      <c r="Z339" s="267">
        <f>Z340</f>
        <v>1400000</v>
      </c>
      <c r="AA339" s="239">
        <f>AA340</f>
        <v>50000</v>
      </c>
      <c r="AB339" s="239">
        <f>AB340</f>
        <v>50000</v>
      </c>
      <c r="AC339" s="568" t="s">
        <v>410</v>
      </c>
    </row>
    <row r="340" spans="1:31" ht="68.25" customHeight="1" x14ac:dyDescent="0.3">
      <c r="A340" s="135" t="s">
        <v>565</v>
      </c>
      <c r="B340" s="140" t="s">
        <v>15</v>
      </c>
      <c r="C340" s="140" t="s">
        <v>128</v>
      </c>
      <c r="D340" s="140" t="s">
        <v>132</v>
      </c>
      <c r="E340" s="234" t="s">
        <v>619</v>
      </c>
      <c r="F340" s="140"/>
      <c r="G340" s="140"/>
      <c r="H340" s="140"/>
      <c r="I340" s="140"/>
      <c r="J340" s="140"/>
      <c r="K340" s="140"/>
      <c r="L340" s="140"/>
      <c r="M340" s="140"/>
      <c r="N340" s="140"/>
      <c r="O340" s="140"/>
      <c r="P340" s="140"/>
      <c r="Q340" s="140"/>
      <c r="R340" s="140"/>
      <c r="S340" s="140"/>
      <c r="T340" s="140" t="s">
        <v>275</v>
      </c>
      <c r="U340" s="136"/>
      <c r="V340" s="137"/>
      <c r="W340" s="137"/>
      <c r="X340" s="137"/>
      <c r="Y340" s="135" t="s">
        <v>411</v>
      </c>
      <c r="Z340" s="268">
        <f>700000+700000</f>
        <v>1400000</v>
      </c>
      <c r="AA340" s="212">
        <v>50000</v>
      </c>
      <c r="AB340" s="212">
        <v>50000</v>
      </c>
      <c r="AC340" s="213" t="s">
        <v>411</v>
      </c>
    </row>
    <row r="341" spans="1:31" s="275" customFormat="1" ht="0.75" hidden="1" customHeight="1" x14ac:dyDescent="0.3">
      <c r="A341" s="266" t="s">
        <v>995</v>
      </c>
      <c r="B341" s="140" t="s">
        <v>15</v>
      </c>
      <c r="C341" s="140" t="s">
        <v>128</v>
      </c>
      <c r="D341" s="140" t="s">
        <v>132</v>
      </c>
      <c r="E341" s="234" t="s">
        <v>996</v>
      </c>
      <c r="F341" s="140"/>
      <c r="G341" s="140"/>
      <c r="H341" s="140"/>
      <c r="I341" s="140"/>
      <c r="J341" s="140"/>
      <c r="K341" s="140"/>
      <c r="L341" s="140"/>
      <c r="M341" s="140"/>
      <c r="N341" s="140"/>
      <c r="O341" s="140"/>
      <c r="P341" s="140"/>
      <c r="Q341" s="140"/>
      <c r="R341" s="140"/>
      <c r="S341" s="140"/>
      <c r="T341" s="140"/>
      <c r="U341" s="161"/>
      <c r="V341" s="206"/>
      <c r="W341" s="206"/>
      <c r="X341" s="206"/>
      <c r="Y341" s="153" t="s">
        <v>412</v>
      </c>
      <c r="Z341" s="267">
        <f>Z342</f>
        <v>0</v>
      </c>
      <c r="AA341" s="239">
        <f>AA342</f>
        <v>0</v>
      </c>
      <c r="AB341" s="239">
        <f>AB342</f>
        <v>0</v>
      </c>
      <c r="AC341" s="574" t="s">
        <v>412</v>
      </c>
    </row>
    <row r="342" spans="1:31" s="275" customFormat="1" ht="51.75" hidden="1" customHeight="1" x14ac:dyDescent="0.3">
      <c r="A342" s="472" t="s">
        <v>777</v>
      </c>
      <c r="B342" s="140" t="s">
        <v>15</v>
      </c>
      <c r="C342" s="140" t="s">
        <v>128</v>
      </c>
      <c r="D342" s="140" t="s">
        <v>132</v>
      </c>
      <c r="E342" s="234" t="s">
        <v>996</v>
      </c>
      <c r="F342" s="140"/>
      <c r="G342" s="140"/>
      <c r="H342" s="140"/>
      <c r="I342" s="140"/>
      <c r="J342" s="140"/>
      <c r="K342" s="140"/>
      <c r="L342" s="140"/>
      <c r="M342" s="140"/>
      <c r="N342" s="140"/>
      <c r="O342" s="140"/>
      <c r="P342" s="140"/>
      <c r="Q342" s="140"/>
      <c r="R342" s="140"/>
      <c r="S342" s="140"/>
      <c r="T342" s="140" t="s">
        <v>275</v>
      </c>
      <c r="U342" s="136"/>
      <c r="V342" s="137"/>
      <c r="W342" s="137"/>
      <c r="X342" s="137"/>
      <c r="Y342" s="135" t="s">
        <v>413</v>
      </c>
      <c r="Z342" s="268">
        <v>0</v>
      </c>
      <c r="AA342" s="212">
        <v>0</v>
      </c>
      <c r="AB342" s="212">
        <v>0</v>
      </c>
      <c r="AC342" s="571" t="s">
        <v>413</v>
      </c>
    </row>
    <row r="343" spans="1:31" ht="55.9" customHeight="1" x14ac:dyDescent="0.3">
      <c r="A343" s="159" t="s">
        <v>414</v>
      </c>
      <c r="B343" s="160" t="s">
        <v>16</v>
      </c>
      <c r="C343" s="160"/>
      <c r="D343" s="160"/>
      <c r="E343" s="160"/>
      <c r="F343" s="160"/>
      <c r="G343" s="160"/>
      <c r="H343" s="160"/>
      <c r="I343" s="160"/>
      <c r="J343" s="160"/>
      <c r="K343" s="160"/>
      <c r="L343" s="160"/>
      <c r="M343" s="160"/>
      <c r="N343" s="160"/>
      <c r="O343" s="160"/>
      <c r="P343" s="160"/>
      <c r="Q343" s="160"/>
      <c r="R343" s="160"/>
      <c r="S343" s="160"/>
      <c r="T343" s="160"/>
      <c r="U343" s="160"/>
      <c r="V343" s="214"/>
      <c r="W343" s="214"/>
      <c r="X343" s="214"/>
      <c r="Y343" s="159" t="s">
        <v>414</v>
      </c>
      <c r="Z343" s="591">
        <f>Z347+Z535+Z423+Z518+Z398+Z391+Z410+Z528</f>
        <v>75576159.620000005</v>
      </c>
      <c r="AA343" s="215">
        <f>AA347+AA535+AA360+AA423+AA518+AA398+AA344</f>
        <v>38986151.269999996</v>
      </c>
      <c r="AB343" s="215">
        <f>AB347+AB535+AB360+AB423+AB518+AB398+AB344</f>
        <v>43680144.529999994</v>
      </c>
      <c r="AC343" s="292" t="s">
        <v>414</v>
      </c>
    </row>
    <row r="344" spans="1:31" ht="18.75" customHeight="1" x14ac:dyDescent="0.3">
      <c r="A344" s="159" t="s">
        <v>501</v>
      </c>
      <c r="B344" s="160" t="s">
        <v>16</v>
      </c>
      <c r="C344" s="160" t="s">
        <v>133</v>
      </c>
      <c r="D344" s="160" t="s">
        <v>133</v>
      </c>
      <c r="E344" s="160"/>
      <c r="F344" s="160"/>
      <c r="G344" s="160"/>
      <c r="H344" s="160"/>
      <c r="I344" s="160"/>
      <c r="J344" s="160"/>
      <c r="K344" s="160"/>
      <c r="L344" s="160"/>
      <c r="M344" s="160"/>
      <c r="N344" s="160"/>
      <c r="O344" s="160"/>
      <c r="P344" s="160"/>
      <c r="Q344" s="160"/>
      <c r="R344" s="160"/>
      <c r="S344" s="160"/>
      <c r="T344" s="160"/>
      <c r="U344" s="160"/>
      <c r="V344" s="214"/>
      <c r="W344" s="214"/>
      <c r="X344" s="214"/>
      <c r="Y344" s="159"/>
      <c r="Z344" s="591">
        <v>0</v>
      </c>
      <c r="AA344" s="215">
        <f>AA345</f>
        <v>4420012.5</v>
      </c>
      <c r="AB344" s="215">
        <f>AB345</f>
        <v>9094467.7599999998</v>
      </c>
      <c r="AC344" s="292"/>
    </row>
    <row r="345" spans="1:31" ht="16.5" customHeight="1" x14ac:dyDescent="0.3">
      <c r="A345" s="159" t="s">
        <v>1361</v>
      </c>
      <c r="B345" s="160" t="s">
        <v>16</v>
      </c>
      <c r="C345" s="160" t="s">
        <v>133</v>
      </c>
      <c r="D345" s="160" t="s">
        <v>133</v>
      </c>
      <c r="E345" s="160" t="s">
        <v>722</v>
      </c>
      <c r="F345" s="160"/>
      <c r="G345" s="160"/>
      <c r="H345" s="160"/>
      <c r="I345" s="160"/>
      <c r="J345" s="160"/>
      <c r="K345" s="160"/>
      <c r="L345" s="160"/>
      <c r="M345" s="160"/>
      <c r="N345" s="160"/>
      <c r="O345" s="160"/>
      <c r="P345" s="160"/>
      <c r="Q345" s="160"/>
      <c r="R345" s="160"/>
      <c r="S345" s="160"/>
      <c r="T345" s="160"/>
      <c r="U345" s="160"/>
      <c r="V345" s="214"/>
      <c r="W345" s="214"/>
      <c r="X345" s="214"/>
      <c r="Y345" s="159"/>
      <c r="Z345" s="591">
        <v>0</v>
      </c>
      <c r="AA345" s="215">
        <v>4420012.5</v>
      </c>
      <c r="AB345" s="215">
        <v>9094467.7599999998</v>
      </c>
      <c r="AC345" s="292"/>
    </row>
    <row r="346" spans="1:31" ht="27" customHeight="1" x14ac:dyDescent="0.3">
      <c r="A346" s="159" t="s">
        <v>501</v>
      </c>
      <c r="B346" s="160" t="s">
        <v>16</v>
      </c>
      <c r="C346" s="160" t="s">
        <v>133</v>
      </c>
      <c r="D346" s="160" t="s">
        <v>133</v>
      </c>
      <c r="E346" s="160" t="s">
        <v>722</v>
      </c>
      <c r="F346" s="160"/>
      <c r="G346" s="160"/>
      <c r="H346" s="160"/>
      <c r="I346" s="160"/>
      <c r="J346" s="160"/>
      <c r="K346" s="160"/>
      <c r="L346" s="160"/>
      <c r="M346" s="160"/>
      <c r="N346" s="160"/>
      <c r="O346" s="160"/>
      <c r="P346" s="160"/>
      <c r="Q346" s="160"/>
      <c r="R346" s="160"/>
      <c r="S346" s="160"/>
      <c r="T346" s="160" t="s">
        <v>502</v>
      </c>
      <c r="U346" s="160"/>
      <c r="V346" s="214"/>
      <c r="W346" s="214"/>
      <c r="X346" s="214"/>
      <c r="Y346" s="159"/>
      <c r="Z346" s="591">
        <v>0</v>
      </c>
      <c r="AA346" s="215">
        <v>0</v>
      </c>
      <c r="AB346" s="215">
        <v>0</v>
      </c>
      <c r="AC346" s="292"/>
    </row>
    <row r="347" spans="1:31" ht="37.15" customHeight="1" x14ac:dyDescent="0.3">
      <c r="A347" s="159" t="s">
        <v>270</v>
      </c>
      <c r="B347" s="160" t="s">
        <v>16</v>
      </c>
      <c r="C347" s="160" t="s">
        <v>122</v>
      </c>
      <c r="D347" s="160" t="s">
        <v>133</v>
      </c>
      <c r="E347" s="160"/>
      <c r="F347" s="160"/>
      <c r="G347" s="160"/>
      <c r="H347" s="160"/>
      <c r="I347" s="160"/>
      <c r="J347" s="160"/>
      <c r="K347" s="160"/>
      <c r="L347" s="160"/>
      <c r="M347" s="160"/>
      <c r="N347" s="160"/>
      <c r="O347" s="160"/>
      <c r="P347" s="160"/>
      <c r="Q347" s="160"/>
      <c r="R347" s="160"/>
      <c r="S347" s="160"/>
      <c r="T347" s="160"/>
      <c r="U347" s="160"/>
      <c r="V347" s="214"/>
      <c r="W347" s="214"/>
      <c r="X347" s="214"/>
      <c r="Y347" s="159" t="s">
        <v>270</v>
      </c>
      <c r="Z347" s="591">
        <f>Z348+Z360</f>
        <v>19286618.149999999</v>
      </c>
      <c r="AA347" s="215">
        <f>AA348</f>
        <v>12157538.77</v>
      </c>
      <c r="AB347" s="215">
        <f>AB348</f>
        <v>12157776.77</v>
      </c>
      <c r="AC347" s="292" t="s">
        <v>270</v>
      </c>
    </row>
    <row r="348" spans="1:31" ht="78.75" customHeight="1" x14ac:dyDescent="0.3">
      <c r="A348" s="159" t="s">
        <v>250</v>
      </c>
      <c r="B348" s="160" t="s">
        <v>16</v>
      </c>
      <c r="C348" s="160" t="s">
        <v>122</v>
      </c>
      <c r="D348" s="160" t="s">
        <v>125</v>
      </c>
      <c r="E348" s="160"/>
      <c r="F348" s="160"/>
      <c r="G348" s="160"/>
      <c r="H348" s="160"/>
      <c r="I348" s="160"/>
      <c r="J348" s="160"/>
      <c r="K348" s="160"/>
      <c r="L348" s="160"/>
      <c r="M348" s="160"/>
      <c r="N348" s="160"/>
      <c r="O348" s="160"/>
      <c r="P348" s="160"/>
      <c r="Q348" s="160"/>
      <c r="R348" s="160"/>
      <c r="S348" s="160"/>
      <c r="T348" s="160"/>
      <c r="U348" s="160"/>
      <c r="V348" s="214"/>
      <c r="W348" s="214"/>
      <c r="X348" s="214"/>
      <c r="Y348" s="159" t="s">
        <v>250</v>
      </c>
      <c r="Z348" s="215">
        <f>Z349+Z357+Z355+Z353</f>
        <v>13743146.640000001</v>
      </c>
      <c r="AA348" s="215">
        <f>AA349+AA357+AA355</f>
        <v>12157538.77</v>
      </c>
      <c r="AB348" s="215">
        <f>AB349+AB357+AB355</f>
        <v>12157776.77</v>
      </c>
      <c r="AC348" s="292" t="s">
        <v>250</v>
      </c>
    </row>
    <row r="349" spans="1:31" ht="168" customHeight="1" x14ac:dyDescent="0.3">
      <c r="A349" s="153" t="s">
        <v>1238</v>
      </c>
      <c r="B349" s="234" t="s">
        <v>16</v>
      </c>
      <c r="C349" s="234" t="s">
        <v>122</v>
      </c>
      <c r="D349" s="234" t="s">
        <v>125</v>
      </c>
      <c r="E349" s="234" t="s">
        <v>620</v>
      </c>
      <c r="F349" s="234"/>
      <c r="G349" s="234"/>
      <c r="H349" s="234"/>
      <c r="I349" s="234"/>
      <c r="J349" s="234"/>
      <c r="K349" s="234"/>
      <c r="L349" s="234"/>
      <c r="M349" s="234"/>
      <c r="N349" s="234"/>
      <c r="O349" s="234"/>
      <c r="P349" s="234"/>
      <c r="Q349" s="234"/>
      <c r="R349" s="234"/>
      <c r="S349" s="234"/>
      <c r="T349" s="234"/>
      <c r="U349" s="161"/>
      <c r="V349" s="206"/>
      <c r="W349" s="206"/>
      <c r="X349" s="206"/>
      <c r="Y349" s="153" t="s">
        <v>415</v>
      </c>
      <c r="Z349" s="239">
        <f>Z350+Z351+Z352</f>
        <v>13020040.640000001</v>
      </c>
      <c r="AA349" s="239">
        <f>AA350+AA351+AA352</f>
        <v>11557451.77</v>
      </c>
      <c r="AB349" s="239">
        <f>AB350+AB351+AB352</f>
        <v>11557451.77</v>
      </c>
      <c r="AC349" s="568" t="s">
        <v>415</v>
      </c>
      <c r="AE349" s="127">
        <f>Z343-Z348</f>
        <v>61833012.980000004</v>
      </c>
    </row>
    <row r="350" spans="1:31" ht="134.25" customHeight="1" x14ac:dyDescent="0.3">
      <c r="A350" s="135" t="s">
        <v>726</v>
      </c>
      <c r="B350" s="140" t="s">
        <v>16</v>
      </c>
      <c r="C350" s="140" t="s">
        <v>122</v>
      </c>
      <c r="D350" s="140" t="s">
        <v>125</v>
      </c>
      <c r="E350" s="234" t="s">
        <v>620</v>
      </c>
      <c r="F350" s="140"/>
      <c r="G350" s="140"/>
      <c r="H350" s="140"/>
      <c r="I350" s="140"/>
      <c r="J350" s="140"/>
      <c r="K350" s="140"/>
      <c r="L350" s="140"/>
      <c r="M350" s="140"/>
      <c r="N350" s="140"/>
      <c r="O350" s="140"/>
      <c r="P350" s="140"/>
      <c r="Q350" s="140"/>
      <c r="R350" s="140"/>
      <c r="S350" s="140"/>
      <c r="T350" s="140" t="s">
        <v>38</v>
      </c>
      <c r="U350" s="136"/>
      <c r="V350" s="137"/>
      <c r="W350" s="137"/>
      <c r="X350" s="137"/>
      <c r="Y350" s="135" t="s">
        <v>416</v>
      </c>
      <c r="Z350" s="212">
        <f>7520736.38+23900+2253142.39+575000+200000+341181+1462588.87</f>
        <v>12376548.640000001</v>
      </c>
      <c r="AA350" s="212">
        <v>10913959.77</v>
      </c>
      <c r="AB350" s="212">
        <v>10913959.77</v>
      </c>
      <c r="AC350" s="213" t="s">
        <v>416</v>
      </c>
      <c r="AE350" s="127"/>
    </row>
    <row r="351" spans="1:31" ht="67.5" customHeight="1" x14ac:dyDescent="0.3">
      <c r="A351" s="135" t="s">
        <v>565</v>
      </c>
      <c r="B351" s="140" t="s">
        <v>16</v>
      </c>
      <c r="C351" s="140" t="s">
        <v>122</v>
      </c>
      <c r="D351" s="140" t="s">
        <v>125</v>
      </c>
      <c r="E351" s="234" t="s">
        <v>620</v>
      </c>
      <c r="F351" s="140"/>
      <c r="G351" s="140"/>
      <c r="H351" s="140"/>
      <c r="I351" s="140"/>
      <c r="J351" s="140"/>
      <c r="K351" s="140"/>
      <c r="L351" s="140"/>
      <c r="M351" s="140"/>
      <c r="N351" s="140"/>
      <c r="O351" s="140"/>
      <c r="P351" s="140"/>
      <c r="Q351" s="140"/>
      <c r="R351" s="140"/>
      <c r="S351" s="140"/>
      <c r="T351" s="140" t="s">
        <v>275</v>
      </c>
      <c r="U351" s="136"/>
      <c r="V351" s="137"/>
      <c r="W351" s="137"/>
      <c r="X351" s="137"/>
      <c r="Y351" s="135" t="s">
        <v>417</v>
      </c>
      <c r="Z351" s="212">
        <f>184200+15000+20000+249700+11000+66800+94792</f>
        <v>641492</v>
      </c>
      <c r="AA351" s="212">
        <f>184200+15000+20000+249700+11000+66800+94792</f>
        <v>641492</v>
      </c>
      <c r="AB351" s="212">
        <f>184200+15000+20000+249700+11000+66800+94792</f>
        <v>641492</v>
      </c>
      <c r="AC351" s="213" t="s">
        <v>417</v>
      </c>
    </row>
    <row r="352" spans="1:31" ht="40.5" customHeight="1" x14ac:dyDescent="0.3">
      <c r="A352" s="135" t="s">
        <v>763</v>
      </c>
      <c r="B352" s="140" t="s">
        <v>16</v>
      </c>
      <c r="C352" s="140" t="s">
        <v>122</v>
      </c>
      <c r="D352" s="140" t="s">
        <v>125</v>
      </c>
      <c r="E352" s="234" t="s">
        <v>620</v>
      </c>
      <c r="F352" s="140"/>
      <c r="G352" s="140"/>
      <c r="H352" s="140"/>
      <c r="I352" s="140"/>
      <c r="J352" s="140"/>
      <c r="K352" s="140"/>
      <c r="L352" s="140"/>
      <c r="M352" s="140"/>
      <c r="N352" s="140"/>
      <c r="O352" s="140"/>
      <c r="P352" s="140"/>
      <c r="Q352" s="140"/>
      <c r="R352" s="140"/>
      <c r="S352" s="140"/>
      <c r="T352" s="140" t="s">
        <v>243</v>
      </c>
      <c r="U352" s="136"/>
      <c r="V352" s="137"/>
      <c r="W352" s="137"/>
      <c r="X352" s="137"/>
      <c r="Y352" s="135" t="s">
        <v>418</v>
      </c>
      <c r="Z352" s="212">
        <f>2000</f>
        <v>2000</v>
      </c>
      <c r="AA352" s="212">
        <v>2000</v>
      </c>
      <c r="AB352" s="212">
        <v>2000</v>
      </c>
      <c r="AC352" s="213" t="s">
        <v>418</v>
      </c>
    </row>
    <row r="353" spans="1:31" ht="192" customHeight="1" x14ac:dyDescent="0.3">
      <c r="A353" s="153" t="s">
        <v>1510</v>
      </c>
      <c r="B353" s="140" t="s">
        <v>16</v>
      </c>
      <c r="C353" s="140" t="s">
        <v>122</v>
      </c>
      <c r="D353" s="140" t="s">
        <v>125</v>
      </c>
      <c r="E353" s="234" t="s">
        <v>1511</v>
      </c>
      <c r="F353" s="140"/>
      <c r="G353" s="140"/>
      <c r="H353" s="140"/>
      <c r="I353" s="140"/>
      <c r="J353" s="140"/>
      <c r="K353" s="140"/>
      <c r="L353" s="140"/>
      <c r="M353" s="140"/>
      <c r="N353" s="140"/>
      <c r="O353" s="140"/>
      <c r="P353" s="140"/>
      <c r="Q353" s="140"/>
      <c r="R353" s="140"/>
      <c r="S353" s="140"/>
      <c r="T353" s="140"/>
      <c r="U353" s="136"/>
      <c r="V353" s="137"/>
      <c r="W353" s="137"/>
      <c r="X353" s="137"/>
      <c r="Y353" s="135"/>
      <c r="Z353" s="212">
        <f>Z354</f>
        <v>1000</v>
      </c>
      <c r="AA353" s="212">
        <v>0</v>
      </c>
      <c r="AB353" s="212">
        <v>0</v>
      </c>
      <c r="AC353" s="213"/>
    </row>
    <row r="354" spans="1:31" ht="105" customHeight="1" x14ac:dyDescent="0.3">
      <c r="A354" s="135" t="s">
        <v>1512</v>
      </c>
      <c r="B354" s="140" t="s">
        <v>16</v>
      </c>
      <c r="C354" s="140" t="s">
        <v>122</v>
      </c>
      <c r="D354" s="140" t="s">
        <v>125</v>
      </c>
      <c r="E354" s="234" t="s">
        <v>1511</v>
      </c>
      <c r="F354" s="140"/>
      <c r="G354" s="140"/>
      <c r="H354" s="140"/>
      <c r="I354" s="140"/>
      <c r="J354" s="140"/>
      <c r="K354" s="140"/>
      <c r="L354" s="140"/>
      <c r="M354" s="140"/>
      <c r="N354" s="140"/>
      <c r="O354" s="140"/>
      <c r="P354" s="140"/>
      <c r="Q354" s="140"/>
      <c r="R354" s="140"/>
      <c r="S354" s="140"/>
      <c r="T354" s="140" t="s">
        <v>38</v>
      </c>
      <c r="U354" s="136"/>
      <c r="V354" s="137"/>
      <c r="W354" s="137"/>
      <c r="X354" s="137"/>
      <c r="Y354" s="135"/>
      <c r="Z354" s="212">
        <v>1000</v>
      </c>
      <c r="AA354" s="212">
        <v>0</v>
      </c>
      <c r="AB354" s="212">
        <v>0</v>
      </c>
      <c r="AC354" s="213"/>
    </row>
    <row r="355" spans="1:31" ht="226.5" customHeight="1" x14ac:dyDescent="0.3">
      <c r="A355" s="155" t="s">
        <v>1330</v>
      </c>
      <c r="B355" s="140" t="s">
        <v>16</v>
      </c>
      <c r="C355" s="140" t="s">
        <v>122</v>
      </c>
      <c r="D355" s="140" t="s">
        <v>125</v>
      </c>
      <c r="E355" s="234" t="s">
        <v>1110</v>
      </c>
      <c r="F355" s="140"/>
      <c r="G355" s="140"/>
      <c r="H355" s="140"/>
      <c r="I355" s="140"/>
      <c r="J355" s="140"/>
      <c r="K355" s="140"/>
      <c r="L355" s="140"/>
      <c r="M355" s="140"/>
      <c r="N355" s="140"/>
      <c r="O355" s="140"/>
      <c r="P355" s="140"/>
      <c r="Q355" s="140"/>
      <c r="R355" s="140"/>
      <c r="S355" s="140"/>
      <c r="T355" s="140"/>
      <c r="U355" s="136"/>
      <c r="V355" s="137"/>
      <c r="W355" s="137"/>
      <c r="X355" s="137"/>
      <c r="Y355" s="135"/>
      <c r="Z355" s="212">
        <f>Z356</f>
        <v>23806</v>
      </c>
      <c r="AA355" s="212">
        <f>AA356</f>
        <v>24087</v>
      </c>
      <c r="AB355" s="212">
        <f>AB356</f>
        <v>24325</v>
      </c>
      <c r="AC355" s="213"/>
    </row>
    <row r="356" spans="1:31" ht="113.25" customHeight="1" x14ac:dyDescent="0.3">
      <c r="A356" s="135" t="s">
        <v>726</v>
      </c>
      <c r="B356" s="140" t="s">
        <v>16</v>
      </c>
      <c r="C356" s="140" t="s">
        <v>122</v>
      </c>
      <c r="D356" s="140" t="s">
        <v>125</v>
      </c>
      <c r="E356" s="234" t="s">
        <v>1110</v>
      </c>
      <c r="F356" s="140"/>
      <c r="G356" s="140"/>
      <c r="H356" s="140"/>
      <c r="I356" s="140"/>
      <c r="J356" s="140"/>
      <c r="K356" s="140"/>
      <c r="L356" s="140"/>
      <c r="M356" s="140"/>
      <c r="N356" s="140"/>
      <c r="O356" s="140"/>
      <c r="P356" s="140"/>
      <c r="Q356" s="140"/>
      <c r="R356" s="140"/>
      <c r="S356" s="140"/>
      <c r="T356" s="140" t="s">
        <v>38</v>
      </c>
      <c r="U356" s="136"/>
      <c r="V356" s="137"/>
      <c r="W356" s="137"/>
      <c r="X356" s="137"/>
      <c r="Y356" s="135"/>
      <c r="Z356" s="212">
        <f>23800+6</f>
        <v>23806</v>
      </c>
      <c r="AA356" s="212">
        <f>24100-13</f>
        <v>24087</v>
      </c>
      <c r="AB356" s="212">
        <f>24300+25</f>
        <v>24325</v>
      </c>
      <c r="AC356" s="213"/>
    </row>
    <row r="357" spans="1:31" ht="209.25" customHeight="1" x14ac:dyDescent="0.3">
      <c r="A357" s="153" t="s">
        <v>1309</v>
      </c>
      <c r="B357" s="234" t="s">
        <v>16</v>
      </c>
      <c r="C357" s="234" t="s">
        <v>122</v>
      </c>
      <c r="D357" s="234" t="s">
        <v>125</v>
      </c>
      <c r="E357" s="234" t="s">
        <v>622</v>
      </c>
      <c r="F357" s="234"/>
      <c r="G357" s="234"/>
      <c r="H357" s="234"/>
      <c r="I357" s="234"/>
      <c r="J357" s="234"/>
      <c r="K357" s="234"/>
      <c r="L357" s="234"/>
      <c r="M357" s="234"/>
      <c r="N357" s="234"/>
      <c r="O357" s="234"/>
      <c r="P357" s="234"/>
      <c r="Q357" s="234"/>
      <c r="R357" s="234"/>
      <c r="S357" s="234"/>
      <c r="T357" s="234"/>
      <c r="U357" s="161"/>
      <c r="V357" s="206"/>
      <c r="W357" s="206"/>
      <c r="X357" s="206"/>
      <c r="Y357" s="153" t="s">
        <v>419</v>
      </c>
      <c r="Z357" s="239">
        <f>Z358</f>
        <v>698300</v>
      </c>
      <c r="AA357" s="239">
        <f>AA358</f>
        <v>576000</v>
      </c>
      <c r="AB357" s="239">
        <f>AB358</f>
        <v>576000</v>
      </c>
      <c r="AC357" s="568" t="s">
        <v>419</v>
      </c>
    </row>
    <row r="358" spans="1:31" ht="120.75" customHeight="1" x14ac:dyDescent="0.3">
      <c r="A358" s="154" t="s">
        <v>726</v>
      </c>
      <c r="B358" s="140" t="s">
        <v>16</v>
      </c>
      <c r="C358" s="140" t="s">
        <v>122</v>
      </c>
      <c r="D358" s="140" t="s">
        <v>125</v>
      </c>
      <c r="E358" s="234" t="s">
        <v>622</v>
      </c>
      <c r="F358" s="140"/>
      <c r="G358" s="140"/>
      <c r="H358" s="140"/>
      <c r="I358" s="140"/>
      <c r="J358" s="140"/>
      <c r="K358" s="140"/>
      <c r="L358" s="140"/>
      <c r="M358" s="140"/>
      <c r="N358" s="140"/>
      <c r="O358" s="140"/>
      <c r="P358" s="140"/>
      <c r="Q358" s="140"/>
      <c r="R358" s="140"/>
      <c r="S358" s="140"/>
      <c r="T358" s="140" t="s">
        <v>38</v>
      </c>
      <c r="U358" s="136"/>
      <c r="V358" s="137"/>
      <c r="W358" s="137"/>
      <c r="X358" s="137"/>
      <c r="Y358" s="154" t="s">
        <v>420</v>
      </c>
      <c r="Z358" s="212">
        <f>624996+73304</f>
        <v>698300</v>
      </c>
      <c r="AA358" s="212">
        <v>576000</v>
      </c>
      <c r="AB358" s="212">
        <v>576000</v>
      </c>
      <c r="AC358" s="569" t="s">
        <v>420</v>
      </c>
      <c r="AE358" s="127"/>
    </row>
    <row r="359" spans="1:31" ht="0.75" customHeight="1" x14ac:dyDescent="0.3">
      <c r="A359" s="159" t="s">
        <v>421</v>
      </c>
      <c r="B359" s="160" t="s">
        <v>16</v>
      </c>
      <c r="C359" s="160" t="s">
        <v>130</v>
      </c>
      <c r="D359" s="160" t="s">
        <v>133</v>
      </c>
      <c r="E359" s="160"/>
      <c r="F359" s="160"/>
      <c r="G359" s="160"/>
      <c r="H359" s="160"/>
      <c r="I359" s="160"/>
      <c r="J359" s="160"/>
      <c r="K359" s="160"/>
      <c r="L359" s="160"/>
      <c r="M359" s="160"/>
      <c r="N359" s="160"/>
      <c r="O359" s="160"/>
      <c r="P359" s="160"/>
      <c r="Q359" s="160"/>
      <c r="R359" s="160"/>
      <c r="S359" s="160"/>
      <c r="T359" s="160"/>
      <c r="U359" s="160"/>
      <c r="V359" s="214"/>
      <c r="W359" s="214"/>
      <c r="X359" s="214"/>
      <c r="Y359" s="159" t="s">
        <v>421</v>
      </c>
      <c r="Z359" s="215">
        <f t="shared" ref="Z359:AB361" si="14">Z360</f>
        <v>5543471.5099999998</v>
      </c>
      <c r="AA359" s="215">
        <f t="shared" si="14"/>
        <v>0</v>
      </c>
      <c r="AB359" s="215">
        <f t="shared" si="14"/>
        <v>0</v>
      </c>
      <c r="AC359" s="292" t="s">
        <v>421</v>
      </c>
    </row>
    <row r="360" spans="1:31" ht="33.75" customHeight="1" x14ac:dyDescent="0.3">
      <c r="A360" s="155" t="s">
        <v>141</v>
      </c>
      <c r="B360" s="140" t="s">
        <v>16</v>
      </c>
      <c r="C360" s="140" t="s">
        <v>122</v>
      </c>
      <c r="D360" s="140" t="s">
        <v>130</v>
      </c>
      <c r="E360" s="140"/>
      <c r="F360" s="140"/>
      <c r="G360" s="140"/>
      <c r="H360" s="140"/>
      <c r="I360" s="140"/>
      <c r="J360" s="140"/>
      <c r="K360" s="140"/>
      <c r="L360" s="140"/>
      <c r="M360" s="140"/>
      <c r="N360" s="140"/>
      <c r="O360" s="140"/>
      <c r="P360" s="140"/>
      <c r="Q360" s="140"/>
      <c r="R360" s="140"/>
      <c r="S360" s="140"/>
      <c r="T360" s="140"/>
      <c r="U360" s="160"/>
      <c r="V360" s="214"/>
      <c r="W360" s="214"/>
      <c r="X360" s="214"/>
      <c r="Y360" s="159" t="s">
        <v>421</v>
      </c>
      <c r="Z360" s="215">
        <f>Z372+Z377+Z385+Z381+Z364+Z368</f>
        <v>5543471.5099999998</v>
      </c>
      <c r="AA360" s="215">
        <f t="shared" si="14"/>
        <v>0</v>
      </c>
      <c r="AB360" s="215">
        <f t="shared" si="14"/>
        <v>0</v>
      </c>
      <c r="AC360" s="292" t="s">
        <v>255</v>
      </c>
      <c r="AE360" s="127"/>
    </row>
    <row r="361" spans="1:31" ht="89.25" hidden="1" customHeight="1" x14ac:dyDescent="0.3">
      <c r="A361" s="154" t="s">
        <v>761</v>
      </c>
      <c r="B361" s="140" t="s">
        <v>16</v>
      </c>
      <c r="C361" s="140" t="s">
        <v>122</v>
      </c>
      <c r="D361" s="140" t="s">
        <v>130</v>
      </c>
      <c r="E361" s="234" t="s">
        <v>762</v>
      </c>
      <c r="F361" s="140"/>
      <c r="G361" s="140"/>
      <c r="H361" s="140"/>
      <c r="I361" s="140"/>
      <c r="J361" s="140"/>
      <c r="K361" s="140"/>
      <c r="L361" s="140"/>
      <c r="M361" s="140"/>
      <c r="N361" s="140"/>
      <c r="O361" s="140"/>
      <c r="P361" s="140"/>
      <c r="Q361" s="140"/>
      <c r="R361" s="140"/>
      <c r="S361" s="140"/>
      <c r="T361" s="140"/>
      <c r="U361" s="160"/>
      <c r="V361" s="214"/>
      <c r="W361" s="214"/>
      <c r="X361" s="214"/>
      <c r="Y361" s="159" t="s">
        <v>255</v>
      </c>
      <c r="Z361" s="239">
        <f t="shared" si="14"/>
        <v>0</v>
      </c>
      <c r="AA361" s="239">
        <f t="shared" si="14"/>
        <v>0</v>
      </c>
      <c r="AB361" s="239">
        <f t="shared" si="14"/>
        <v>0</v>
      </c>
      <c r="AC361" s="568" t="s">
        <v>422</v>
      </c>
      <c r="AE361" s="127"/>
    </row>
    <row r="362" spans="1:31" ht="0.75" customHeight="1" x14ac:dyDescent="0.3">
      <c r="A362" s="142" t="s">
        <v>763</v>
      </c>
      <c r="B362" s="140" t="s">
        <v>16</v>
      </c>
      <c r="C362" s="140" t="s">
        <v>122</v>
      </c>
      <c r="D362" s="140" t="s">
        <v>130</v>
      </c>
      <c r="E362" s="234" t="s">
        <v>762</v>
      </c>
      <c r="F362" s="140"/>
      <c r="G362" s="140"/>
      <c r="H362" s="140"/>
      <c r="I362" s="140"/>
      <c r="J362" s="140"/>
      <c r="K362" s="140"/>
      <c r="L362" s="140"/>
      <c r="M362" s="140"/>
      <c r="N362" s="140"/>
      <c r="O362" s="140"/>
      <c r="P362" s="140"/>
      <c r="Q362" s="140"/>
      <c r="R362" s="140"/>
      <c r="S362" s="140"/>
      <c r="T362" s="140" t="s">
        <v>243</v>
      </c>
      <c r="U362" s="161"/>
      <c r="V362" s="206"/>
      <c r="W362" s="206"/>
      <c r="X362" s="206"/>
      <c r="Y362" s="153" t="s">
        <v>422</v>
      </c>
      <c r="Z362" s="239">
        <v>0</v>
      </c>
      <c r="AA362" s="212">
        <v>0</v>
      </c>
      <c r="AB362" s="212">
        <v>0</v>
      </c>
      <c r="AC362" s="213" t="s">
        <v>423</v>
      </c>
    </row>
    <row r="363" spans="1:31" ht="0.75" customHeight="1" x14ac:dyDescent="0.3">
      <c r="A363" s="885"/>
      <c r="B363" s="140"/>
      <c r="C363" s="140"/>
      <c r="D363" s="140"/>
      <c r="E363" s="234"/>
      <c r="F363" s="140"/>
      <c r="G363" s="140"/>
      <c r="H363" s="140"/>
      <c r="I363" s="140"/>
      <c r="J363" s="140"/>
      <c r="K363" s="140"/>
      <c r="L363" s="140"/>
      <c r="M363" s="140"/>
      <c r="N363" s="140"/>
      <c r="O363" s="140"/>
      <c r="P363" s="140"/>
      <c r="Q363" s="140"/>
      <c r="R363" s="140"/>
      <c r="S363" s="140"/>
      <c r="T363" s="140"/>
      <c r="U363" s="161"/>
      <c r="V363" s="206"/>
      <c r="W363" s="206"/>
      <c r="X363" s="206"/>
      <c r="Y363" s="153"/>
      <c r="Z363" s="239"/>
      <c r="AA363" s="212"/>
      <c r="AB363" s="212"/>
      <c r="AC363" s="213"/>
    </row>
    <row r="364" spans="1:31" ht="182.25" customHeight="1" x14ac:dyDescent="0.3">
      <c r="A364" s="266" t="s">
        <v>1522</v>
      </c>
      <c r="B364" s="788" t="s">
        <v>16</v>
      </c>
      <c r="C364" s="789" t="s">
        <v>122</v>
      </c>
      <c r="D364" s="789" t="s">
        <v>130</v>
      </c>
      <c r="E364" s="248" t="s">
        <v>1521</v>
      </c>
      <c r="F364" s="140"/>
      <c r="G364" s="140"/>
      <c r="H364" s="140"/>
      <c r="I364" s="140"/>
      <c r="J364" s="140"/>
      <c r="K364" s="140"/>
      <c r="L364" s="140"/>
      <c r="M364" s="140"/>
      <c r="N364" s="140"/>
      <c r="O364" s="140"/>
      <c r="P364" s="140"/>
      <c r="Q364" s="140"/>
      <c r="R364" s="140"/>
      <c r="S364" s="140"/>
      <c r="T364" s="140"/>
      <c r="U364" s="161"/>
      <c r="V364" s="206"/>
      <c r="W364" s="206"/>
      <c r="X364" s="206"/>
      <c r="Y364" s="153"/>
      <c r="Z364" s="239">
        <f>Z365</f>
        <v>1300000</v>
      </c>
      <c r="AA364" s="212">
        <v>0</v>
      </c>
      <c r="AB364" s="212">
        <v>0</v>
      </c>
      <c r="AC364" s="213"/>
    </row>
    <row r="365" spans="1:31" ht="61.5" customHeight="1" x14ac:dyDescent="0.3">
      <c r="A365" s="747" t="s">
        <v>1185</v>
      </c>
      <c r="B365" s="788" t="s">
        <v>16</v>
      </c>
      <c r="C365" s="789" t="s">
        <v>122</v>
      </c>
      <c r="D365" s="789" t="s">
        <v>130</v>
      </c>
      <c r="E365" s="248" t="s">
        <v>1521</v>
      </c>
      <c r="F365" s="789"/>
      <c r="G365" s="789"/>
      <c r="H365" s="789"/>
      <c r="I365" s="789"/>
      <c r="J365" s="789"/>
      <c r="K365" s="789"/>
      <c r="L365" s="789"/>
      <c r="M365" s="789"/>
      <c r="N365" s="789"/>
      <c r="O365" s="789"/>
      <c r="P365" s="789"/>
      <c r="Q365" s="789"/>
      <c r="R365" s="789"/>
      <c r="S365" s="789"/>
      <c r="T365" s="789" t="s">
        <v>427</v>
      </c>
      <c r="U365" s="161"/>
      <c r="V365" s="206"/>
      <c r="W365" s="206"/>
      <c r="X365" s="206"/>
      <c r="Y365" s="153"/>
      <c r="Z365" s="239">
        <f>Z367</f>
        <v>1300000</v>
      </c>
      <c r="AA365" s="212">
        <v>0</v>
      </c>
      <c r="AB365" s="212">
        <v>0</v>
      </c>
      <c r="AC365" s="213"/>
    </row>
    <row r="366" spans="1:31" ht="21.75" customHeight="1" x14ac:dyDescent="0.3">
      <c r="A366" s="295" t="s">
        <v>109</v>
      </c>
      <c r="B366" s="853"/>
      <c r="C366" s="140"/>
      <c r="D366" s="140"/>
      <c r="E366" s="234"/>
      <c r="F366" s="140"/>
      <c r="G366" s="140"/>
      <c r="H366" s="140"/>
      <c r="I366" s="140"/>
      <c r="J366" s="140"/>
      <c r="K366" s="140"/>
      <c r="L366" s="140"/>
      <c r="M366" s="140"/>
      <c r="N366" s="140"/>
      <c r="O366" s="140"/>
      <c r="P366" s="140"/>
      <c r="Q366" s="140"/>
      <c r="R366" s="140"/>
      <c r="S366" s="140"/>
      <c r="T366" s="140"/>
      <c r="U366" s="161"/>
      <c r="V366" s="206"/>
      <c r="W366" s="206"/>
      <c r="X366" s="206"/>
      <c r="Y366" s="153"/>
      <c r="Z366" s="239"/>
      <c r="AA366" s="212"/>
      <c r="AB366" s="212"/>
      <c r="AC366" s="213"/>
    </row>
    <row r="367" spans="1:31" ht="30" customHeight="1" x14ac:dyDescent="0.3">
      <c r="A367" s="827" t="s">
        <v>792</v>
      </c>
      <c r="B367" s="788" t="s">
        <v>16</v>
      </c>
      <c r="C367" s="789" t="s">
        <v>122</v>
      </c>
      <c r="D367" s="789" t="s">
        <v>130</v>
      </c>
      <c r="E367" s="248" t="s">
        <v>1521</v>
      </c>
      <c r="F367" s="789"/>
      <c r="G367" s="789"/>
      <c r="H367" s="789"/>
      <c r="I367" s="789"/>
      <c r="J367" s="789"/>
      <c r="K367" s="789"/>
      <c r="L367" s="789"/>
      <c r="M367" s="789"/>
      <c r="N367" s="789"/>
      <c r="O367" s="789"/>
      <c r="P367" s="789"/>
      <c r="Q367" s="789"/>
      <c r="R367" s="789"/>
      <c r="S367" s="789"/>
      <c r="T367" s="789" t="s">
        <v>427</v>
      </c>
      <c r="U367" s="509"/>
      <c r="V367" s="893"/>
      <c r="W367" s="893"/>
      <c r="X367" s="893"/>
      <c r="Y367" s="894"/>
      <c r="Z367" s="895">
        <v>1300000</v>
      </c>
      <c r="AA367" s="535">
        <v>0</v>
      </c>
      <c r="AB367" s="535">
        <v>0</v>
      </c>
      <c r="AC367" s="213"/>
    </row>
    <row r="368" spans="1:31" ht="167.25" customHeight="1" x14ac:dyDescent="0.3">
      <c r="A368" s="748" t="s">
        <v>1493</v>
      </c>
      <c r="B368" s="788" t="s">
        <v>16</v>
      </c>
      <c r="C368" s="789" t="s">
        <v>122</v>
      </c>
      <c r="D368" s="789" t="s">
        <v>130</v>
      </c>
      <c r="E368" s="248" t="s">
        <v>771</v>
      </c>
      <c r="F368" s="140"/>
      <c r="G368" s="140"/>
      <c r="H368" s="140"/>
      <c r="I368" s="140"/>
      <c r="J368" s="140"/>
      <c r="K368" s="140"/>
      <c r="L368" s="140"/>
      <c r="M368" s="140"/>
      <c r="N368" s="140"/>
      <c r="O368" s="140"/>
      <c r="P368" s="140"/>
      <c r="Q368" s="140"/>
      <c r="R368" s="140"/>
      <c r="S368" s="140"/>
      <c r="T368" s="140"/>
      <c r="U368" s="896"/>
      <c r="V368" s="896"/>
      <c r="W368" s="896"/>
      <c r="X368" s="896"/>
      <c r="Y368" s="896"/>
      <c r="Z368" s="897">
        <f>Z369</f>
        <v>197532.26</v>
      </c>
      <c r="AA368" s="898">
        <v>0</v>
      </c>
      <c r="AB368" s="898">
        <v>0</v>
      </c>
    </row>
    <row r="369" spans="1:29" ht="43.5" customHeight="1" x14ac:dyDescent="0.3">
      <c r="A369" s="747" t="s">
        <v>1185</v>
      </c>
      <c r="B369" s="788" t="s">
        <v>16</v>
      </c>
      <c r="C369" s="789" t="s">
        <v>122</v>
      </c>
      <c r="D369" s="789" t="s">
        <v>130</v>
      </c>
      <c r="E369" s="248" t="s">
        <v>771</v>
      </c>
      <c r="F369" s="789"/>
      <c r="G369" s="789"/>
      <c r="H369" s="789"/>
      <c r="I369" s="789"/>
      <c r="J369" s="789"/>
      <c r="K369" s="789"/>
      <c r="L369" s="789"/>
      <c r="M369" s="789"/>
      <c r="N369" s="789"/>
      <c r="O369" s="789"/>
      <c r="P369" s="789"/>
      <c r="Q369" s="789"/>
      <c r="R369" s="789"/>
      <c r="S369" s="789"/>
      <c r="T369" s="789" t="s">
        <v>427</v>
      </c>
      <c r="U369" s="164"/>
      <c r="V369" s="886"/>
      <c r="W369" s="886"/>
      <c r="X369" s="886"/>
      <c r="Y369" s="158"/>
      <c r="Z369" s="887">
        <f>Z371</f>
        <v>197532.26</v>
      </c>
      <c r="AA369" s="888">
        <v>0</v>
      </c>
      <c r="AB369" s="888">
        <v>0</v>
      </c>
      <c r="AC369" s="213"/>
    </row>
    <row r="370" spans="1:29" ht="24.75" customHeight="1" x14ac:dyDescent="0.3">
      <c r="A370" s="594" t="s">
        <v>109</v>
      </c>
      <c r="B370" s="853"/>
      <c r="C370" s="140"/>
      <c r="D370" s="140"/>
      <c r="E370" s="234"/>
      <c r="F370" s="140"/>
      <c r="G370" s="140"/>
      <c r="H370" s="140"/>
      <c r="I370" s="140"/>
      <c r="J370" s="140"/>
      <c r="K370" s="140"/>
      <c r="L370" s="140"/>
      <c r="M370" s="140"/>
      <c r="N370" s="140"/>
      <c r="O370" s="140"/>
      <c r="P370" s="140"/>
      <c r="Q370" s="140"/>
      <c r="R370" s="140"/>
      <c r="S370" s="140"/>
      <c r="T370" s="140"/>
      <c r="U370" s="161"/>
      <c r="V370" s="206"/>
      <c r="W370" s="206"/>
      <c r="X370" s="206"/>
      <c r="Y370" s="153"/>
      <c r="Z370" s="239"/>
      <c r="AA370" s="212"/>
      <c r="AB370" s="212"/>
      <c r="AC370" s="213"/>
    </row>
    <row r="371" spans="1:29" ht="31.5" customHeight="1" x14ac:dyDescent="0.3">
      <c r="A371" s="855" t="s">
        <v>793</v>
      </c>
      <c r="B371" s="788" t="s">
        <v>16</v>
      </c>
      <c r="C371" s="789" t="s">
        <v>122</v>
      </c>
      <c r="D371" s="789" t="s">
        <v>130</v>
      </c>
      <c r="E371" s="248" t="s">
        <v>771</v>
      </c>
      <c r="F371" s="789"/>
      <c r="G371" s="789"/>
      <c r="H371" s="789"/>
      <c r="I371" s="789"/>
      <c r="J371" s="789"/>
      <c r="K371" s="789"/>
      <c r="L371" s="789"/>
      <c r="M371" s="789"/>
      <c r="N371" s="789"/>
      <c r="O371" s="789"/>
      <c r="P371" s="789"/>
      <c r="Q371" s="789"/>
      <c r="R371" s="789"/>
      <c r="S371" s="789"/>
      <c r="T371" s="789" t="s">
        <v>427</v>
      </c>
      <c r="U371" s="161"/>
      <c r="V371" s="206"/>
      <c r="W371" s="206"/>
      <c r="X371" s="206"/>
      <c r="Y371" s="153"/>
      <c r="Z371" s="239">
        <v>197532.26</v>
      </c>
      <c r="AA371" s="212">
        <v>0</v>
      </c>
      <c r="AB371" s="212">
        <v>0</v>
      </c>
      <c r="AC371" s="213"/>
    </row>
    <row r="372" spans="1:29" ht="168.75" customHeight="1" x14ac:dyDescent="0.3">
      <c r="A372" s="492" t="s">
        <v>1437</v>
      </c>
      <c r="B372" s="140" t="s">
        <v>16</v>
      </c>
      <c r="C372" s="140" t="s">
        <v>122</v>
      </c>
      <c r="D372" s="140" t="s">
        <v>130</v>
      </c>
      <c r="E372" s="234"/>
      <c r="F372" s="140"/>
      <c r="G372" s="140"/>
      <c r="H372" s="140"/>
      <c r="I372" s="140"/>
      <c r="J372" s="140"/>
      <c r="K372" s="140"/>
      <c r="L372" s="140"/>
      <c r="M372" s="140"/>
      <c r="N372" s="140"/>
      <c r="O372" s="140"/>
      <c r="P372" s="140"/>
      <c r="Q372" s="140"/>
      <c r="R372" s="140"/>
      <c r="S372" s="140"/>
      <c r="T372" s="140"/>
      <c r="U372" s="161"/>
      <c r="V372" s="206"/>
      <c r="W372" s="206"/>
      <c r="X372" s="206"/>
      <c r="Y372" s="153"/>
      <c r="Z372" s="239">
        <f>Z373</f>
        <v>2690451.22</v>
      </c>
      <c r="AA372" s="212"/>
      <c r="AB372" s="212"/>
      <c r="AC372" s="213"/>
    </row>
    <row r="373" spans="1:29" ht="44.25" customHeight="1" x14ac:dyDescent="0.3">
      <c r="A373" s="747" t="s">
        <v>1185</v>
      </c>
      <c r="B373" s="140" t="s">
        <v>16</v>
      </c>
      <c r="C373" s="140" t="s">
        <v>122</v>
      </c>
      <c r="D373" s="140" t="s">
        <v>130</v>
      </c>
      <c r="E373" s="234" t="s">
        <v>1000</v>
      </c>
      <c r="F373" s="140"/>
      <c r="G373" s="140"/>
      <c r="H373" s="140"/>
      <c r="I373" s="140"/>
      <c r="J373" s="140"/>
      <c r="K373" s="140"/>
      <c r="L373" s="140"/>
      <c r="M373" s="140"/>
      <c r="N373" s="140"/>
      <c r="O373" s="140"/>
      <c r="P373" s="140"/>
      <c r="Q373" s="140"/>
      <c r="R373" s="140"/>
      <c r="S373" s="140"/>
      <c r="T373" s="140" t="s">
        <v>427</v>
      </c>
      <c r="U373" s="161"/>
      <c r="V373" s="206"/>
      <c r="W373" s="206"/>
      <c r="X373" s="206"/>
      <c r="Y373" s="153"/>
      <c r="Z373" s="239">
        <f>Z375+Z376</f>
        <v>2690451.22</v>
      </c>
      <c r="AA373" s="212">
        <v>0</v>
      </c>
      <c r="AB373" s="212">
        <v>0</v>
      </c>
      <c r="AC373" s="213"/>
    </row>
    <row r="374" spans="1:29" ht="33.75" customHeight="1" x14ac:dyDescent="0.3">
      <c r="A374" s="295" t="s">
        <v>109</v>
      </c>
      <c r="B374" s="140"/>
      <c r="C374" s="140"/>
      <c r="D374" s="140"/>
      <c r="E374" s="234"/>
      <c r="F374" s="140"/>
      <c r="G374" s="140"/>
      <c r="H374" s="140"/>
      <c r="I374" s="140"/>
      <c r="J374" s="140"/>
      <c r="K374" s="140"/>
      <c r="L374" s="140"/>
      <c r="M374" s="140"/>
      <c r="N374" s="140"/>
      <c r="O374" s="140"/>
      <c r="P374" s="140"/>
      <c r="Q374" s="140"/>
      <c r="R374" s="140"/>
      <c r="S374" s="140"/>
      <c r="T374" s="140"/>
      <c r="U374" s="161"/>
      <c r="V374" s="206"/>
      <c r="W374" s="206"/>
      <c r="X374" s="206"/>
      <c r="Y374" s="153"/>
      <c r="Z374" s="239"/>
      <c r="AA374" s="212"/>
      <c r="AB374" s="212"/>
      <c r="AC374" s="213"/>
    </row>
    <row r="375" spans="1:29" ht="27" customHeight="1" x14ac:dyDescent="0.3">
      <c r="A375" s="142" t="s">
        <v>792</v>
      </c>
      <c r="B375" s="140" t="s">
        <v>16</v>
      </c>
      <c r="C375" s="140" t="s">
        <v>122</v>
      </c>
      <c r="D375" s="140" t="s">
        <v>130</v>
      </c>
      <c r="E375" s="234" t="s">
        <v>1000</v>
      </c>
      <c r="F375" s="140"/>
      <c r="G375" s="140"/>
      <c r="H375" s="140"/>
      <c r="I375" s="140"/>
      <c r="J375" s="140"/>
      <c r="K375" s="140"/>
      <c r="L375" s="140"/>
      <c r="M375" s="140"/>
      <c r="N375" s="140"/>
      <c r="O375" s="140"/>
      <c r="P375" s="140"/>
      <c r="Q375" s="140"/>
      <c r="R375" s="140"/>
      <c r="S375" s="140"/>
      <c r="T375" s="140" t="s">
        <v>427</v>
      </c>
      <c r="U375" s="161"/>
      <c r="V375" s="206"/>
      <c r="W375" s="206"/>
      <c r="X375" s="206"/>
      <c r="Y375" s="153"/>
      <c r="Z375" s="239">
        <f>370058.64+120391.94</f>
        <v>490450.58</v>
      </c>
      <c r="AA375" s="212">
        <v>0</v>
      </c>
      <c r="AB375" s="212">
        <v>0</v>
      </c>
      <c r="AC375" s="213"/>
    </row>
    <row r="376" spans="1:29" ht="32.25" customHeight="1" x14ac:dyDescent="0.3">
      <c r="A376" s="142" t="s">
        <v>1438</v>
      </c>
      <c r="B376" s="140" t="s">
        <v>16</v>
      </c>
      <c r="C376" s="140" t="s">
        <v>122</v>
      </c>
      <c r="D376" s="140" t="s">
        <v>130</v>
      </c>
      <c r="E376" s="234" t="s">
        <v>1000</v>
      </c>
      <c r="F376" s="140"/>
      <c r="G376" s="140"/>
      <c r="H376" s="140"/>
      <c r="I376" s="140"/>
      <c r="J376" s="140"/>
      <c r="K376" s="140"/>
      <c r="L376" s="140"/>
      <c r="M376" s="140"/>
      <c r="N376" s="140"/>
      <c r="O376" s="140"/>
      <c r="P376" s="140"/>
      <c r="Q376" s="140"/>
      <c r="R376" s="140"/>
      <c r="S376" s="140"/>
      <c r="T376" s="140" t="s">
        <v>427</v>
      </c>
      <c r="U376" s="161"/>
      <c r="V376" s="206"/>
      <c r="W376" s="206"/>
      <c r="X376" s="206"/>
      <c r="Y376" s="153"/>
      <c r="Z376" s="239">
        <v>2200000.64</v>
      </c>
      <c r="AA376" s="212">
        <v>0</v>
      </c>
      <c r="AB376" s="212">
        <v>0</v>
      </c>
      <c r="AC376" s="213"/>
    </row>
    <row r="377" spans="1:29" ht="221.25" customHeight="1" x14ac:dyDescent="0.3">
      <c r="A377" s="153" t="s">
        <v>1241</v>
      </c>
      <c r="B377" s="140" t="s">
        <v>16</v>
      </c>
      <c r="C377" s="140" t="s">
        <v>122</v>
      </c>
      <c r="D377" s="140" t="s">
        <v>130</v>
      </c>
      <c r="E377" s="234" t="s">
        <v>642</v>
      </c>
      <c r="F377" s="140"/>
      <c r="G377" s="140"/>
      <c r="H377" s="140"/>
      <c r="I377" s="140"/>
      <c r="J377" s="140"/>
      <c r="K377" s="140"/>
      <c r="L377" s="140"/>
      <c r="M377" s="140"/>
      <c r="N377" s="140"/>
      <c r="O377" s="140"/>
      <c r="P377" s="140"/>
      <c r="Q377" s="140"/>
      <c r="R377" s="140"/>
      <c r="S377" s="140"/>
      <c r="T377" s="140"/>
      <c r="U377" s="161"/>
      <c r="V377" s="206"/>
      <c r="W377" s="206"/>
      <c r="X377" s="206"/>
      <c r="Y377" s="153"/>
      <c r="Z377" s="239">
        <f>Z378</f>
        <v>500000</v>
      </c>
      <c r="AA377" s="212">
        <v>0</v>
      </c>
      <c r="AB377" s="212">
        <v>0</v>
      </c>
      <c r="AC377" s="213"/>
    </row>
    <row r="378" spans="1:29" ht="43.5" customHeight="1" x14ac:dyDescent="0.3">
      <c r="A378" s="747" t="s">
        <v>1185</v>
      </c>
      <c r="B378" s="140" t="s">
        <v>16</v>
      </c>
      <c r="C378" s="140" t="s">
        <v>122</v>
      </c>
      <c r="D378" s="140" t="s">
        <v>130</v>
      </c>
      <c r="E378" s="234" t="s">
        <v>642</v>
      </c>
      <c r="F378" s="140"/>
      <c r="G378" s="140"/>
      <c r="H378" s="140"/>
      <c r="I378" s="140"/>
      <c r="J378" s="140"/>
      <c r="K378" s="140"/>
      <c r="L378" s="140"/>
      <c r="M378" s="140"/>
      <c r="N378" s="140"/>
      <c r="O378" s="140"/>
      <c r="P378" s="140"/>
      <c r="Q378" s="140"/>
      <c r="R378" s="140"/>
      <c r="S378" s="140"/>
      <c r="T378" s="140" t="s">
        <v>427</v>
      </c>
      <c r="U378" s="161"/>
      <c r="V378" s="206"/>
      <c r="W378" s="206"/>
      <c r="X378" s="206"/>
      <c r="Y378" s="153"/>
      <c r="Z378" s="239">
        <f>Z380</f>
        <v>500000</v>
      </c>
      <c r="AA378" s="212">
        <v>0</v>
      </c>
      <c r="AB378" s="212">
        <v>0</v>
      </c>
      <c r="AC378" s="213"/>
    </row>
    <row r="379" spans="1:29" ht="23.25" customHeight="1" x14ac:dyDescent="0.3">
      <c r="A379" s="295" t="s">
        <v>109</v>
      </c>
      <c r="B379" s="140"/>
      <c r="C379" s="140"/>
      <c r="D379" s="140"/>
      <c r="E379" s="234"/>
      <c r="F379" s="140"/>
      <c r="G379" s="140"/>
      <c r="H379" s="140"/>
      <c r="I379" s="140"/>
      <c r="J379" s="140"/>
      <c r="K379" s="140"/>
      <c r="L379" s="140"/>
      <c r="M379" s="140"/>
      <c r="N379" s="140"/>
      <c r="O379" s="140"/>
      <c r="P379" s="140"/>
      <c r="Q379" s="140"/>
      <c r="R379" s="140"/>
      <c r="S379" s="140"/>
      <c r="T379" s="140"/>
      <c r="U379" s="161"/>
      <c r="V379" s="206"/>
      <c r="W379" s="206"/>
      <c r="X379" s="206"/>
      <c r="Y379" s="153"/>
      <c r="Z379" s="239"/>
      <c r="AA379" s="212"/>
      <c r="AB379" s="212"/>
      <c r="AC379" s="213"/>
    </row>
    <row r="380" spans="1:29" ht="31.5" customHeight="1" x14ac:dyDescent="0.3">
      <c r="A380" s="827" t="s">
        <v>1438</v>
      </c>
      <c r="B380" s="140" t="s">
        <v>16</v>
      </c>
      <c r="C380" s="140" t="s">
        <v>122</v>
      </c>
      <c r="D380" s="140" t="s">
        <v>130</v>
      </c>
      <c r="E380" s="234" t="s">
        <v>642</v>
      </c>
      <c r="F380" s="140"/>
      <c r="G380" s="140"/>
      <c r="H380" s="140"/>
      <c r="I380" s="140"/>
      <c r="J380" s="140"/>
      <c r="K380" s="140"/>
      <c r="L380" s="140"/>
      <c r="M380" s="140"/>
      <c r="N380" s="140"/>
      <c r="O380" s="140"/>
      <c r="P380" s="140"/>
      <c r="Q380" s="140"/>
      <c r="R380" s="140"/>
      <c r="S380" s="140"/>
      <c r="T380" s="140" t="s">
        <v>427</v>
      </c>
      <c r="U380" s="161"/>
      <c r="V380" s="206"/>
      <c r="W380" s="206"/>
      <c r="X380" s="206"/>
      <c r="Y380" s="153"/>
      <c r="Z380" s="239">
        <v>500000</v>
      </c>
      <c r="AA380" s="212">
        <v>0</v>
      </c>
      <c r="AB380" s="212">
        <v>0</v>
      </c>
      <c r="AC380" s="213"/>
    </row>
    <row r="381" spans="1:29" s="275" customFormat="1" ht="167.25" hidden="1" customHeight="1" x14ac:dyDescent="0.3">
      <c r="A381" s="834" t="s">
        <v>1493</v>
      </c>
      <c r="B381" s="853" t="s">
        <v>16</v>
      </c>
      <c r="C381" s="140" t="s">
        <v>122</v>
      </c>
      <c r="D381" s="140" t="s">
        <v>130</v>
      </c>
      <c r="E381" s="234" t="s">
        <v>771</v>
      </c>
      <c r="F381" s="140"/>
      <c r="G381" s="140"/>
      <c r="H381" s="140"/>
      <c r="I381" s="140"/>
      <c r="J381" s="140"/>
      <c r="K381" s="140"/>
      <c r="L381" s="140"/>
      <c r="M381" s="140"/>
      <c r="N381" s="140"/>
      <c r="O381" s="140"/>
      <c r="P381" s="140"/>
      <c r="Q381" s="140"/>
      <c r="R381" s="140"/>
      <c r="S381" s="140"/>
      <c r="T381" s="140"/>
      <c r="U381" s="136"/>
      <c r="V381" s="137"/>
      <c r="W381" s="137"/>
      <c r="X381" s="137"/>
      <c r="Y381" s="135"/>
      <c r="Z381" s="212">
        <f>Z382</f>
        <v>0</v>
      </c>
      <c r="AA381" s="212">
        <f t="shared" ref="AA381:AB381" si="15">AA382</f>
        <v>0</v>
      </c>
      <c r="AB381" s="212">
        <f t="shared" si="15"/>
        <v>0</v>
      </c>
      <c r="AC381" s="571"/>
    </row>
    <row r="382" spans="1:29" s="275" customFormat="1" ht="47.25" hidden="1" customHeight="1" x14ac:dyDescent="0.3">
      <c r="A382" s="855" t="s">
        <v>1185</v>
      </c>
      <c r="B382" s="853" t="s">
        <v>16</v>
      </c>
      <c r="C382" s="140" t="s">
        <v>122</v>
      </c>
      <c r="D382" s="140" t="s">
        <v>130</v>
      </c>
      <c r="E382" s="234" t="s">
        <v>771</v>
      </c>
      <c r="F382" s="140"/>
      <c r="G382" s="140"/>
      <c r="H382" s="140"/>
      <c r="I382" s="140"/>
      <c r="J382" s="140"/>
      <c r="K382" s="140"/>
      <c r="L382" s="140"/>
      <c r="M382" s="140"/>
      <c r="N382" s="140"/>
      <c r="O382" s="140"/>
      <c r="P382" s="140"/>
      <c r="Q382" s="140"/>
      <c r="R382" s="140"/>
      <c r="S382" s="140"/>
      <c r="T382" s="140" t="s">
        <v>427</v>
      </c>
      <c r="U382" s="161"/>
      <c r="V382" s="206"/>
      <c r="W382" s="206"/>
      <c r="X382" s="206"/>
      <c r="Y382" s="153"/>
      <c r="Z382" s="239">
        <f>Z384</f>
        <v>0</v>
      </c>
      <c r="AA382" s="239">
        <f t="shared" ref="AA382:AB382" si="16">AA384</f>
        <v>0</v>
      </c>
      <c r="AB382" s="239">
        <f t="shared" si="16"/>
        <v>0</v>
      </c>
      <c r="AC382" s="571"/>
    </row>
    <row r="383" spans="1:29" s="275" customFormat="1" ht="30" hidden="1" customHeight="1" x14ac:dyDescent="0.3">
      <c r="A383" s="856" t="s">
        <v>109</v>
      </c>
      <c r="B383" s="853"/>
      <c r="C383" s="140"/>
      <c r="D383" s="140"/>
      <c r="E383" s="234"/>
      <c r="F383" s="140"/>
      <c r="G383" s="140"/>
      <c r="H383" s="140"/>
      <c r="I383" s="140"/>
      <c r="J383" s="140"/>
      <c r="K383" s="140"/>
      <c r="L383" s="140"/>
      <c r="M383" s="140"/>
      <c r="N383" s="140"/>
      <c r="O383" s="140"/>
      <c r="P383" s="140"/>
      <c r="Q383" s="140"/>
      <c r="R383" s="140"/>
      <c r="S383" s="140"/>
      <c r="T383" s="140"/>
      <c r="U383" s="161"/>
      <c r="V383" s="206"/>
      <c r="W383" s="206"/>
      <c r="X383" s="206"/>
      <c r="Y383" s="153"/>
      <c r="Z383" s="239"/>
      <c r="AA383" s="212"/>
      <c r="AB383" s="212"/>
      <c r="AC383" s="571"/>
    </row>
    <row r="384" spans="1:29" s="275" customFormat="1" ht="30.75" hidden="1" customHeight="1" x14ac:dyDescent="0.3">
      <c r="A384" s="856" t="s">
        <v>1494</v>
      </c>
      <c r="B384" s="274" t="s">
        <v>16</v>
      </c>
      <c r="C384" s="234" t="s">
        <v>122</v>
      </c>
      <c r="D384" s="234" t="s">
        <v>130</v>
      </c>
      <c r="E384" s="234" t="s">
        <v>771</v>
      </c>
      <c r="F384" s="234"/>
      <c r="G384" s="234"/>
      <c r="H384" s="234"/>
      <c r="I384" s="234"/>
      <c r="J384" s="234"/>
      <c r="K384" s="234"/>
      <c r="L384" s="234"/>
      <c r="M384" s="234"/>
      <c r="N384" s="234"/>
      <c r="O384" s="234"/>
      <c r="P384" s="234"/>
      <c r="Q384" s="234"/>
      <c r="R384" s="234"/>
      <c r="S384" s="234"/>
      <c r="T384" s="234" t="s">
        <v>427</v>
      </c>
      <c r="U384" s="161"/>
      <c r="V384" s="206"/>
      <c r="W384" s="206"/>
      <c r="X384" s="206"/>
      <c r="Y384" s="153"/>
      <c r="Z384" s="239">
        <v>0</v>
      </c>
      <c r="AA384" s="239">
        <v>0</v>
      </c>
      <c r="AB384" s="239">
        <v>0</v>
      </c>
      <c r="AC384" s="574"/>
    </row>
    <row r="385" spans="1:31" ht="153" customHeight="1" x14ac:dyDescent="0.3">
      <c r="A385" s="19" t="s">
        <v>1418</v>
      </c>
      <c r="B385" s="853" t="s">
        <v>16</v>
      </c>
      <c r="C385" s="140" t="s">
        <v>122</v>
      </c>
      <c r="D385" s="140" t="s">
        <v>130</v>
      </c>
      <c r="E385" s="234" t="s">
        <v>1419</v>
      </c>
      <c r="F385" s="140"/>
      <c r="G385" s="140"/>
      <c r="H385" s="140"/>
      <c r="I385" s="140"/>
      <c r="J385" s="140"/>
      <c r="K385" s="140"/>
      <c r="L385" s="140"/>
      <c r="M385" s="140"/>
      <c r="N385" s="140"/>
      <c r="O385" s="140"/>
      <c r="P385" s="140"/>
      <c r="Q385" s="140"/>
      <c r="R385" s="140"/>
      <c r="S385" s="140"/>
      <c r="T385" s="140"/>
      <c r="U385" s="161"/>
      <c r="V385" s="206"/>
      <c r="W385" s="206"/>
      <c r="X385" s="206"/>
      <c r="Y385" s="153"/>
      <c r="Z385" s="239">
        <f>Z386</f>
        <v>855488.03</v>
      </c>
      <c r="AA385" s="212">
        <v>0</v>
      </c>
      <c r="AB385" s="212">
        <v>0</v>
      </c>
      <c r="AC385" s="213"/>
    </row>
    <row r="386" spans="1:31" ht="46.5" customHeight="1" x14ac:dyDescent="0.3">
      <c r="A386" s="854" t="s">
        <v>1185</v>
      </c>
      <c r="B386" s="140" t="s">
        <v>16</v>
      </c>
      <c r="C386" s="140" t="s">
        <v>122</v>
      </c>
      <c r="D386" s="140" t="s">
        <v>130</v>
      </c>
      <c r="E386" s="234" t="s">
        <v>1419</v>
      </c>
      <c r="F386" s="140"/>
      <c r="G386" s="140"/>
      <c r="H386" s="140"/>
      <c r="I386" s="140"/>
      <c r="J386" s="140"/>
      <c r="K386" s="140"/>
      <c r="L386" s="140"/>
      <c r="M386" s="140"/>
      <c r="N386" s="140"/>
      <c r="O386" s="140"/>
      <c r="P386" s="140"/>
      <c r="Q386" s="140"/>
      <c r="R386" s="140"/>
      <c r="S386" s="140"/>
      <c r="T386" s="140" t="s">
        <v>427</v>
      </c>
      <c r="U386" s="161"/>
      <c r="V386" s="206"/>
      <c r="W386" s="206"/>
      <c r="X386" s="206"/>
      <c r="Y386" s="153"/>
      <c r="Z386" s="239">
        <f>Z389+Z388+Z390</f>
        <v>855488.03</v>
      </c>
      <c r="AA386" s="212">
        <v>0</v>
      </c>
      <c r="AB386" s="212">
        <v>0</v>
      </c>
      <c r="AC386" s="213"/>
    </row>
    <row r="387" spans="1:31" ht="27" customHeight="1" x14ac:dyDescent="0.3">
      <c r="A387" s="295" t="s">
        <v>109</v>
      </c>
      <c r="B387" s="140"/>
      <c r="C387" s="140"/>
      <c r="D387" s="140"/>
      <c r="E387" s="234"/>
      <c r="F387" s="140"/>
      <c r="G387" s="140"/>
      <c r="H387" s="140"/>
      <c r="I387" s="140"/>
      <c r="J387" s="140"/>
      <c r="K387" s="140"/>
      <c r="L387" s="140"/>
      <c r="M387" s="140"/>
      <c r="N387" s="140"/>
      <c r="O387" s="140"/>
      <c r="P387" s="140"/>
      <c r="Q387" s="140"/>
      <c r="R387" s="140"/>
      <c r="S387" s="140"/>
      <c r="T387" s="140"/>
      <c r="U387" s="161"/>
      <c r="V387" s="206"/>
      <c r="W387" s="206"/>
      <c r="X387" s="206"/>
      <c r="Y387" s="153"/>
      <c r="Z387" s="239"/>
      <c r="AA387" s="212"/>
      <c r="AB387" s="212"/>
      <c r="AC387" s="213"/>
    </row>
    <row r="388" spans="1:31" s="275" customFormat="1" ht="27" customHeight="1" x14ac:dyDescent="0.3">
      <c r="A388" s="510" t="s">
        <v>789</v>
      </c>
      <c r="B388" s="234" t="s">
        <v>16</v>
      </c>
      <c r="C388" s="234" t="s">
        <v>122</v>
      </c>
      <c r="D388" s="234" t="s">
        <v>130</v>
      </c>
      <c r="E388" s="234" t="s">
        <v>1419</v>
      </c>
      <c r="F388" s="234"/>
      <c r="G388" s="234"/>
      <c r="H388" s="234"/>
      <c r="I388" s="234"/>
      <c r="J388" s="234"/>
      <c r="K388" s="234"/>
      <c r="L388" s="234"/>
      <c r="M388" s="234"/>
      <c r="N388" s="234"/>
      <c r="O388" s="234"/>
      <c r="P388" s="234"/>
      <c r="Q388" s="234"/>
      <c r="R388" s="234"/>
      <c r="S388" s="234"/>
      <c r="T388" s="234" t="s">
        <v>427</v>
      </c>
      <c r="U388" s="161"/>
      <c r="V388" s="206"/>
      <c r="W388" s="206"/>
      <c r="X388" s="206"/>
      <c r="Y388" s="153"/>
      <c r="Z388" s="239">
        <v>200000</v>
      </c>
      <c r="AA388" s="212">
        <v>0</v>
      </c>
      <c r="AB388" s="212">
        <v>0</v>
      </c>
      <c r="AC388" s="571"/>
    </row>
    <row r="389" spans="1:31" ht="32.25" customHeight="1" x14ac:dyDescent="0.3">
      <c r="A389" s="899" t="s">
        <v>787</v>
      </c>
      <c r="B389" s="140" t="s">
        <v>16</v>
      </c>
      <c r="C389" s="140" t="s">
        <v>122</v>
      </c>
      <c r="D389" s="140" t="s">
        <v>130</v>
      </c>
      <c r="E389" s="234" t="s">
        <v>1419</v>
      </c>
      <c r="F389" s="140"/>
      <c r="G389" s="140"/>
      <c r="H389" s="140"/>
      <c r="I389" s="140"/>
      <c r="J389" s="140"/>
      <c r="K389" s="140"/>
      <c r="L389" s="140"/>
      <c r="M389" s="140"/>
      <c r="N389" s="140"/>
      <c r="O389" s="140"/>
      <c r="P389" s="140"/>
      <c r="Q389" s="140"/>
      <c r="R389" s="140"/>
      <c r="S389" s="140"/>
      <c r="T389" s="140" t="s">
        <v>427</v>
      </c>
      <c r="U389" s="161"/>
      <c r="V389" s="206"/>
      <c r="W389" s="206"/>
      <c r="X389" s="206"/>
      <c r="Y389" s="153"/>
      <c r="Z389" s="239">
        <f>565000+200000-200000</f>
        <v>565000</v>
      </c>
      <c r="AA389" s="212">
        <v>0</v>
      </c>
      <c r="AB389" s="212">
        <v>0</v>
      </c>
      <c r="AC389" s="213"/>
    </row>
    <row r="390" spans="1:31" s="275" customFormat="1" ht="32.25" customHeight="1" x14ac:dyDescent="0.3">
      <c r="A390" s="158" t="s">
        <v>793</v>
      </c>
      <c r="B390" s="140" t="s">
        <v>16</v>
      </c>
      <c r="C390" s="140" t="s">
        <v>122</v>
      </c>
      <c r="D390" s="140" t="s">
        <v>130</v>
      </c>
      <c r="E390" s="234" t="s">
        <v>1419</v>
      </c>
      <c r="F390" s="140"/>
      <c r="G390" s="140"/>
      <c r="H390" s="140"/>
      <c r="I390" s="140"/>
      <c r="J390" s="140"/>
      <c r="K390" s="140"/>
      <c r="L390" s="140"/>
      <c r="M390" s="140"/>
      <c r="N390" s="140"/>
      <c r="O390" s="140"/>
      <c r="P390" s="140"/>
      <c r="Q390" s="140"/>
      <c r="R390" s="140"/>
      <c r="S390" s="140"/>
      <c r="T390" s="140" t="s">
        <v>427</v>
      </c>
      <c r="U390" s="161"/>
      <c r="V390" s="206"/>
      <c r="W390" s="206"/>
      <c r="X390" s="206"/>
      <c r="Y390" s="153"/>
      <c r="Z390" s="239">
        <v>90488.03</v>
      </c>
      <c r="AA390" s="212">
        <v>0</v>
      </c>
      <c r="AB390" s="212">
        <v>0</v>
      </c>
      <c r="AC390" s="571"/>
    </row>
    <row r="391" spans="1:31" ht="53.25" customHeight="1" x14ac:dyDescent="0.3">
      <c r="A391" s="159" t="s">
        <v>297</v>
      </c>
      <c r="B391" s="140" t="s">
        <v>16</v>
      </c>
      <c r="C391" s="140" t="s">
        <v>123</v>
      </c>
      <c r="D391" s="140" t="s">
        <v>133</v>
      </c>
      <c r="E391" s="234"/>
      <c r="F391" s="140"/>
      <c r="G391" s="140"/>
      <c r="H391" s="140"/>
      <c r="I391" s="140"/>
      <c r="J391" s="140"/>
      <c r="K391" s="140"/>
      <c r="L391" s="140"/>
      <c r="M391" s="140"/>
      <c r="N391" s="140"/>
      <c r="O391" s="140"/>
      <c r="P391" s="140"/>
      <c r="Q391" s="140"/>
      <c r="R391" s="140"/>
      <c r="S391" s="140"/>
      <c r="T391" s="140"/>
      <c r="U391" s="161"/>
      <c r="V391" s="206"/>
      <c r="W391" s="206"/>
      <c r="X391" s="206"/>
      <c r="Y391" s="153"/>
      <c r="Z391" s="239">
        <f>Z392</f>
        <v>130000</v>
      </c>
      <c r="AA391" s="212">
        <v>0</v>
      </c>
      <c r="AB391" s="212">
        <v>0</v>
      </c>
      <c r="AC391" s="213"/>
    </row>
    <row r="392" spans="1:31" ht="76.5" customHeight="1" x14ac:dyDescent="0.3">
      <c r="A392" s="159" t="s">
        <v>251</v>
      </c>
      <c r="B392" s="140" t="s">
        <v>16</v>
      </c>
      <c r="C392" s="140" t="s">
        <v>123</v>
      </c>
      <c r="D392" s="140" t="s">
        <v>127</v>
      </c>
      <c r="E392" s="234"/>
      <c r="F392" s="140"/>
      <c r="G392" s="140"/>
      <c r="H392" s="140"/>
      <c r="I392" s="140"/>
      <c r="J392" s="140"/>
      <c r="K392" s="140"/>
      <c r="L392" s="140"/>
      <c r="M392" s="140"/>
      <c r="N392" s="140"/>
      <c r="O392" s="140"/>
      <c r="P392" s="140"/>
      <c r="Q392" s="140"/>
      <c r="R392" s="140"/>
      <c r="S392" s="140"/>
      <c r="T392" s="140"/>
      <c r="U392" s="161"/>
      <c r="V392" s="206"/>
      <c r="W392" s="206"/>
      <c r="X392" s="206"/>
      <c r="Y392" s="153"/>
      <c r="Z392" s="239">
        <f>Z393</f>
        <v>130000</v>
      </c>
      <c r="AA392" s="212">
        <v>0</v>
      </c>
      <c r="AB392" s="212">
        <v>0</v>
      </c>
      <c r="AC392" s="213"/>
    </row>
    <row r="393" spans="1:31" ht="102" customHeight="1" x14ac:dyDescent="0.3">
      <c r="A393" s="817" t="s">
        <v>1484</v>
      </c>
      <c r="B393" s="140" t="s">
        <v>16</v>
      </c>
      <c r="C393" s="140" t="s">
        <v>123</v>
      </c>
      <c r="D393" s="140" t="s">
        <v>127</v>
      </c>
      <c r="E393" s="234" t="s">
        <v>537</v>
      </c>
      <c r="F393" s="140"/>
      <c r="G393" s="140"/>
      <c r="H393" s="140"/>
      <c r="I393" s="140"/>
      <c r="J393" s="140"/>
      <c r="K393" s="140"/>
      <c r="L393" s="140"/>
      <c r="M393" s="140"/>
      <c r="N393" s="140"/>
      <c r="O393" s="140"/>
      <c r="P393" s="140"/>
      <c r="Q393" s="140"/>
      <c r="R393" s="140"/>
      <c r="S393" s="140"/>
      <c r="T393" s="140"/>
      <c r="U393" s="161"/>
      <c r="V393" s="206"/>
      <c r="W393" s="206"/>
      <c r="X393" s="206"/>
      <c r="Y393" s="153"/>
      <c r="Z393" s="239">
        <f>Z394</f>
        <v>130000</v>
      </c>
      <c r="AA393" s="212">
        <v>0</v>
      </c>
      <c r="AB393" s="212">
        <v>0</v>
      </c>
      <c r="AC393" s="213"/>
    </row>
    <row r="394" spans="1:31" ht="40.5" customHeight="1" x14ac:dyDescent="0.3">
      <c r="A394" s="153" t="s">
        <v>773</v>
      </c>
      <c r="B394" s="140" t="s">
        <v>16</v>
      </c>
      <c r="C394" s="140" t="s">
        <v>123</v>
      </c>
      <c r="D394" s="140" t="s">
        <v>127</v>
      </c>
      <c r="E394" s="234" t="s">
        <v>537</v>
      </c>
      <c r="F394" s="140"/>
      <c r="G394" s="140"/>
      <c r="H394" s="140"/>
      <c r="I394" s="140"/>
      <c r="J394" s="140"/>
      <c r="K394" s="140"/>
      <c r="L394" s="140"/>
      <c r="M394" s="140"/>
      <c r="N394" s="140"/>
      <c r="O394" s="140"/>
      <c r="P394" s="140"/>
      <c r="Q394" s="140"/>
      <c r="R394" s="140"/>
      <c r="S394" s="140"/>
      <c r="T394" s="140" t="s">
        <v>427</v>
      </c>
      <c r="U394" s="161"/>
      <c r="V394" s="206"/>
      <c r="W394" s="206"/>
      <c r="X394" s="206"/>
      <c r="Y394" s="153"/>
      <c r="Z394" s="239">
        <f>Z396+Z397</f>
        <v>130000</v>
      </c>
      <c r="AA394" s="212">
        <v>0</v>
      </c>
      <c r="AB394" s="212">
        <v>0</v>
      </c>
      <c r="AC394" s="213"/>
      <c r="AE394" s="127"/>
    </row>
    <row r="395" spans="1:31" ht="25.5" customHeight="1" x14ac:dyDescent="0.3">
      <c r="A395" s="153" t="s">
        <v>109</v>
      </c>
      <c r="B395" s="140"/>
      <c r="C395" s="140"/>
      <c r="D395" s="140"/>
      <c r="E395" s="234"/>
      <c r="F395" s="140"/>
      <c r="G395" s="140"/>
      <c r="H395" s="140"/>
      <c r="I395" s="140"/>
      <c r="J395" s="140"/>
      <c r="K395" s="140"/>
      <c r="L395" s="140"/>
      <c r="M395" s="140"/>
      <c r="N395" s="140"/>
      <c r="O395" s="140"/>
      <c r="P395" s="140"/>
      <c r="Q395" s="140"/>
      <c r="R395" s="140"/>
      <c r="S395" s="140"/>
      <c r="T395" s="140"/>
      <c r="U395" s="161"/>
      <c r="V395" s="206"/>
      <c r="W395" s="206"/>
      <c r="X395" s="206"/>
      <c r="Y395" s="153"/>
      <c r="Z395" s="239"/>
      <c r="AA395" s="212"/>
      <c r="AB395" s="212"/>
      <c r="AC395" s="213"/>
    </row>
    <row r="396" spans="1:31" ht="30.75" customHeight="1" x14ac:dyDescent="0.3">
      <c r="A396" s="510" t="s">
        <v>791</v>
      </c>
      <c r="B396" s="140" t="s">
        <v>16</v>
      </c>
      <c r="C396" s="140" t="s">
        <v>123</v>
      </c>
      <c r="D396" s="140" t="s">
        <v>127</v>
      </c>
      <c r="E396" s="234" t="s">
        <v>537</v>
      </c>
      <c r="F396" s="140"/>
      <c r="G396" s="140"/>
      <c r="H396" s="140"/>
      <c r="I396" s="140"/>
      <c r="J396" s="140"/>
      <c r="K396" s="140"/>
      <c r="L396" s="140"/>
      <c r="M396" s="140"/>
      <c r="N396" s="140"/>
      <c r="O396" s="140"/>
      <c r="P396" s="140"/>
      <c r="Q396" s="140"/>
      <c r="R396" s="140"/>
      <c r="S396" s="140"/>
      <c r="T396" s="140" t="s">
        <v>427</v>
      </c>
      <c r="U396" s="161"/>
      <c r="V396" s="206"/>
      <c r="W396" s="206"/>
      <c r="X396" s="206"/>
      <c r="Y396" s="153"/>
      <c r="Z396" s="239">
        <v>60000</v>
      </c>
      <c r="AA396" s="212">
        <v>0</v>
      </c>
      <c r="AB396" s="212">
        <v>0</v>
      </c>
      <c r="AC396" s="213"/>
    </row>
    <row r="397" spans="1:31" ht="30" customHeight="1" x14ac:dyDescent="0.3">
      <c r="A397" s="510" t="s">
        <v>1495</v>
      </c>
      <c r="B397" s="140" t="s">
        <v>16</v>
      </c>
      <c r="C397" s="140" t="s">
        <v>123</v>
      </c>
      <c r="D397" s="140" t="s">
        <v>127</v>
      </c>
      <c r="E397" s="234" t="s">
        <v>537</v>
      </c>
      <c r="F397" s="140"/>
      <c r="G397" s="140"/>
      <c r="H397" s="140"/>
      <c r="I397" s="140"/>
      <c r="J397" s="140"/>
      <c r="K397" s="140"/>
      <c r="L397" s="140"/>
      <c r="M397" s="140"/>
      <c r="N397" s="140"/>
      <c r="O397" s="140"/>
      <c r="P397" s="140"/>
      <c r="Q397" s="140"/>
      <c r="R397" s="140"/>
      <c r="S397" s="140"/>
      <c r="T397" s="140" t="s">
        <v>427</v>
      </c>
      <c r="U397" s="161"/>
      <c r="V397" s="206"/>
      <c r="W397" s="206"/>
      <c r="X397" s="206"/>
      <c r="Y397" s="153"/>
      <c r="Z397" s="239">
        <v>70000</v>
      </c>
      <c r="AA397" s="212">
        <v>0</v>
      </c>
      <c r="AB397" s="212">
        <v>0</v>
      </c>
      <c r="AC397" s="213"/>
    </row>
    <row r="398" spans="1:31" ht="62.25" hidden="1" customHeight="1" x14ac:dyDescent="0.3">
      <c r="A398" s="159" t="s">
        <v>303</v>
      </c>
      <c r="B398" s="140" t="s">
        <v>16</v>
      </c>
      <c r="C398" s="140" t="s">
        <v>136</v>
      </c>
      <c r="D398" s="140" t="s">
        <v>133</v>
      </c>
      <c r="E398" s="234"/>
      <c r="F398" s="140"/>
      <c r="G398" s="140"/>
      <c r="H398" s="140"/>
      <c r="I398" s="140"/>
      <c r="J398" s="140"/>
      <c r="K398" s="140"/>
      <c r="L398" s="140"/>
      <c r="M398" s="140"/>
      <c r="N398" s="140"/>
      <c r="O398" s="140"/>
      <c r="P398" s="140"/>
      <c r="Q398" s="140"/>
      <c r="R398" s="140"/>
      <c r="S398" s="140"/>
      <c r="T398" s="140"/>
      <c r="U398" s="161"/>
      <c r="V398" s="206"/>
      <c r="W398" s="206"/>
      <c r="X398" s="206"/>
      <c r="Y398" s="153"/>
      <c r="Z398" s="239">
        <f>Z399+Z406</f>
        <v>0</v>
      </c>
      <c r="AA398" s="212"/>
      <c r="AB398" s="212"/>
      <c r="AC398" s="213"/>
    </row>
    <row r="399" spans="1:31" ht="0.75" hidden="1" customHeight="1" x14ac:dyDescent="0.3">
      <c r="A399" s="159" t="s">
        <v>606</v>
      </c>
      <c r="B399" s="140" t="s">
        <v>16</v>
      </c>
      <c r="C399" s="140" t="s">
        <v>136</v>
      </c>
      <c r="D399" s="140" t="s">
        <v>127</v>
      </c>
      <c r="E399" s="234"/>
      <c r="F399" s="140"/>
      <c r="G399" s="140"/>
      <c r="H399" s="140"/>
      <c r="I399" s="140"/>
      <c r="J399" s="140"/>
      <c r="K399" s="140"/>
      <c r="L399" s="140"/>
      <c r="M399" s="140"/>
      <c r="N399" s="140"/>
      <c r="O399" s="140"/>
      <c r="P399" s="140"/>
      <c r="Q399" s="140"/>
      <c r="R399" s="140"/>
      <c r="S399" s="140"/>
      <c r="T399" s="140"/>
      <c r="U399" s="161"/>
      <c r="V399" s="206"/>
      <c r="W399" s="206"/>
      <c r="X399" s="206"/>
      <c r="Y399" s="153"/>
      <c r="Z399" s="239">
        <f>Z400</f>
        <v>0</v>
      </c>
      <c r="AA399" s="212">
        <v>0</v>
      </c>
      <c r="AB399" s="212">
        <v>0</v>
      </c>
      <c r="AC399" s="213"/>
    </row>
    <row r="400" spans="1:31" ht="42.75" hidden="1" customHeight="1" x14ac:dyDescent="0.3">
      <c r="A400" s="153" t="s">
        <v>593</v>
      </c>
      <c r="B400" s="140" t="s">
        <v>16</v>
      </c>
      <c r="C400" s="140" t="s">
        <v>136</v>
      </c>
      <c r="D400" s="140" t="s">
        <v>127</v>
      </c>
      <c r="E400" s="234"/>
      <c r="F400" s="140"/>
      <c r="G400" s="140"/>
      <c r="H400" s="140"/>
      <c r="I400" s="140"/>
      <c r="J400" s="140"/>
      <c r="K400" s="140"/>
      <c r="L400" s="140"/>
      <c r="M400" s="140"/>
      <c r="N400" s="140"/>
      <c r="O400" s="140"/>
      <c r="P400" s="140"/>
      <c r="Q400" s="140"/>
      <c r="R400" s="140"/>
      <c r="S400" s="140"/>
      <c r="T400" s="140"/>
      <c r="U400" s="161"/>
      <c r="V400" s="206"/>
      <c r="W400" s="206"/>
      <c r="X400" s="206"/>
      <c r="Y400" s="153"/>
      <c r="Z400" s="239">
        <f>Z401</f>
        <v>0</v>
      </c>
      <c r="AA400" s="212">
        <v>0</v>
      </c>
      <c r="AB400" s="212">
        <v>0</v>
      </c>
      <c r="AC400" s="213"/>
    </row>
    <row r="401" spans="1:29" ht="45.75" hidden="1" customHeight="1" x14ac:dyDescent="0.3">
      <c r="A401" s="153" t="s">
        <v>773</v>
      </c>
      <c r="B401" s="140" t="s">
        <v>16</v>
      </c>
      <c r="C401" s="140" t="s">
        <v>136</v>
      </c>
      <c r="D401" s="140" t="s">
        <v>127</v>
      </c>
      <c r="E401" s="234" t="s">
        <v>558</v>
      </c>
      <c r="F401" s="140"/>
      <c r="G401" s="140"/>
      <c r="H401" s="140"/>
      <c r="I401" s="140"/>
      <c r="J401" s="140"/>
      <c r="K401" s="140"/>
      <c r="L401" s="140"/>
      <c r="M401" s="140"/>
      <c r="N401" s="140"/>
      <c r="O401" s="140"/>
      <c r="P401" s="140"/>
      <c r="Q401" s="140"/>
      <c r="R401" s="140"/>
      <c r="S401" s="140"/>
      <c r="T401" s="140" t="s">
        <v>427</v>
      </c>
      <c r="U401" s="161"/>
      <c r="V401" s="206"/>
      <c r="W401" s="206"/>
      <c r="X401" s="206"/>
      <c r="Y401" s="153"/>
      <c r="Z401" s="239">
        <v>0</v>
      </c>
      <c r="AA401" s="212">
        <v>0</v>
      </c>
      <c r="AB401" s="212">
        <v>0</v>
      </c>
      <c r="AC401" s="213"/>
    </row>
    <row r="402" spans="1:29" ht="48" hidden="1" customHeight="1" x14ac:dyDescent="0.3">
      <c r="A402" s="153" t="s">
        <v>109</v>
      </c>
      <c r="B402" s="140"/>
      <c r="C402" s="140"/>
      <c r="D402" s="140"/>
      <c r="E402" s="234"/>
      <c r="F402" s="140"/>
      <c r="G402" s="140"/>
      <c r="H402" s="140"/>
      <c r="I402" s="140"/>
      <c r="J402" s="140"/>
      <c r="K402" s="140"/>
      <c r="L402" s="140"/>
      <c r="M402" s="140"/>
      <c r="N402" s="140"/>
      <c r="O402" s="140"/>
      <c r="P402" s="140"/>
      <c r="Q402" s="140"/>
      <c r="R402" s="140"/>
      <c r="S402" s="140"/>
      <c r="T402" s="140"/>
      <c r="U402" s="161"/>
      <c r="V402" s="206"/>
      <c r="W402" s="206"/>
      <c r="X402" s="206"/>
      <c r="Y402" s="153"/>
      <c r="Z402" s="239"/>
      <c r="AA402" s="212"/>
      <c r="AB402" s="212"/>
      <c r="AC402" s="213"/>
    </row>
    <row r="403" spans="1:29" ht="39.75" hidden="1" customHeight="1" x14ac:dyDescent="0.3">
      <c r="A403" s="153" t="s">
        <v>794</v>
      </c>
      <c r="B403" s="140" t="s">
        <v>16</v>
      </c>
      <c r="C403" s="140" t="s">
        <v>136</v>
      </c>
      <c r="D403" s="140" t="s">
        <v>127</v>
      </c>
      <c r="E403" s="234" t="s">
        <v>558</v>
      </c>
      <c r="F403" s="140"/>
      <c r="G403" s="140"/>
      <c r="H403" s="140"/>
      <c r="I403" s="140"/>
      <c r="J403" s="140"/>
      <c r="K403" s="140"/>
      <c r="L403" s="140"/>
      <c r="M403" s="140"/>
      <c r="N403" s="140"/>
      <c r="O403" s="140"/>
      <c r="P403" s="140"/>
      <c r="Q403" s="140"/>
      <c r="R403" s="140"/>
      <c r="S403" s="140"/>
      <c r="T403" s="140" t="s">
        <v>427</v>
      </c>
      <c r="U403" s="161"/>
      <c r="V403" s="206"/>
      <c r="W403" s="206"/>
      <c r="X403" s="206"/>
      <c r="Y403" s="153"/>
      <c r="Z403" s="239">
        <v>0</v>
      </c>
      <c r="AA403" s="212">
        <v>0</v>
      </c>
      <c r="AB403" s="212">
        <v>0</v>
      </c>
      <c r="AC403" s="213"/>
    </row>
    <row r="404" spans="1:29" ht="48.75" hidden="1" customHeight="1" x14ac:dyDescent="0.3">
      <c r="A404" s="153" t="s">
        <v>784</v>
      </c>
      <c r="B404" s="140" t="s">
        <v>16</v>
      </c>
      <c r="C404" s="140" t="s">
        <v>136</v>
      </c>
      <c r="D404" s="140" t="s">
        <v>127</v>
      </c>
      <c r="E404" s="234" t="s">
        <v>558</v>
      </c>
      <c r="F404" s="140"/>
      <c r="G404" s="140"/>
      <c r="H404" s="140"/>
      <c r="I404" s="140"/>
      <c r="J404" s="140"/>
      <c r="K404" s="140"/>
      <c r="L404" s="140"/>
      <c r="M404" s="140"/>
      <c r="N404" s="140"/>
      <c r="O404" s="140"/>
      <c r="P404" s="140"/>
      <c r="Q404" s="140"/>
      <c r="R404" s="140"/>
      <c r="S404" s="140"/>
      <c r="T404" s="140" t="s">
        <v>427</v>
      </c>
      <c r="U404" s="161"/>
      <c r="V404" s="206"/>
      <c r="W404" s="206"/>
      <c r="X404" s="206"/>
      <c r="Y404" s="153"/>
      <c r="Z404" s="239">
        <v>0</v>
      </c>
      <c r="AA404" s="212">
        <v>0</v>
      </c>
      <c r="AB404" s="212">
        <v>0</v>
      </c>
      <c r="AC404" s="213"/>
    </row>
    <row r="405" spans="1:29" ht="58.5" hidden="1" customHeight="1" x14ac:dyDescent="0.3">
      <c r="A405" s="153" t="s">
        <v>774</v>
      </c>
      <c r="B405" s="140" t="s">
        <v>16</v>
      </c>
      <c r="C405" s="140" t="s">
        <v>136</v>
      </c>
      <c r="D405" s="140" t="s">
        <v>127</v>
      </c>
      <c r="E405" s="234" t="s">
        <v>558</v>
      </c>
      <c r="F405" s="140"/>
      <c r="G405" s="140"/>
      <c r="H405" s="140"/>
      <c r="I405" s="140"/>
      <c r="J405" s="140"/>
      <c r="K405" s="140"/>
      <c r="L405" s="140"/>
      <c r="M405" s="140"/>
      <c r="N405" s="140"/>
      <c r="O405" s="140"/>
      <c r="P405" s="140"/>
      <c r="Q405" s="140"/>
      <c r="R405" s="140"/>
      <c r="S405" s="140"/>
      <c r="T405" s="140" t="s">
        <v>427</v>
      </c>
      <c r="U405" s="161"/>
      <c r="V405" s="206"/>
      <c r="W405" s="206"/>
      <c r="X405" s="206"/>
      <c r="Y405" s="153"/>
      <c r="Z405" s="239">
        <v>0</v>
      </c>
      <c r="AA405" s="212">
        <v>0</v>
      </c>
      <c r="AB405" s="212">
        <v>0</v>
      </c>
      <c r="AC405" s="213"/>
    </row>
    <row r="406" spans="1:29" ht="48.75" hidden="1" customHeight="1" x14ac:dyDescent="0.3">
      <c r="A406" s="159" t="s">
        <v>149</v>
      </c>
      <c r="B406" s="140" t="s">
        <v>16</v>
      </c>
      <c r="C406" s="140" t="s">
        <v>136</v>
      </c>
      <c r="D406" s="140" t="s">
        <v>129</v>
      </c>
      <c r="E406" s="234"/>
      <c r="F406" s="140"/>
      <c r="G406" s="140"/>
      <c r="H406" s="140"/>
      <c r="I406" s="140"/>
      <c r="J406" s="140"/>
      <c r="K406" s="140"/>
      <c r="L406" s="140"/>
      <c r="M406" s="140"/>
      <c r="N406" s="140"/>
      <c r="O406" s="140"/>
      <c r="P406" s="140"/>
      <c r="Q406" s="140"/>
      <c r="R406" s="140"/>
      <c r="S406" s="140"/>
      <c r="T406" s="140"/>
      <c r="U406" s="161"/>
      <c r="V406" s="206"/>
      <c r="W406" s="206"/>
      <c r="X406" s="206"/>
      <c r="Y406" s="153"/>
      <c r="Z406" s="239">
        <v>0</v>
      </c>
      <c r="AA406" s="212">
        <v>0</v>
      </c>
      <c r="AB406" s="212">
        <v>0</v>
      </c>
      <c r="AC406" s="213"/>
    </row>
    <row r="407" spans="1:29" ht="43.5" hidden="1" customHeight="1" x14ac:dyDescent="0.3">
      <c r="A407" s="153" t="s">
        <v>903</v>
      </c>
      <c r="B407" s="140" t="s">
        <v>16</v>
      </c>
      <c r="C407" s="140" t="s">
        <v>136</v>
      </c>
      <c r="D407" s="140" t="s">
        <v>129</v>
      </c>
      <c r="E407" s="234"/>
      <c r="F407" s="140"/>
      <c r="G407" s="140"/>
      <c r="H407" s="140"/>
      <c r="I407" s="140"/>
      <c r="J407" s="140"/>
      <c r="K407" s="140"/>
      <c r="L407" s="140"/>
      <c r="M407" s="140"/>
      <c r="N407" s="140"/>
      <c r="O407" s="140"/>
      <c r="P407" s="140"/>
      <c r="Q407" s="140"/>
      <c r="R407" s="140"/>
      <c r="S407" s="140"/>
      <c r="T407" s="140"/>
      <c r="U407" s="161"/>
      <c r="V407" s="206"/>
      <c r="W407" s="206"/>
      <c r="X407" s="206"/>
      <c r="Y407" s="153"/>
      <c r="Z407" s="239">
        <f>Z408</f>
        <v>0</v>
      </c>
      <c r="AA407" s="212">
        <v>0</v>
      </c>
      <c r="AB407" s="212">
        <v>0</v>
      </c>
      <c r="AC407" s="213"/>
    </row>
    <row r="408" spans="1:29" ht="45.75" hidden="1" customHeight="1" x14ac:dyDescent="0.3">
      <c r="A408" s="153" t="s">
        <v>773</v>
      </c>
      <c r="B408" s="140" t="s">
        <v>16</v>
      </c>
      <c r="C408" s="140" t="s">
        <v>136</v>
      </c>
      <c r="D408" s="140" t="s">
        <v>129</v>
      </c>
      <c r="E408" s="234" t="s">
        <v>902</v>
      </c>
      <c r="F408" s="140"/>
      <c r="G408" s="140"/>
      <c r="H408" s="140"/>
      <c r="I408" s="140"/>
      <c r="J408" s="140"/>
      <c r="K408" s="140"/>
      <c r="L408" s="140"/>
      <c r="M408" s="140"/>
      <c r="N408" s="140"/>
      <c r="O408" s="140"/>
      <c r="P408" s="140"/>
      <c r="Q408" s="140"/>
      <c r="R408" s="140"/>
      <c r="S408" s="140"/>
      <c r="T408" s="140" t="s">
        <v>427</v>
      </c>
      <c r="U408" s="161"/>
      <c r="V408" s="206"/>
      <c r="W408" s="206"/>
      <c r="X408" s="206"/>
      <c r="Y408" s="153"/>
      <c r="Z408" s="239">
        <v>0</v>
      </c>
      <c r="AA408" s="212">
        <v>0</v>
      </c>
      <c r="AB408" s="212">
        <v>0</v>
      </c>
      <c r="AC408" s="213"/>
    </row>
    <row r="409" spans="1:29" ht="36.75" hidden="1" customHeight="1" x14ac:dyDescent="0.3">
      <c r="A409" s="153" t="s">
        <v>109</v>
      </c>
      <c r="B409" s="140"/>
      <c r="C409" s="140"/>
      <c r="D409" s="140"/>
      <c r="E409" s="234"/>
      <c r="F409" s="140"/>
      <c r="G409" s="140"/>
      <c r="H409" s="140"/>
      <c r="I409" s="140"/>
      <c r="J409" s="140"/>
      <c r="K409" s="140"/>
      <c r="L409" s="140"/>
      <c r="M409" s="140"/>
      <c r="N409" s="140"/>
      <c r="O409" s="140"/>
      <c r="P409" s="140"/>
      <c r="Q409" s="140"/>
      <c r="R409" s="140"/>
      <c r="S409" s="140"/>
      <c r="T409" s="140"/>
      <c r="U409" s="161"/>
      <c r="V409" s="206"/>
      <c r="W409" s="206"/>
      <c r="X409" s="206"/>
      <c r="Y409" s="153"/>
      <c r="Z409" s="239"/>
      <c r="AA409" s="212"/>
      <c r="AB409" s="212"/>
      <c r="AC409" s="213"/>
    </row>
    <row r="410" spans="1:29" ht="27" customHeight="1" x14ac:dyDescent="0.3">
      <c r="A410" s="159" t="s">
        <v>303</v>
      </c>
      <c r="B410" s="140" t="s">
        <v>16</v>
      </c>
      <c r="C410" s="140" t="s">
        <v>136</v>
      </c>
      <c r="D410" s="140" t="s">
        <v>133</v>
      </c>
      <c r="E410" s="234"/>
      <c r="F410" s="140"/>
      <c r="G410" s="140"/>
      <c r="H410" s="140"/>
      <c r="I410" s="140"/>
      <c r="J410" s="140"/>
      <c r="K410" s="140"/>
      <c r="L410" s="140"/>
      <c r="M410" s="140"/>
      <c r="N410" s="140"/>
      <c r="O410" s="140"/>
      <c r="P410" s="140"/>
      <c r="Q410" s="140"/>
      <c r="R410" s="140"/>
      <c r="S410" s="140"/>
      <c r="T410" s="140"/>
      <c r="U410" s="161"/>
      <c r="V410" s="206"/>
      <c r="W410" s="206"/>
      <c r="X410" s="206"/>
      <c r="Y410" s="153"/>
      <c r="Z410" s="239">
        <f>Z411+Z416</f>
        <v>14619000</v>
      </c>
      <c r="AA410" s="212">
        <v>0</v>
      </c>
      <c r="AB410" s="212">
        <v>0</v>
      </c>
      <c r="AC410" s="213"/>
    </row>
    <row r="411" spans="1:29" ht="36.75" customHeight="1" x14ac:dyDescent="0.3">
      <c r="A411" s="159" t="s">
        <v>252</v>
      </c>
      <c r="B411" s="140" t="s">
        <v>16</v>
      </c>
      <c r="C411" s="140" t="s">
        <v>136</v>
      </c>
      <c r="D411" s="140" t="s">
        <v>125</v>
      </c>
      <c r="E411" s="234"/>
      <c r="F411" s="140"/>
      <c r="G411" s="140"/>
      <c r="H411" s="140"/>
      <c r="I411" s="140"/>
      <c r="J411" s="140"/>
      <c r="K411" s="140"/>
      <c r="L411" s="140"/>
      <c r="M411" s="140"/>
      <c r="N411" s="140"/>
      <c r="O411" s="140"/>
      <c r="P411" s="140"/>
      <c r="Q411" s="140"/>
      <c r="R411" s="140"/>
      <c r="S411" s="140"/>
      <c r="T411" s="140"/>
      <c r="U411" s="161"/>
      <c r="V411" s="206"/>
      <c r="W411" s="206"/>
      <c r="X411" s="206"/>
      <c r="Y411" s="153"/>
      <c r="Z411" s="239">
        <f>Z412</f>
        <v>72000</v>
      </c>
      <c r="AA411" s="212">
        <v>0</v>
      </c>
      <c r="AB411" s="212">
        <v>0</v>
      </c>
      <c r="AC411" s="213"/>
    </row>
    <row r="412" spans="1:29" ht="135" customHeight="1" x14ac:dyDescent="0.3">
      <c r="A412" s="295" t="s">
        <v>1459</v>
      </c>
      <c r="B412" s="140" t="s">
        <v>16</v>
      </c>
      <c r="C412" s="140" t="s">
        <v>136</v>
      </c>
      <c r="D412" s="140" t="s">
        <v>125</v>
      </c>
      <c r="E412" s="234" t="s">
        <v>993</v>
      </c>
      <c r="F412" s="140"/>
      <c r="G412" s="140"/>
      <c r="H412" s="140"/>
      <c r="I412" s="140"/>
      <c r="J412" s="140"/>
      <c r="K412" s="140"/>
      <c r="L412" s="140"/>
      <c r="M412" s="140"/>
      <c r="N412" s="140"/>
      <c r="O412" s="140"/>
      <c r="P412" s="140"/>
      <c r="Q412" s="140"/>
      <c r="R412" s="140"/>
      <c r="S412" s="140"/>
      <c r="T412" s="140"/>
      <c r="U412" s="161"/>
      <c r="V412" s="206"/>
      <c r="W412" s="206"/>
      <c r="X412" s="206"/>
      <c r="Y412" s="153"/>
      <c r="Z412" s="239">
        <f>Z413</f>
        <v>72000</v>
      </c>
      <c r="AA412" s="212">
        <v>0</v>
      </c>
      <c r="AB412" s="212">
        <v>0</v>
      </c>
      <c r="AC412" s="213"/>
    </row>
    <row r="413" spans="1:29" ht="36.75" customHeight="1" x14ac:dyDescent="0.3">
      <c r="A413" s="747" t="s">
        <v>1185</v>
      </c>
      <c r="B413" s="140" t="s">
        <v>16</v>
      </c>
      <c r="C413" s="140" t="s">
        <v>136</v>
      </c>
      <c r="D413" s="140" t="s">
        <v>125</v>
      </c>
      <c r="E413" s="234" t="s">
        <v>993</v>
      </c>
      <c r="F413" s="140"/>
      <c r="G413" s="140"/>
      <c r="H413" s="140"/>
      <c r="I413" s="140"/>
      <c r="J413" s="140"/>
      <c r="K413" s="140"/>
      <c r="L413" s="140"/>
      <c r="M413" s="140"/>
      <c r="N413" s="140"/>
      <c r="O413" s="140"/>
      <c r="P413" s="140"/>
      <c r="Q413" s="140"/>
      <c r="R413" s="140"/>
      <c r="S413" s="140"/>
      <c r="T413" s="140" t="s">
        <v>427</v>
      </c>
      <c r="U413" s="161"/>
      <c r="V413" s="206"/>
      <c r="W413" s="206"/>
      <c r="X413" s="206"/>
      <c r="Y413" s="153"/>
      <c r="Z413" s="239">
        <f>Z415</f>
        <v>72000</v>
      </c>
      <c r="AA413" s="212">
        <v>0</v>
      </c>
      <c r="AB413" s="212">
        <v>0</v>
      </c>
      <c r="AC413" s="213"/>
    </row>
    <row r="414" spans="1:29" ht="25.5" customHeight="1" x14ac:dyDescent="0.3">
      <c r="A414" s="295" t="s">
        <v>109</v>
      </c>
      <c r="B414" s="140"/>
      <c r="C414" s="140"/>
      <c r="D414" s="140"/>
      <c r="E414" s="234"/>
      <c r="F414" s="140"/>
      <c r="G414" s="140"/>
      <c r="H414" s="140"/>
      <c r="I414" s="140"/>
      <c r="J414" s="140"/>
      <c r="K414" s="140"/>
      <c r="L414" s="140"/>
      <c r="M414" s="140"/>
      <c r="N414" s="140"/>
      <c r="O414" s="140"/>
      <c r="P414" s="140"/>
      <c r="Q414" s="140"/>
      <c r="R414" s="140"/>
      <c r="S414" s="140"/>
      <c r="T414" s="140"/>
      <c r="U414" s="161"/>
      <c r="V414" s="206"/>
      <c r="W414" s="206"/>
      <c r="X414" s="206"/>
      <c r="Y414" s="153"/>
      <c r="Z414" s="239"/>
      <c r="AA414" s="212"/>
      <c r="AB414" s="212"/>
      <c r="AC414" s="213"/>
    </row>
    <row r="415" spans="1:29" ht="26.25" customHeight="1" x14ac:dyDescent="0.3">
      <c r="A415" s="142" t="s">
        <v>1438</v>
      </c>
      <c r="B415" s="140" t="s">
        <v>16</v>
      </c>
      <c r="C415" s="140" t="s">
        <v>136</v>
      </c>
      <c r="D415" s="140" t="s">
        <v>125</v>
      </c>
      <c r="E415" s="234" t="s">
        <v>993</v>
      </c>
      <c r="F415" s="140"/>
      <c r="G415" s="140"/>
      <c r="H415" s="140"/>
      <c r="I415" s="140"/>
      <c r="J415" s="140"/>
      <c r="K415" s="140"/>
      <c r="L415" s="140"/>
      <c r="M415" s="140"/>
      <c r="N415" s="140"/>
      <c r="O415" s="140"/>
      <c r="P415" s="140"/>
      <c r="Q415" s="140"/>
      <c r="R415" s="140"/>
      <c r="S415" s="140"/>
      <c r="T415" s="140" t="s">
        <v>427</v>
      </c>
      <c r="U415" s="161"/>
      <c r="V415" s="206"/>
      <c r="W415" s="206"/>
      <c r="X415" s="206"/>
      <c r="Y415" s="153"/>
      <c r="Z415" s="239">
        <v>72000</v>
      </c>
      <c r="AA415" s="212">
        <v>0</v>
      </c>
      <c r="AB415" s="212">
        <v>0</v>
      </c>
      <c r="AC415" s="213"/>
    </row>
    <row r="416" spans="1:29" ht="33.75" customHeight="1" x14ac:dyDescent="0.3">
      <c r="A416" s="159" t="s">
        <v>606</v>
      </c>
      <c r="B416" s="140" t="s">
        <v>16</v>
      </c>
      <c r="C416" s="140" t="s">
        <v>136</v>
      </c>
      <c r="D416" s="140" t="s">
        <v>127</v>
      </c>
      <c r="E416" s="234"/>
      <c r="F416" s="140"/>
      <c r="G416" s="140"/>
      <c r="H416" s="140"/>
      <c r="I416" s="140"/>
      <c r="J416" s="140"/>
      <c r="K416" s="140"/>
      <c r="L416" s="140"/>
      <c r="M416" s="140"/>
      <c r="N416" s="140"/>
      <c r="O416" s="140"/>
      <c r="P416" s="140"/>
      <c r="Q416" s="140"/>
      <c r="R416" s="140"/>
      <c r="S416" s="140"/>
      <c r="T416" s="140"/>
      <c r="U416" s="161"/>
      <c r="V416" s="206"/>
      <c r="W416" s="206"/>
      <c r="X416" s="206"/>
      <c r="Y416" s="153"/>
      <c r="Z416" s="239">
        <f>Z417</f>
        <v>14547000</v>
      </c>
      <c r="AA416" s="212">
        <v>0</v>
      </c>
      <c r="AB416" s="212">
        <v>0</v>
      </c>
      <c r="AC416" s="213"/>
    </row>
    <row r="417" spans="1:29" ht="171.75" customHeight="1" x14ac:dyDescent="0.3">
      <c r="A417" s="153" t="s">
        <v>1256</v>
      </c>
      <c r="B417" s="140" t="s">
        <v>16</v>
      </c>
      <c r="C417" s="140" t="s">
        <v>136</v>
      </c>
      <c r="D417" s="140" t="s">
        <v>127</v>
      </c>
      <c r="E417" s="234" t="s">
        <v>558</v>
      </c>
      <c r="F417" s="140"/>
      <c r="G417" s="140"/>
      <c r="H417" s="140"/>
      <c r="I417" s="140"/>
      <c r="J417" s="140"/>
      <c r="K417" s="140"/>
      <c r="L417" s="140"/>
      <c r="M417" s="140"/>
      <c r="N417" s="140"/>
      <c r="O417" s="140"/>
      <c r="P417" s="140"/>
      <c r="Q417" s="140"/>
      <c r="R417" s="140"/>
      <c r="S417" s="140"/>
      <c r="T417" s="140"/>
      <c r="U417" s="161"/>
      <c r="V417" s="206"/>
      <c r="W417" s="206"/>
      <c r="X417" s="206"/>
      <c r="Y417" s="153"/>
      <c r="Z417" s="239">
        <f>Z418</f>
        <v>14547000</v>
      </c>
      <c r="AA417" s="212">
        <v>0</v>
      </c>
      <c r="AB417" s="212">
        <v>0</v>
      </c>
      <c r="AC417" s="213"/>
    </row>
    <row r="418" spans="1:29" ht="43.5" customHeight="1" x14ac:dyDescent="0.3">
      <c r="A418" s="747" t="s">
        <v>1185</v>
      </c>
      <c r="B418" s="140" t="s">
        <v>16</v>
      </c>
      <c r="C418" s="140" t="s">
        <v>136</v>
      </c>
      <c r="D418" s="140" t="s">
        <v>127</v>
      </c>
      <c r="E418" s="234" t="s">
        <v>558</v>
      </c>
      <c r="F418" s="140"/>
      <c r="G418" s="140"/>
      <c r="H418" s="140"/>
      <c r="I418" s="140"/>
      <c r="J418" s="140"/>
      <c r="K418" s="140"/>
      <c r="L418" s="140"/>
      <c r="M418" s="140"/>
      <c r="N418" s="140"/>
      <c r="O418" s="140"/>
      <c r="P418" s="140"/>
      <c r="Q418" s="140"/>
      <c r="R418" s="140"/>
      <c r="S418" s="140"/>
      <c r="T418" s="140" t="s">
        <v>427</v>
      </c>
      <c r="U418" s="161"/>
      <c r="V418" s="206"/>
      <c r="W418" s="206"/>
      <c r="X418" s="206"/>
      <c r="Y418" s="153"/>
      <c r="Z418" s="239">
        <f>Z420+Z421+Z422</f>
        <v>14547000</v>
      </c>
      <c r="AA418" s="212">
        <v>0</v>
      </c>
      <c r="AB418" s="212">
        <v>0</v>
      </c>
      <c r="AC418" s="213"/>
    </row>
    <row r="419" spans="1:29" ht="33.75" customHeight="1" x14ac:dyDescent="0.3">
      <c r="A419" s="295" t="s">
        <v>109</v>
      </c>
      <c r="B419" s="140"/>
      <c r="C419" s="140"/>
      <c r="D419" s="140"/>
      <c r="E419" s="234"/>
      <c r="F419" s="140"/>
      <c r="G419" s="140"/>
      <c r="H419" s="140"/>
      <c r="I419" s="140"/>
      <c r="J419" s="140"/>
      <c r="K419" s="140"/>
      <c r="L419" s="140"/>
      <c r="M419" s="140"/>
      <c r="N419" s="140"/>
      <c r="O419" s="140"/>
      <c r="P419" s="140"/>
      <c r="Q419" s="140"/>
      <c r="R419" s="140"/>
      <c r="S419" s="140"/>
      <c r="T419" s="140"/>
      <c r="U419" s="161"/>
      <c r="V419" s="206"/>
      <c r="W419" s="206"/>
      <c r="X419" s="206"/>
      <c r="Y419" s="153"/>
      <c r="Z419" s="239"/>
      <c r="AA419" s="212"/>
      <c r="AB419" s="212"/>
      <c r="AC419" s="213"/>
    </row>
    <row r="420" spans="1:29" ht="33.75" customHeight="1" x14ac:dyDescent="0.3">
      <c r="A420" s="153" t="s">
        <v>1438</v>
      </c>
      <c r="B420" s="140" t="s">
        <v>16</v>
      </c>
      <c r="C420" s="140" t="s">
        <v>136</v>
      </c>
      <c r="D420" s="140" t="s">
        <v>127</v>
      </c>
      <c r="E420" s="234" t="s">
        <v>558</v>
      </c>
      <c r="F420" s="140"/>
      <c r="G420" s="140"/>
      <c r="H420" s="140"/>
      <c r="I420" s="140"/>
      <c r="J420" s="140"/>
      <c r="K420" s="140"/>
      <c r="L420" s="140"/>
      <c r="M420" s="140"/>
      <c r="N420" s="140"/>
      <c r="O420" s="140"/>
      <c r="P420" s="140"/>
      <c r="Q420" s="140"/>
      <c r="R420" s="140"/>
      <c r="S420" s="140"/>
      <c r="T420" s="140" t="s">
        <v>427</v>
      </c>
      <c r="U420" s="161"/>
      <c r="V420" s="206"/>
      <c r="W420" s="206"/>
      <c r="X420" s="206"/>
      <c r="Y420" s="153"/>
      <c r="Z420" s="239">
        <v>600000</v>
      </c>
      <c r="AA420" s="212">
        <v>0</v>
      </c>
      <c r="AB420" s="212">
        <v>0</v>
      </c>
      <c r="AC420" s="213"/>
    </row>
    <row r="421" spans="1:29" ht="33.75" customHeight="1" x14ac:dyDescent="0.3">
      <c r="A421" s="153" t="s">
        <v>1486</v>
      </c>
      <c r="B421" s="140" t="s">
        <v>16</v>
      </c>
      <c r="C421" s="140" t="s">
        <v>136</v>
      </c>
      <c r="D421" s="140" t="s">
        <v>127</v>
      </c>
      <c r="E421" s="234" t="s">
        <v>558</v>
      </c>
      <c r="F421" s="140"/>
      <c r="G421" s="140"/>
      <c r="H421" s="140"/>
      <c r="I421" s="140"/>
      <c r="J421" s="140"/>
      <c r="K421" s="140"/>
      <c r="L421" s="140"/>
      <c r="M421" s="140"/>
      <c r="N421" s="140"/>
      <c r="O421" s="140"/>
      <c r="P421" s="140"/>
      <c r="Q421" s="140"/>
      <c r="R421" s="140"/>
      <c r="S421" s="140"/>
      <c r="T421" s="140" t="s">
        <v>427</v>
      </c>
      <c r="U421" s="161"/>
      <c r="V421" s="206"/>
      <c r="W421" s="206"/>
      <c r="X421" s="206"/>
      <c r="Y421" s="153"/>
      <c r="Z421" s="239">
        <f>400000+7600000</f>
        <v>8000000</v>
      </c>
      <c r="AA421" s="212">
        <v>0</v>
      </c>
      <c r="AB421" s="212">
        <v>0</v>
      </c>
      <c r="AC421" s="213"/>
    </row>
    <row r="422" spans="1:29" ht="33.75" customHeight="1" x14ac:dyDescent="0.3">
      <c r="A422" s="228" t="s">
        <v>787</v>
      </c>
      <c r="B422" s="707" t="s">
        <v>16</v>
      </c>
      <c r="C422" s="707" t="s">
        <v>136</v>
      </c>
      <c r="D422" s="707" t="s">
        <v>127</v>
      </c>
      <c r="E422" s="706" t="s">
        <v>558</v>
      </c>
      <c r="F422" s="707"/>
      <c r="G422" s="707"/>
      <c r="H422" s="707"/>
      <c r="I422" s="707"/>
      <c r="J422" s="707"/>
      <c r="K422" s="707"/>
      <c r="L422" s="707"/>
      <c r="M422" s="707"/>
      <c r="N422" s="707"/>
      <c r="O422" s="707"/>
      <c r="P422" s="707"/>
      <c r="Q422" s="707"/>
      <c r="R422" s="707"/>
      <c r="S422" s="707"/>
      <c r="T422" s="707" t="s">
        <v>427</v>
      </c>
      <c r="U422" s="880"/>
      <c r="V422" s="881"/>
      <c r="W422" s="881"/>
      <c r="X422" s="881"/>
      <c r="Y422" s="228"/>
      <c r="Z422" s="882">
        <f>254000+5693000</f>
        <v>5947000</v>
      </c>
      <c r="AA422" s="212">
        <v>0</v>
      </c>
      <c r="AB422" s="212">
        <v>0</v>
      </c>
      <c r="AC422" s="213"/>
    </row>
    <row r="423" spans="1:29" ht="42" customHeight="1" x14ac:dyDescent="0.3">
      <c r="A423" s="159" t="s">
        <v>347</v>
      </c>
      <c r="B423" s="140" t="s">
        <v>16</v>
      </c>
      <c r="C423" s="140" t="s">
        <v>124</v>
      </c>
      <c r="D423" s="140" t="s">
        <v>133</v>
      </c>
      <c r="E423" s="234"/>
      <c r="F423" s="140"/>
      <c r="G423" s="140"/>
      <c r="H423" s="140"/>
      <c r="I423" s="140"/>
      <c r="J423" s="140"/>
      <c r="K423" s="140"/>
      <c r="L423" s="140"/>
      <c r="M423" s="140"/>
      <c r="N423" s="140"/>
      <c r="O423" s="140"/>
      <c r="P423" s="140"/>
      <c r="Q423" s="140"/>
      <c r="R423" s="140"/>
      <c r="S423" s="140"/>
      <c r="T423" s="140"/>
      <c r="U423" s="161"/>
      <c r="V423" s="206"/>
      <c r="W423" s="206"/>
      <c r="X423" s="206"/>
      <c r="Y423" s="153"/>
      <c r="Z423" s="239">
        <f>Z424+Z465+Z445</f>
        <v>15843907.699999999</v>
      </c>
      <c r="AA423" s="212">
        <v>0</v>
      </c>
      <c r="AB423" s="212">
        <v>0</v>
      </c>
      <c r="AC423" s="213"/>
    </row>
    <row r="424" spans="1:29" ht="27" customHeight="1" x14ac:dyDescent="0.3">
      <c r="A424" s="494" t="s">
        <v>150</v>
      </c>
      <c r="B424" s="234" t="s">
        <v>16</v>
      </c>
      <c r="C424" s="234" t="s">
        <v>124</v>
      </c>
      <c r="D424" s="234" t="s">
        <v>122</v>
      </c>
      <c r="E424" s="234"/>
      <c r="F424" s="234"/>
      <c r="G424" s="234"/>
      <c r="H424" s="234"/>
      <c r="I424" s="234"/>
      <c r="J424" s="234"/>
      <c r="K424" s="234"/>
      <c r="L424" s="234"/>
      <c r="M424" s="234"/>
      <c r="N424" s="234"/>
      <c r="O424" s="234"/>
      <c r="P424" s="234"/>
      <c r="Q424" s="234"/>
      <c r="R424" s="234"/>
      <c r="S424" s="234"/>
      <c r="T424" s="234"/>
      <c r="U424" s="161"/>
      <c r="V424" s="206"/>
      <c r="W424" s="206"/>
      <c r="X424" s="206"/>
      <c r="Y424" s="153"/>
      <c r="Z424" s="239">
        <f>Z426+Z435</f>
        <v>2239882.69</v>
      </c>
      <c r="AA424" s="212">
        <v>0</v>
      </c>
      <c r="AB424" s="212">
        <v>0</v>
      </c>
      <c r="AC424" s="213"/>
    </row>
    <row r="425" spans="1:29" ht="0.75" customHeight="1" x14ac:dyDescent="0.3">
      <c r="A425" s="473" t="s">
        <v>737</v>
      </c>
      <c r="B425" s="234" t="s">
        <v>16</v>
      </c>
      <c r="C425" s="234" t="s">
        <v>124</v>
      </c>
      <c r="D425" s="234" t="s">
        <v>122</v>
      </c>
      <c r="E425" s="234" t="s">
        <v>739</v>
      </c>
      <c r="F425" s="234"/>
      <c r="G425" s="234"/>
      <c r="H425" s="234"/>
      <c r="I425" s="234"/>
      <c r="J425" s="234"/>
      <c r="K425" s="234"/>
      <c r="L425" s="234"/>
      <c r="M425" s="234"/>
      <c r="N425" s="234"/>
      <c r="O425" s="234"/>
      <c r="P425" s="234"/>
      <c r="Q425" s="234"/>
      <c r="R425" s="234"/>
      <c r="S425" s="234"/>
      <c r="T425" s="234"/>
      <c r="U425" s="161"/>
      <c r="V425" s="206"/>
      <c r="W425" s="206"/>
      <c r="X425" s="206"/>
      <c r="Y425" s="153"/>
      <c r="Z425" s="239">
        <f>Z426</f>
        <v>0</v>
      </c>
      <c r="AA425" s="212"/>
      <c r="AB425" s="212"/>
      <c r="AC425" s="213"/>
    </row>
    <row r="426" spans="1:29" ht="33.75" hidden="1" customHeight="1" x14ac:dyDescent="0.3">
      <c r="A426" s="295" t="s">
        <v>773</v>
      </c>
      <c r="B426" s="234" t="s">
        <v>16</v>
      </c>
      <c r="C426" s="234" t="s">
        <v>124</v>
      </c>
      <c r="D426" s="234" t="s">
        <v>122</v>
      </c>
      <c r="E426" s="234" t="s">
        <v>739</v>
      </c>
      <c r="F426" s="234"/>
      <c r="G426" s="234"/>
      <c r="H426" s="234"/>
      <c r="I426" s="234"/>
      <c r="J426" s="234"/>
      <c r="K426" s="234"/>
      <c r="L426" s="234"/>
      <c r="M426" s="234"/>
      <c r="N426" s="234"/>
      <c r="O426" s="234"/>
      <c r="P426" s="234"/>
      <c r="Q426" s="234"/>
      <c r="R426" s="234"/>
      <c r="S426" s="234"/>
      <c r="T426" s="234" t="s">
        <v>427</v>
      </c>
      <c r="U426" s="161"/>
      <c r="V426" s="206"/>
      <c r="W426" s="206"/>
      <c r="X426" s="206"/>
      <c r="Y426" s="153"/>
      <c r="Z426" s="239">
        <v>0</v>
      </c>
      <c r="AA426" s="212">
        <v>0</v>
      </c>
      <c r="AB426" s="212">
        <v>0</v>
      </c>
      <c r="AC426" s="213"/>
    </row>
    <row r="427" spans="1:29" ht="36.75" hidden="1" customHeight="1" x14ac:dyDescent="0.3">
      <c r="A427" s="295" t="s">
        <v>109</v>
      </c>
      <c r="B427" s="140"/>
      <c r="C427" s="140"/>
      <c r="D427" s="140"/>
      <c r="E427" s="234"/>
      <c r="F427" s="140"/>
      <c r="G427" s="140"/>
      <c r="H427" s="140"/>
      <c r="I427" s="140"/>
      <c r="J427" s="140"/>
      <c r="K427" s="140"/>
      <c r="L427" s="140"/>
      <c r="M427" s="140"/>
      <c r="N427" s="140"/>
      <c r="O427" s="140"/>
      <c r="P427" s="140"/>
      <c r="Q427" s="140"/>
      <c r="R427" s="140"/>
      <c r="S427" s="140"/>
      <c r="T427" s="140"/>
      <c r="U427" s="161"/>
      <c r="V427" s="206"/>
      <c r="W427" s="206"/>
      <c r="X427" s="206"/>
      <c r="Y427" s="153"/>
      <c r="Z427" s="239"/>
      <c r="AA427" s="212"/>
      <c r="AB427" s="212"/>
      <c r="AC427" s="213"/>
    </row>
    <row r="428" spans="1:29" ht="36" hidden="1" customHeight="1" x14ac:dyDescent="0.3">
      <c r="A428" s="153" t="s">
        <v>774</v>
      </c>
      <c r="B428" s="140" t="s">
        <v>16</v>
      </c>
      <c r="C428" s="140" t="s">
        <v>124</v>
      </c>
      <c r="D428" s="140" t="s">
        <v>122</v>
      </c>
      <c r="E428" s="234" t="s">
        <v>739</v>
      </c>
      <c r="F428" s="140"/>
      <c r="G428" s="140"/>
      <c r="H428" s="140"/>
      <c r="I428" s="140"/>
      <c r="J428" s="140"/>
      <c r="K428" s="140"/>
      <c r="L428" s="140"/>
      <c r="M428" s="140"/>
      <c r="N428" s="140"/>
      <c r="O428" s="140"/>
      <c r="P428" s="140"/>
      <c r="Q428" s="140"/>
      <c r="R428" s="140"/>
      <c r="S428" s="140"/>
      <c r="T428" s="140" t="s">
        <v>427</v>
      </c>
      <c r="U428" s="161"/>
      <c r="V428" s="206"/>
      <c r="W428" s="206"/>
      <c r="X428" s="206"/>
      <c r="Y428" s="153"/>
      <c r="Z428" s="239">
        <f>180000-180000</f>
        <v>0</v>
      </c>
      <c r="AA428" s="212">
        <v>0</v>
      </c>
      <c r="AB428" s="212">
        <v>0</v>
      </c>
      <c r="AC428" s="213"/>
    </row>
    <row r="429" spans="1:29" ht="0.75" hidden="1" customHeight="1" x14ac:dyDescent="0.3">
      <c r="A429" s="153" t="s">
        <v>794</v>
      </c>
      <c r="B429" s="140" t="s">
        <v>16</v>
      </c>
      <c r="C429" s="140" t="s">
        <v>124</v>
      </c>
      <c r="D429" s="140" t="s">
        <v>122</v>
      </c>
      <c r="E429" s="234" t="s">
        <v>739</v>
      </c>
      <c r="F429" s="140"/>
      <c r="G429" s="140"/>
      <c r="H429" s="140"/>
      <c r="I429" s="140"/>
      <c r="J429" s="140"/>
      <c r="K429" s="140"/>
      <c r="L429" s="140"/>
      <c r="M429" s="140"/>
      <c r="N429" s="140"/>
      <c r="O429" s="140"/>
      <c r="P429" s="140"/>
      <c r="Q429" s="140"/>
      <c r="R429" s="140"/>
      <c r="S429" s="140"/>
      <c r="T429" s="140" t="s">
        <v>427</v>
      </c>
      <c r="U429" s="161"/>
      <c r="V429" s="206"/>
      <c r="W429" s="206"/>
      <c r="X429" s="206"/>
      <c r="Y429" s="153"/>
      <c r="Z429" s="239">
        <f>550000-550000</f>
        <v>0</v>
      </c>
      <c r="AA429" s="212">
        <v>0</v>
      </c>
      <c r="AB429" s="212">
        <v>0</v>
      </c>
      <c r="AC429" s="213"/>
    </row>
    <row r="430" spans="1:29" ht="44.25" hidden="1" customHeight="1" x14ac:dyDescent="0.3">
      <c r="A430" s="153" t="s">
        <v>1045</v>
      </c>
      <c r="B430" s="140" t="s">
        <v>16</v>
      </c>
      <c r="C430" s="140" t="s">
        <v>124</v>
      </c>
      <c r="D430" s="140" t="s">
        <v>122</v>
      </c>
      <c r="E430" s="234" t="s">
        <v>739</v>
      </c>
      <c r="F430" s="140"/>
      <c r="G430" s="140"/>
      <c r="H430" s="140"/>
      <c r="I430" s="140"/>
      <c r="J430" s="140"/>
      <c r="K430" s="140"/>
      <c r="L430" s="140"/>
      <c r="M430" s="140"/>
      <c r="N430" s="140"/>
      <c r="O430" s="140"/>
      <c r="P430" s="140"/>
      <c r="Q430" s="140"/>
      <c r="R430" s="140"/>
      <c r="S430" s="140"/>
      <c r="T430" s="140" t="s">
        <v>427</v>
      </c>
      <c r="U430" s="161"/>
      <c r="V430" s="206"/>
      <c r="W430" s="206"/>
      <c r="X430" s="206"/>
      <c r="Y430" s="153"/>
      <c r="Z430" s="239">
        <f>197317.12-197317.12</f>
        <v>0</v>
      </c>
      <c r="AA430" s="212">
        <v>0</v>
      </c>
      <c r="AB430" s="212">
        <v>0</v>
      </c>
      <c r="AC430" s="213"/>
    </row>
    <row r="431" spans="1:29" ht="39.75" hidden="1" customHeight="1" x14ac:dyDescent="0.3">
      <c r="A431" s="473" t="s">
        <v>793</v>
      </c>
      <c r="B431" s="140" t="s">
        <v>16</v>
      </c>
      <c r="C431" s="140" t="s">
        <v>124</v>
      </c>
      <c r="D431" s="140" t="s">
        <v>122</v>
      </c>
      <c r="E431" s="234" t="s">
        <v>739</v>
      </c>
      <c r="F431" s="140"/>
      <c r="G431" s="140"/>
      <c r="H431" s="140"/>
      <c r="I431" s="140"/>
      <c r="J431" s="140"/>
      <c r="K431" s="140"/>
      <c r="L431" s="140"/>
      <c r="M431" s="140"/>
      <c r="N431" s="140"/>
      <c r="O431" s="140"/>
      <c r="P431" s="140"/>
      <c r="Q431" s="140"/>
      <c r="R431" s="140"/>
      <c r="S431" s="140"/>
      <c r="T431" s="140" t="s">
        <v>427</v>
      </c>
      <c r="U431" s="161"/>
      <c r="V431" s="206"/>
      <c r="W431" s="206"/>
      <c r="X431" s="206"/>
      <c r="Y431" s="153"/>
      <c r="Z431" s="239">
        <v>0</v>
      </c>
      <c r="AA431" s="212">
        <v>0</v>
      </c>
      <c r="AB431" s="212">
        <v>0</v>
      </c>
      <c r="AC431" s="213"/>
    </row>
    <row r="432" spans="1:29" ht="38.25" hidden="1" customHeight="1" x14ac:dyDescent="0.3">
      <c r="A432" s="269" t="s">
        <v>787</v>
      </c>
      <c r="B432" s="140" t="s">
        <v>16</v>
      </c>
      <c r="C432" s="140" t="s">
        <v>124</v>
      </c>
      <c r="D432" s="140" t="s">
        <v>122</v>
      </c>
      <c r="E432" s="234" t="s">
        <v>739</v>
      </c>
      <c r="F432" s="140"/>
      <c r="G432" s="140"/>
      <c r="H432" s="140"/>
      <c r="I432" s="140"/>
      <c r="J432" s="140"/>
      <c r="K432" s="140"/>
      <c r="L432" s="140"/>
      <c r="M432" s="140"/>
      <c r="N432" s="140"/>
      <c r="O432" s="140"/>
      <c r="P432" s="140"/>
      <c r="Q432" s="140"/>
      <c r="R432" s="140"/>
      <c r="S432" s="140"/>
      <c r="T432" s="140" t="s">
        <v>427</v>
      </c>
      <c r="U432" s="161"/>
      <c r="V432" s="206"/>
      <c r="W432" s="206"/>
      <c r="X432" s="206"/>
      <c r="Y432" s="153"/>
      <c r="Z432" s="239">
        <f>200000-200000</f>
        <v>0</v>
      </c>
      <c r="AA432" s="212">
        <v>0</v>
      </c>
      <c r="AB432" s="212">
        <v>0</v>
      </c>
      <c r="AC432" s="213"/>
    </row>
    <row r="433" spans="1:29" ht="40.5" hidden="1" customHeight="1" x14ac:dyDescent="0.3">
      <c r="A433" s="510" t="s">
        <v>788</v>
      </c>
      <c r="B433" s="140" t="s">
        <v>16</v>
      </c>
      <c r="C433" s="140" t="s">
        <v>124</v>
      </c>
      <c r="D433" s="140" t="s">
        <v>122</v>
      </c>
      <c r="E433" s="234" t="s">
        <v>739</v>
      </c>
      <c r="F433" s="140"/>
      <c r="G433" s="140"/>
      <c r="H433" s="140"/>
      <c r="I433" s="140"/>
      <c r="J433" s="140"/>
      <c r="K433" s="140"/>
      <c r="L433" s="140"/>
      <c r="M433" s="140"/>
      <c r="N433" s="140"/>
      <c r="O433" s="140"/>
      <c r="P433" s="140"/>
      <c r="Q433" s="140"/>
      <c r="R433" s="140"/>
      <c r="S433" s="140"/>
      <c r="T433" s="140" t="s">
        <v>427</v>
      </c>
      <c r="U433" s="161"/>
      <c r="V433" s="206"/>
      <c r="W433" s="206"/>
      <c r="X433" s="206"/>
      <c r="Y433" s="153"/>
      <c r="Z433" s="239">
        <f>150000-150000</f>
        <v>0</v>
      </c>
      <c r="AA433" s="212"/>
      <c r="AB433" s="212"/>
      <c r="AC433" s="213"/>
    </row>
    <row r="434" spans="1:29" ht="48" hidden="1" customHeight="1" x14ac:dyDescent="0.3">
      <c r="A434" s="153" t="s">
        <v>792</v>
      </c>
      <c r="B434" s="140" t="s">
        <v>16</v>
      </c>
      <c r="C434" s="140" t="s">
        <v>124</v>
      </c>
      <c r="D434" s="140" t="s">
        <v>122</v>
      </c>
      <c r="E434" s="234" t="s">
        <v>739</v>
      </c>
      <c r="F434" s="140"/>
      <c r="G434" s="140"/>
      <c r="H434" s="140"/>
      <c r="I434" s="140"/>
      <c r="J434" s="140"/>
      <c r="K434" s="140"/>
      <c r="L434" s="140"/>
      <c r="M434" s="140"/>
      <c r="N434" s="140"/>
      <c r="O434" s="140"/>
      <c r="P434" s="140"/>
      <c r="Q434" s="140"/>
      <c r="R434" s="140"/>
      <c r="S434" s="140"/>
      <c r="T434" s="140" t="s">
        <v>427</v>
      </c>
      <c r="U434" s="161"/>
      <c r="V434" s="206"/>
      <c r="W434" s="206"/>
      <c r="X434" s="206"/>
      <c r="Y434" s="153"/>
      <c r="Z434" s="239">
        <f>200000-200000</f>
        <v>0</v>
      </c>
      <c r="AA434" s="212">
        <v>0</v>
      </c>
      <c r="AB434" s="212">
        <v>0</v>
      </c>
      <c r="AC434" s="213"/>
    </row>
    <row r="435" spans="1:29" ht="172.5" customHeight="1" x14ac:dyDescent="0.3">
      <c r="A435" s="153" t="s">
        <v>1416</v>
      </c>
      <c r="B435" s="234" t="s">
        <v>16</v>
      </c>
      <c r="C435" s="234" t="s">
        <v>124</v>
      </c>
      <c r="D435" s="234" t="s">
        <v>122</v>
      </c>
      <c r="E435" s="234" t="s">
        <v>1058</v>
      </c>
      <c r="F435" s="140"/>
      <c r="G435" s="140"/>
      <c r="H435" s="140"/>
      <c r="I435" s="140"/>
      <c r="J435" s="140"/>
      <c r="K435" s="140"/>
      <c r="L435" s="140"/>
      <c r="M435" s="140"/>
      <c r="N435" s="140"/>
      <c r="O435" s="140"/>
      <c r="P435" s="140"/>
      <c r="Q435" s="140"/>
      <c r="R435" s="140"/>
      <c r="S435" s="140"/>
      <c r="T435" s="140"/>
      <c r="U435" s="161"/>
      <c r="V435" s="206"/>
      <c r="W435" s="206"/>
      <c r="X435" s="206"/>
      <c r="Y435" s="153"/>
      <c r="Z435" s="239">
        <f>Z436</f>
        <v>2239882.69</v>
      </c>
      <c r="AA435" s="212">
        <v>0</v>
      </c>
      <c r="AB435" s="212">
        <v>0</v>
      </c>
      <c r="AC435" s="213"/>
    </row>
    <row r="436" spans="1:29" ht="26.25" customHeight="1" x14ac:dyDescent="0.3">
      <c r="A436" s="295" t="s">
        <v>773</v>
      </c>
      <c r="B436" s="234" t="s">
        <v>16</v>
      </c>
      <c r="C436" s="234" t="s">
        <v>124</v>
      </c>
      <c r="D436" s="234" t="s">
        <v>122</v>
      </c>
      <c r="E436" s="234" t="s">
        <v>1058</v>
      </c>
      <c r="F436" s="234"/>
      <c r="G436" s="234"/>
      <c r="H436" s="234"/>
      <c r="I436" s="234"/>
      <c r="J436" s="234"/>
      <c r="K436" s="234"/>
      <c r="L436" s="234"/>
      <c r="M436" s="234"/>
      <c r="N436" s="234"/>
      <c r="O436" s="234"/>
      <c r="P436" s="234"/>
      <c r="Q436" s="234"/>
      <c r="R436" s="234"/>
      <c r="S436" s="234"/>
      <c r="T436" s="234" t="s">
        <v>427</v>
      </c>
      <c r="U436" s="161"/>
      <c r="V436" s="206"/>
      <c r="W436" s="206"/>
      <c r="X436" s="206"/>
      <c r="Y436" s="153"/>
      <c r="Z436" s="239">
        <f>Z441+Z438+Z439+Z440+Z442+Z443+Z444</f>
        <v>2239882.69</v>
      </c>
      <c r="AA436" s="212">
        <v>0</v>
      </c>
      <c r="AB436" s="212">
        <v>0</v>
      </c>
      <c r="AC436" s="213"/>
    </row>
    <row r="437" spans="1:29" ht="22.5" customHeight="1" x14ac:dyDescent="0.3">
      <c r="A437" s="295" t="s">
        <v>109</v>
      </c>
      <c r="B437" s="140"/>
      <c r="C437" s="140"/>
      <c r="D437" s="140"/>
      <c r="E437" s="234"/>
      <c r="F437" s="140"/>
      <c r="G437" s="140"/>
      <c r="H437" s="140"/>
      <c r="I437" s="140"/>
      <c r="J437" s="140"/>
      <c r="K437" s="140"/>
      <c r="L437" s="140"/>
      <c r="M437" s="140"/>
      <c r="N437" s="140"/>
      <c r="O437" s="140"/>
      <c r="P437" s="140"/>
      <c r="Q437" s="140"/>
      <c r="R437" s="140"/>
      <c r="S437" s="140"/>
      <c r="T437" s="140"/>
      <c r="U437" s="161"/>
      <c r="V437" s="206"/>
      <c r="W437" s="206"/>
      <c r="X437" s="206"/>
      <c r="Y437" s="153"/>
      <c r="Z437" s="239"/>
      <c r="AA437" s="212"/>
      <c r="AB437" s="212"/>
      <c r="AC437" s="213"/>
    </row>
    <row r="438" spans="1:29" ht="18.75" x14ac:dyDescent="0.3">
      <c r="A438" s="153" t="s">
        <v>774</v>
      </c>
      <c r="B438" s="140" t="s">
        <v>16</v>
      </c>
      <c r="C438" s="140" t="s">
        <v>124</v>
      </c>
      <c r="D438" s="140" t="s">
        <v>122</v>
      </c>
      <c r="E438" s="234" t="s">
        <v>1058</v>
      </c>
      <c r="F438" s="140"/>
      <c r="G438" s="140"/>
      <c r="H438" s="140"/>
      <c r="I438" s="140"/>
      <c r="J438" s="140"/>
      <c r="K438" s="140"/>
      <c r="L438" s="140"/>
      <c r="M438" s="140"/>
      <c r="N438" s="140"/>
      <c r="O438" s="140"/>
      <c r="P438" s="140"/>
      <c r="Q438" s="140"/>
      <c r="R438" s="140"/>
      <c r="S438" s="140"/>
      <c r="T438" s="140" t="s">
        <v>427</v>
      </c>
      <c r="U438" s="161"/>
      <c r="V438" s="206"/>
      <c r="W438" s="206"/>
      <c r="X438" s="206"/>
      <c r="Y438" s="153"/>
      <c r="Z438" s="239">
        <v>300000</v>
      </c>
      <c r="AA438" s="212">
        <v>0</v>
      </c>
      <c r="AB438" s="212">
        <v>0</v>
      </c>
      <c r="AC438" s="213"/>
    </row>
    <row r="439" spans="1:29" ht="18.75" x14ac:dyDescent="0.3">
      <c r="A439" s="153" t="s">
        <v>794</v>
      </c>
      <c r="B439" s="140" t="s">
        <v>16</v>
      </c>
      <c r="C439" s="140" t="s">
        <v>124</v>
      </c>
      <c r="D439" s="140" t="s">
        <v>122</v>
      </c>
      <c r="E439" s="234" t="s">
        <v>1058</v>
      </c>
      <c r="F439" s="140"/>
      <c r="G439" s="140"/>
      <c r="H439" s="140"/>
      <c r="I439" s="140"/>
      <c r="J439" s="140"/>
      <c r="K439" s="140"/>
      <c r="L439" s="140"/>
      <c r="M439" s="140"/>
      <c r="N439" s="140"/>
      <c r="O439" s="140"/>
      <c r="P439" s="140"/>
      <c r="Q439" s="140"/>
      <c r="R439" s="140"/>
      <c r="S439" s="140"/>
      <c r="T439" s="140" t="s">
        <v>427</v>
      </c>
      <c r="U439" s="161"/>
      <c r="V439" s="206"/>
      <c r="W439" s="206"/>
      <c r="X439" s="206"/>
      <c r="Y439" s="153"/>
      <c r="Z439" s="239">
        <v>500000</v>
      </c>
      <c r="AA439" s="212">
        <v>0</v>
      </c>
      <c r="AB439" s="212">
        <v>0</v>
      </c>
      <c r="AC439" s="213"/>
    </row>
    <row r="440" spans="1:29" ht="18.75" x14ac:dyDescent="0.3">
      <c r="A440" s="153" t="s">
        <v>1045</v>
      </c>
      <c r="B440" s="140" t="s">
        <v>16</v>
      </c>
      <c r="C440" s="140" t="s">
        <v>124</v>
      </c>
      <c r="D440" s="140" t="s">
        <v>122</v>
      </c>
      <c r="E440" s="234" t="s">
        <v>1058</v>
      </c>
      <c r="F440" s="140"/>
      <c r="G440" s="140"/>
      <c r="H440" s="140"/>
      <c r="I440" s="140"/>
      <c r="J440" s="140"/>
      <c r="K440" s="140"/>
      <c r="L440" s="140"/>
      <c r="M440" s="140"/>
      <c r="N440" s="140"/>
      <c r="O440" s="140"/>
      <c r="P440" s="140"/>
      <c r="Q440" s="140"/>
      <c r="R440" s="140"/>
      <c r="S440" s="140"/>
      <c r="T440" s="140" t="s">
        <v>427</v>
      </c>
      <c r="U440" s="161"/>
      <c r="V440" s="206"/>
      <c r="W440" s="206"/>
      <c r="X440" s="206"/>
      <c r="Y440" s="153"/>
      <c r="Z440" s="239">
        <v>200000</v>
      </c>
      <c r="AA440" s="212">
        <v>0</v>
      </c>
      <c r="AB440" s="212">
        <v>0</v>
      </c>
      <c r="AC440" s="213"/>
    </row>
    <row r="441" spans="1:29" ht="18.75" x14ac:dyDescent="0.3">
      <c r="A441" s="158" t="s">
        <v>793</v>
      </c>
      <c r="B441" s="140" t="s">
        <v>16</v>
      </c>
      <c r="C441" s="140" t="s">
        <v>124</v>
      </c>
      <c r="D441" s="140" t="s">
        <v>122</v>
      </c>
      <c r="E441" s="234" t="s">
        <v>1058</v>
      </c>
      <c r="F441" s="140"/>
      <c r="G441" s="140"/>
      <c r="H441" s="140"/>
      <c r="I441" s="140"/>
      <c r="J441" s="140"/>
      <c r="K441" s="140"/>
      <c r="L441" s="140"/>
      <c r="M441" s="140"/>
      <c r="N441" s="140"/>
      <c r="O441" s="140"/>
      <c r="P441" s="140"/>
      <c r="Q441" s="140"/>
      <c r="R441" s="140"/>
      <c r="S441" s="140"/>
      <c r="T441" s="140" t="s">
        <v>427</v>
      </c>
      <c r="U441" s="161"/>
      <c r="V441" s="206"/>
      <c r="W441" s="206"/>
      <c r="X441" s="206"/>
      <c r="Y441" s="153"/>
      <c r="Z441" s="239">
        <f>339882.69+200000</f>
        <v>539882.68999999994</v>
      </c>
      <c r="AA441" s="212">
        <v>0</v>
      </c>
      <c r="AB441" s="212">
        <v>0</v>
      </c>
      <c r="AC441" s="213"/>
    </row>
    <row r="442" spans="1:29" ht="18.75" x14ac:dyDescent="0.3">
      <c r="A442" s="269" t="s">
        <v>787</v>
      </c>
      <c r="B442" s="140" t="s">
        <v>16</v>
      </c>
      <c r="C442" s="140" t="s">
        <v>124</v>
      </c>
      <c r="D442" s="140" t="s">
        <v>122</v>
      </c>
      <c r="E442" s="234" t="s">
        <v>1058</v>
      </c>
      <c r="F442" s="140"/>
      <c r="G442" s="140"/>
      <c r="H442" s="140"/>
      <c r="I442" s="140"/>
      <c r="J442" s="140"/>
      <c r="K442" s="140"/>
      <c r="L442" s="140"/>
      <c r="M442" s="140"/>
      <c r="N442" s="140"/>
      <c r="O442" s="140"/>
      <c r="P442" s="140"/>
      <c r="Q442" s="140"/>
      <c r="R442" s="140"/>
      <c r="S442" s="140"/>
      <c r="T442" s="140" t="s">
        <v>427</v>
      </c>
      <c r="U442" s="161"/>
      <c r="V442" s="206"/>
      <c r="W442" s="206"/>
      <c r="X442" s="206"/>
      <c r="Y442" s="153"/>
      <c r="Z442" s="239">
        <v>300000</v>
      </c>
      <c r="AA442" s="212">
        <v>0</v>
      </c>
      <c r="AB442" s="212">
        <v>0</v>
      </c>
      <c r="AC442" s="213"/>
    </row>
    <row r="443" spans="1:29" ht="18.75" x14ac:dyDescent="0.3">
      <c r="A443" s="510" t="s">
        <v>788</v>
      </c>
      <c r="B443" s="140" t="s">
        <v>16</v>
      </c>
      <c r="C443" s="140" t="s">
        <v>124</v>
      </c>
      <c r="D443" s="140" t="s">
        <v>122</v>
      </c>
      <c r="E443" s="234" t="s">
        <v>1058</v>
      </c>
      <c r="F443" s="140"/>
      <c r="G443" s="140"/>
      <c r="H443" s="140"/>
      <c r="I443" s="140"/>
      <c r="J443" s="140"/>
      <c r="K443" s="140"/>
      <c r="L443" s="140"/>
      <c r="M443" s="140"/>
      <c r="N443" s="140"/>
      <c r="O443" s="140"/>
      <c r="P443" s="140"/>
      <c r="Q443" s="140"/>
      <c r="R443" s="140"/>
      <c r="S443" s="140"/>
      <c r="T443" s="140" t="s">
        <v>427</v>
      </c>
      <c r="U443" s="161"/>
      <c r="V443" s="206"/>
      <c r="W443" s="206"/>
      <c r="X443" s="206"/>
      <c r="Y443" s="153"/>
      <c r="Z443" s="239">
        <v>200000</v>
      </c>
      <c r="AA443" s="212">
        <v>0</v>
      </c>
      <c r="AB443" s="212">
        <v>0</v>
      </c>
      <c r="AC443" s="213"/>
    </row>
    <row r="444" spans="1:29" ht="18.75" x14ac:dyDescent="0.3">
      <c r="A444" s="153" t="s">
        <v>792</v>
      </c>
      <c r="B444" s="140" t="s">
        <v>16</v>
      </c>
      <c r="C444" s="140" t="s">
        <v>124</v>
      </c>
      <c r="D444" s="140" t="s">
        <v>122</v>
      </c>
      <c r="E444" s="234" t="s">
        <v>1058</v>
      </c>
      <c r="F444" s="140"/>
      <c r="G444" s="140"/>
      <c r="H444" s="140"/>
      <c r="I444" s="140"/>
      <c r="J444" s="140"/>
      <c r="K444" s="140"/>
      <c r="L444" s="140"/>
      <c r="M444" s="140"/>
      <c r="N444" s="140"/>
      <c r="O444" s="140"/>
      <c r="P444" s="140"/>
      <c r="Q444" s="140"/>
      <c r="R444" s="140"/>
      <c r="S444" s="140"/>
      <c r="T444" s="140" t="s">
        <v>427</v>
      </c>
      <c r="U444" s="161"/>
      <c r="V444" s="206"/>
      <c r="W444" s="206"/>
      <c r="X444" s="206"/>
      <c r="Y444" s="153"/>
      <c r="Z444" s="239">
        <v>200000</v>
      </c>
      <c r="AA444" s="212">
        <v>0</v>
      </c>
      <c r="AB444" s="212">
        <v>0</v>
      </c>
      <c r="AC444" s="213"/>
    </row>
    <row r="445" spans="1:29" ht="27.75" customHeight="1" x14ac:dyDescent="0.3">
      <c r="A445" s="244" t="s">
        <v>151</v>
      </c>
      <c r="B445" s="140" t="s">
        <v>16</v>
      </c>
      <c r="C445" s="140" t="s">
        <v>124</v>
      </c>
      <c r="D445" s="140" t="s">
        <v>132</v>
      </c>
      <c r="E445" s="234"/>
      <c r="F445" s="140"/>
      <c r="G445" s="140"/>
      <c r="H445" s="140"/>
      <c r="I445" s="140"/>
      <c r="J445" s="140"/>
      <c r="K445" s="140"/>
      <c r="L445" s="140"/>
      <c r="M445" s="140"/>
      <c r="N445" s="140"/>
      <c r="O445" s="140"/>
      <c r="P445" s="140"/>
      <c r="Q445" s="140"/>
      <c r="R445" s="140"/>
      <c r="S445" s="140"/>
      <c r="T445" s="140"/>
      <c r="U445" s="161"/>
      <c r="V445" s="206"/>
      <c r="W445" s="206"/>
      <c r="X445" s="206"/>
      <c r="Y445" s="153"/>
      <c r="Z445" s="239">
        <f>Z446+Z456+Z461</f>
        <v>6473673.2699999996</v>
      </c>
      <c r="AA445" s="212">
        <v>0</v>
      </c>
      <c r="AB445" s="212">
        <v>0</v>
      </c>
      <c r="AC445" s="213"/>
    </row>
    <row r="446" spans="1:29" s="275" customFormat="1" ht="206.25" customHeight="1" x14ac:dyDescent="0.3">
      <c r="A446" s="153" t="s">
        <v>1302</v>
      </c>
      <c r="B446" s="140" t="s">
        <v>16</v>
      </c>
      <c r="C446" s="140" t="s">
        <v>124</v>
      </c>
      <c r="D446" s="140" t="s">
        <v>132</v>
      </c>
      <c r="E446" s="234" t="s">
        <v>567</v>
      </c>
      <c r="F446" s="140"/>
      <c r="G446" s="140"/>
      <c r="H446" s="140"/>
      <c r="I446" s="140"/>
      <c r="J446" s="140"/>
      <c r="K446" s="140"/>
      <c r="L446" s="140"/>
      <c r="M446" s="140"/>
      <c r="N446" s="140"/>
      <c r="O446" s="140"/>
      <c r="P446" s="140"/>
      <c r="Q446" s="140"/>
      <c r="R446" s="140"/>
      <c r="S446" s="140"/>
      <c r="T446" s="140"/>
      <c r="U446" s="161"/>
      <c r="V446" s="206"/>
      <c r="W446" s="206"/>
      <c r="X446" s="206"/>
      <c r="Y446" s="153"/>
      <c r="Z446" s="239">
        <f>Z447</f>
        <v>6378673.2699999996</v>
      </c>
      <c r="AA446" s="212">
        <v>0</v>
      </c>
      <c r="AB446" s="212">
        <v>0</v>
      </c>
      <c r="AC446" s="571"/>
    </row>
    <row r="447" spans="1:29" s="275" customFormat="1" ht="32.25" customHeight="1" x14ac:dyDescent="0.3">
      <c r="A447" s="153" t="s">
        <v>773</v>
      </c>
      <c r="B447" s="140" t="s">
        <v>16</v>
      </c>
      <c r="C447" s="140" t="s">
        <v>124</v>
      </c>
      <c r="D447" s="140" t="s">
        <v>132</v>
      </c>
      <c r="E447" s="234" t="s">
        <v>567</v>
      </c>
      <c r="F447" s="140"/>
      <c r="G447" s="140"/>
      <c r="H447" s="140"/>
      <c r="I447" s="140"/>
      <c r="J447" s="140"/>
      <c r="K447" s="140"/>
      <c r="L447" s="140"/>
      <c r="M447" s="140"/>
      <c r="N447" s="140"/>
      <c r="O447" s="140"/>
      <c r="P447" s="140"/>
      <c r="Q447" s="140"/>
      <c r="R447" s="140"/>
      <c r="S447" s="140"/>
      <c r="T447" s="140" t="s">
        <v>427</v>
      </c>
      <c r="U447" s="161"/>
      <c r="V447" s="206"/>
      <c r="W447" s="206"/>
      <c r="X447" s="206"/>
      <c r="Y447" s="153"/>
      <c r="Z447" s="239">
        <f>Z450+Z453+Z454+Z455+Z452+Z451+Z449</f>
        <v>6378673.2699999996</v>
      </c>
      <c r="AA447" s="212">
        <v>0</v>
      </c>
      <c r="AB447" s="212">
        <v>0</v>
      </c>
      <c r="AC447" s="571"/>
    </row>
    <row r="448" spans="1:29" ht="32.25" customHeight="1" x14ac:dyDescent="0.3">
      <c r="A448" s="153" t="s">
        <v>109</v>
      </c>
      <c r="B448" s="140"/>
      <c r="C448" s="140"/>
      <c r="D448" s="140"/>
      <c r="E448" s="234"/>
      <c r="F448" s="140"/>
      <c r="G448" s="140"/>
      <c r="H448" s="140"/>
      <c r="I448" s="140"/>
      <c r="J448" s="140"/>
      <c r="K448" s="140"/>
      <c r="L448" s="140"/>
      <c r="M448" s="140"/>
      <c r="N448" s="140"/>
      <c r="O448" s="140"/>
      <c r="P448" s="140"/>
      <c r="Q448" s="140"/>
      <c r="R448" s="140"/>
      <c r="S448" s="140"/>
      <c r="T448" s="140"/>
      <c r="U448" s="161"/>
      <c r="V448" s="206"/>
      <c r="W448" s="206"/>
      <c r="X448" s="206"/>
      <c r="Y448" s="153"/>
      <c r="Z448" s="239"/>
      <c r="AA448" s="212"/>
      <c r="AB448" s="212"/>
      <c r="AC448" s="213"/>
    </row>
    <row r="449" spans="1:29" ht="32.25" customHeight="1" x14ac:dyDescent="0.3">
      <c r="A449" s="153" t="s">
        <v>792</v>
      </c>
      <c r="B449" s="140" t="s">
        <v>16</v>
      </c>
      <c r="C449" s="140" t="s">
        <v>124</v>
      </c>
      <c r="D449" s="140" t="s">
        <v>132</v>
      </c>
      <c r="E449" s="234" t="s">
        <v>567</v>
      </c>
      <c r="F449" s="140"/>
      <c r="G449" s="140"/>
      <c r="H449" s="140"/>
      <c r="I449" s="140"/>
      <c r="J449" s="140"/>
      <c r="K449" s="140"/>
      <c r="L449" s="140"/>
      <c r="M449" s="140"/>
      <c r="N449" s="140"/>
      <c r="O449" s="140"/>
      <c r="P449" s="140"/>
      <c r="Q449" s="140"/>
      <c r="R449" s="140"/>
      <c r="S449" s="140"/>
      <c r="T449" s="140" t="s">
        <v>427</v>
      </c>
      <c r="U449" s="161"/>
      <c r="V449" s="206"/>
      <c r="W449" s="206"/>
      <c r="X449" s="206"/>
      <c r="Y449" s="153"/>
      <c r="Z449" s="239">
        <v>250000</v>
      </c>
      <c r="AA449" s="212">
        <v>0</v>
      </c>
      <c r="AB449" s="212">
        <v>0</v>
      </c>
      <c r="AC449" s="213"/>
    </row>
    <row r="450" spans="1:29" s="275" customFormat="1" ht="34.5" customHeight="1" x14ac:dyDescent="0.3">
      <c r="A450" s="228" t="s">
        <v>774</v>
      </c>
      <c r="B450" s="707" t="s">
        <v>16</v>
      </c>
      <c r="C450" s="707" t="s">
        <v>124</v>
      </c>
      <c r="D450" s="707" t="s">
        <v>132</v>
      </c>
      <c r="E450" s="706" t="s">
        <v>567</v>
      </c>
      <c r="F450" s="707"/>
      <c r="G450" s="707"/>
      <c r="H450" s="707"/>
      <c r="I450" s="707"/>
      <c r="J450" s="707"/>
      <c r="K450" s="707"/>
      <c r="L450" s="707"/>
      <c r="M450" s="707"/>
      <c r="N450" s="707"/>
      <c r="O450" s="707"/>
      <c r="P450" s="707"/>
      <c r="Q450" s="707"/>
      <c r="R450" s="707"/>
      <c r="S450" s="707"/>
      <c r="T450" s="707" t="s">
        <v>427</v>
      </c>
      <c r="U450" s="880"/>
      <c r="V450" s="881"/>
      <c r="W450" s="881"/>
      <c r="X450" s="881"/>
      <c r="Y450" s="228"/>
      <c r="Z450" s="882">
        <f>1013673.27+1500000+342000</f>
        <v>2855673.27</v>
      </c>
      <c r="AA450" s="212">
        <v>0</v>
      </c>
      <c r="AB450" s="212">
        <v>0</v>
      </c>
      <c r="AC450" s="571"/>
    </row>
    <row r="451" spans="1:29" s="275" customFormat="1" ht="30.75" hidden="1" customHeight="1" x14ac:dyDescent="0.3">
      <c r="A451" s="269" t="s">
        <v>787</v>
      </c>
      <c r="B451" s="140" t="s">
        <v>16</v>
      </c>
      <c r="C451" s="140" t="s">
        <v>124</v>
      </c>
      <c r="D451" s="140" t="s">
        <v>132</v>
      </c>
      <c r="E451" s="234" t="s">
        <v>567</v>
      </c>
      <c r="F451" s="140"/>
      <c r="G451" s="140"/>
      <c r="H451" s="140"/>
      <c r="I451" s="140"/>
      <c r="J451" s="140"/>
      <c r="K451" s="140"/>
      <c r="L451" s="140"/>
      <c r="M451" s="140"/>
      <c r="N451" s="140"/>
      <c r="O451" s="140"/>
      <c r="P451" s="140"/>
      <c r="Q451" s="140"/>
      <c r="R451" s="140"/>
      <c r="S451" s="140"/>
      <c r="T451" s="140" t="s">
        <v>427</v>
      </c>
      <c r="U451" s="161"/>
      <c r="V451" s="206"/>
      <c r="W451" s="206"/>
      <c r="X451" s="206"/>
      <c r="Y451" s="153"/>
      <c r="Z451" s="239">
        <v>0</v>
      </c>
      <c r="AA451" s="212">
        <v>0</v>
      </c>
      <c r="AB451" s="212">
        <v>0</v>
      </c>
      <c r="AC451" s="571"/>
    </row>
    <row r="452" spans="1:29" s="275" customFormat="1" ht="34.5" hidden="1" customHeight="1" x14ac:dyDescent="0.3">
      <c r="A452" s="158" t="s">
        <v>793</v>
      </c>
      <c r="B452" s="140" t="s">
        <v>16</v>
      </c>
      <c r="C452" s="140" t="s">
        <v>124</v>
      </c>
      <c r="D452" s="140" t="s">
        <v>132</v>
      </c>
      <c r="E452" s="234" t="s">
        <v>869</v>
      </c>
      <c r="F452" s="140"/>
      <c r="G452" s="140"/>
      <c r="H452" s="140"/>
      <c r="I452" s="140"/>
      <c r="J452" s="140"/>
      <c r="K452" s="140"/>
      <c r="L452" s="140"/>
      <c r="M452" s="140"/>
      <c r="N452" s="140"/>
      <c r="O452" s="140"/>
      <c r="P452" s="140"/>
      <c r="Q452" s="140"/>
      <c r="R452" s="140"/>
      <c r="S452" s="140"/>
      <c r="T452" s="140" t="s">
        <v>427</v>
      </c>
      <c r="U452" s="161"/>
      <c r="V452" s="206"/>
      <c r="W452" s="206"/>
      <c r="X452" s="206"/>
      <c r="Y452" s="153"/>
      <c r="Z452" s="239">
        <v>0</v>
      </c>
      <c r="AA452" s="212">
        <v>0</v>
      </c>
      <c r="AB452" s="212">
        <v>0</v>
      </c>
      <c r="AC452" s="571"/>
    </row>
    <row r="453" spans="1:29" ht="36" customHeight="1" x14ac:dyDescent="0.3">
      <c r="A453" s="677" t="s">
        <v>1498</v>
      </c>
      <c r="B453" s="140" t="s">
        <v>16</v>
      </c>
      <c r="C453" s="140" t="s">
        <v>124</v>
      </c>
      <c r="D453" s="140" t="s">
        <v>132</v>
      </c>
      <c r="E453" s="234" t="s">
        <v>869</v>
      </c>
      <c r="F453" s="140"/>
      <c r="G453" s="140"/>
      <c r="H453" s="140"/>
      <c r="I453" s="140"/>
      <c r="J453" s="140"/>
      <c r="K453" s="140"/>
      <c r="L453" s="140"/>
      <c r="M453" s="140"/>
      <c r="N453" s="140"/>
      <c r="O453" s="140"/>
      <c r="P453" s="140"/>
      <c r="Q453" s="140"/>
      <c r="R453" s="140"/>
      <c r="S453" s="140"/>
      <c r="T453" s="140" t="s">
        <v>427</v>
      </c>
      <c r="U453" s="161"/>
      <c r="V453" s="206"/>
      <c r="W453" s="206"/>
      <c r="X453" s="206"/>
      <c r="Y453" s="153"/>
      <c r="Z453" s="239">
        <f>1500000+200000</f>
        <v>1700000</v>
      </c>
      <c r="AA453" s="212">
        <v>0</v>
      </c>
      <c r="AB453" s="212">
        <v>0</v>
      </c>
      <c r="AC453" s="213"/>
    </row>
    <row r="454" spans="1:29" s="275" customFormat="1" ht="29.25" customHeight="1" x14ac:dyDescent="0.3">
      <c r="A454" s="228" t="s">
        <v>790</v>
      </c>
      <c r="B454" s="707" t="s">
        <v>16</v>
      </c>
      <c r="C454" s="707" t="s">
        <v>124</v>
      </c>
      <c r="D454" s="707" t="s">
        <v>132</v>
      </c>
      <c r="E454" s="706" t="s">
        <v>567</v>
      </c>
      <c r="F454" s="707"/>
      <c r="G454" s="707"/>
      <c r="H454" s="707"/>
      <c r="I454" s="707"/>
      <c r="J454" s="707"/>
      <c r="K454" s="707"/>
      <c r="L454" s="707"/>
      <c r="M454" s="707"/>
      <c r="N454" s="707"/>
      <c r="O454" s="707"/>
      <c r="P454" s="707"/>
      <c r="Q454" s="707"/>
      <c r="R454" s="707"/>
      <c r="S454" s="707"/>
      <c r="T454" s="707" t="s">
        <v>427</v>
      </c>
      <c r="U454" s="880"/>
      <c r="V454" s="881"/>
      <c r="W454" s="881"/>
      <c r="X454" s="881"/>
      <c r="Y454" s="228"/>
      <c r="Z454" s="882">
        <f>1455000+118000</f>
        <v>1573000</v>
      </c>
      <c r="AA454" s="212">
        <v>0</v>
      </c>
      <c r="AB454" s="212">
        <v>0</v>
      </c>
      <c r="AC454" s="571"/>
    </row>
    <row r="455" spans="1:29" ht="44.25" hidden="1" customHeight="1" x14ac:dyDescent="0.3">
      <c r="A455" s="269" t="s">
        <v>794</v>
      </c>
      <c r="B455" s="140" t="s">
        <v>16</v>
      </c>
      <c r="C455" s="140" t="s">
        <v>124</v>
      </c>
      <c r="D455" s="140" t="s">
        <v>132</v>
      </c>
      <c r="E455" s="234" t="s">
        <v>567</v>
      </c>
      <c r="F455" s="140"/>
      <c r="G455" s="140"/>
      <c r="H455" s="140"/>
      <c r="I455" s="140"/>
      <c r="J455" s="140"/>
      <c r="K455" s="140"/>
      <c r="L455" s="140"/>
      <c r="M455" s="140"/>
      <c r="N455" s="140"/>
      <c r="O455" s="140"/>
      <c r="P455" s="140"/>
      <c r="Q455" s="140"/>
      <c r="R455" s="140"/>
      <c r="S455" s="140"/>
      <c r="T455" s="140" t="s">
        <v>427</v>
      </c>
      <c r="U455" s="161"/>
      <c r="V455" s="206"/>
      <c r="W455" s="206"/>
      <c r="X455" s="206"/>
      <c r="Y455" s="153"/>
      <c r="Z455" s="239">
        <v>0</v>
      </c>
      <c r="AA455" s="212">
        <v>0</v>
      </c>
      <c r="AB455" s="212">
        <v>0</v>
      </c>
      <c r="AC455" s="213"/>
    </row>
    <row r="456" spans="1:29" ht="209.25" customHeight="1" x14ac:dyDescent="0.3">
      <c r="A456" s="153" t="s">
        <v>1441</v>
      </c>
      <c r="B456" s="140" t="s">
        <v>16</v>
      </c>
      <c r="C456" s="140" t="s">
        <v>124</v>
      </c>
      <c r="D456" s="140" t="s">
        <v>132</v>
      </c>
      <c r="E456" s="234" t="s">
        <v>1053</v>
      </c>
      <c r="F456" s="140"/>
      <c r="G456" s="140"/>
      <c r="H456" s="140"/>
      <c r="I456" s="140"/>
      <c r="J456" s="140"/>
      <c r="K456" s="140"/>
      <c r="L456" s="140"/>
      <c r="M456" s="140"/>
      <c r="N456" s="140"/>
      <c r="O456" s="140"/>
      <c r="P456" s="140"/>
      <c r="Q456" s="140"/>
      <c r="R456" s="140"/>
      <c r="S456" s="140"/>
      <c r="T456" s="140"/>
      <c r="U456" s="161"/>
      <c r="V456" s="206"/>
      <c r="W456" s="206"/>
      <c r="X456" s="206"/>
      <c r="Y456" s="153"/>
      <c r="Z456" s="239">
        <f>Z457</f>
        <v>95000</v>
      </c>
      <c r="AA456" s="212">
        <v>0</v>
      </c>
      <c r="AB456" s="212">
        <v>0</v>
      </c>
      <c r="AC456" s="213"/>
    </row>
    <row r="457" spans="1:29" ht="37.5" customHeight="1" x14ac:dyDescent="0.3">
      <c r="A457" s="153" t="s">
        <v>773</v>
      </c>
      <c r="B457" s="140" t="s">
        <v>16</v>
      </c>
      <c r="C457" s="140" t="s">
        <v>124</v>
      </c>
      <c r="D457" s="140" t="s">
        <v>132</v>
      </c>
      <c r="E457" s="234" t="s">
        <v>1450</v>
      </c>
      <c r="F457" s="140"/>
      <c r="G457" s="140"/>
      <c r="H457" s="140"/>
      <c r="I457" s="140"/>
      <c r="J457" s="140"/>
      <c r="K457" s="140"/>
      <c r="L457" s="140"/>
      <c r="M457" s="140"/>
      <c r="N457" s="140"/>
      <c r="O457" s="140"/>
      <c r="P457" s="140"/>
      <c r="Q457" s="140"/>
      <c r="R457" s="140"/>
      <c r="S457" s="140"/>
      <c r="T457" s="140" t="s">
        <v>427</v>
      </c>
      <c r="U457" s="161"/>
      <c r="V457" s="206"/>
      <c r="W457" s="206"/>
      <c r="X457" s="206"/>
      <c r="Y457" s="153"/>
      <c r="Z457" s="239">
        <f>Z459+Z460</f>
        <v>95000</v>
      </c>
      <c r="AA457" s="212">
        <v>0</v>
      </c>
      <c r="AB457" s="212">
        <v>0</v>
      </c>
      <c r="AC457" s="213"/>
    </row>
    <row r="458" spans="1:29" ht="37.5" customHeight="1" x14ac:dyDescent="0.3">
      <c r="A458" s="153" t="s">
        <v>109</v>
      </c>
      <c r="B458" s="140"/>
      <c r="C458" s="140"/>
      <c r="D458" s="140"/>
      <c r="E458" s="234"/>
      <c r="F458" s="140"/>
      <c r="G458" s="140"/>
      <c r="H458" s="140"/>
      <c r="I458" s="140"/>
      <c r="J458" s="140"/>
      <c r="K458" s="140"/>
      <c r="L458" s="140"/>
      <c r="M458" s="140"/>
      <c r="N458" s="140"/>
      <c r="O458" s="140"/>
      <c r="P458" s="140"/>
      <c r="Q458" s="140"/>
      <c r="R458" s="140"/>
      <c r="S458" s="140"/>
      <c r="T458" s="140"/>
      <c r="U458" s="161"/>
      <c r="V458" s="206"/>
      <c r="W458" s="206"/>
      <c r="X458" s="206"/>
      <c r="Y458" s="153"/>
      <c r="Z458" s="239"/>
      <c r="AA458" s="212"/>
      <c r="AB458" s="212"/>
      <c r="AC458" s="213"/>
    </row>
    <row r="459" spans="1:29" ht="30" customHeight="1" x14ac:dyDescent="0.3">
      <c r="A459" s="153" t="s">
        <v>791</v>
      </c>
      <c r="B459" s="140" t="s">
        <v>16</v>
      </c>
      <c r="C459" s="140" t="s">
        <v>124</v>
      </c>
      <c r="D459" s="140" t="s">
        <v>132</v>
      </c>
      <c r="E459" s="234" t="s">
        <v>1450</v>
      </c>
      <c r="F459" s="140"/>
      <c r="G459" s="140"/>
      <c r="H459" s="140"/>
      <c r="I459" s="140"/>
      <c r="J459" s="140"/>
      <c r="K459" s="140"/>
      <c r="L459" s="140"/>
      <c r="M459" s="140"/>
      <c r="N459" s="140"/>
      <c r="O459" s="140"/>
      <c r="P459" s="140"/>
      <c r="Q459" s="140"/>
      <c r="R459" s="140"/>
      <c r="S459" s="140"/>
      <c r="T459" s="140" t="s">
        <v>427</v>
      </c>
      <c r="U459" s="161"/>
      <c r="V459" s="206"/>
      <c r="W459" s="206"/>
      <c r="X459" s="206"/>
      <c r="Y459" s="153"/>
      <c r="Z459" s="239">
        <v>95000</v>
      </c>
      <c r="AA459" s="212">
        <v>0</v>
      </c>
      <c r="AB459" s="212">
        <v>0</v>
      </c>
      <c r="AC459" s="213"/>
    </row>
    <row r="460" spans="1:29" ht="1.5" hidden="1" customHeight="1" x14ac:dyDescent="0.3">
      <c r="A460" s="677" t="s">
        <v>1498</v>
      </c>
      <c r="B460" s="140" t="s">
        <v>16</v>
      </c>
      <c r="C460" s="140" t="s">
        <v>124</v>
      </c>
      <c r="D460" s="140" t="s">
        <v>132</v>
      </c>
      <c r="E460" s="234" t="s">
        <v>1499</v>
      </c>
      <c r="F460" s="140"/>
      <c r="G460" s="140"/>
      <c r="H460" s="140"/>
      <c r="I460" s="140"/>
      <c r="J460" s="140"/>
      <c r="K460" s="140"/>
      <c r="L460" s="140"/>
      <c r="M460" s="140"/>
      <c r="N460" s="140"/>
      <c r="O460" s="140"/>
      <c r="P460" s="140"/>
      <c r="Q460" s="140"/>
      <c r="R460" s="140"/>
      <c r="S460" s="140"/>
      <c r="T460" s="140" t="s">
        <v>427</v>
      </c>
      <c r="U460" s="161"/>
      <c r="V460" s="206"/>
      <c r="W460" s="206"/>
      <c r="X460" s="206"/>
      <c r="Y460" s="153"/>
      <c r="Z460" s="239">
        <v>0</v>
      </c>
      <c r="AA460" s="212">
        <v>0</v>
      </c>
      <c r="AB460" s="212">
        <v>0</v>
      </c>
      <c r="AC460" s="213"/>
    </row>
    <row r="461" spans="1:29" ht="163.5" hidden="1" customHeight="1" x14ac:dyDescent="0.3">
      <c r="A461" s="19" t="s">
        <v>1416</v>
      </c>
      <c r="B461" s="853" t="s">
        <v>16</v>
      </c>
      <c r="C461" s="140" t="s">
        <v>124</v>
      </c>
      <c r="D461" s="140" t="s">
        <v>132</v>
      </c>
      <c r="E461" s="234" t="s">
        <v>1058</v>
      </c>
      <c r="F461" s="140"/>
      <c r="G461" s="140"/>
      <c r="H461" s="140"/>
      <c r="I461" s="140"/>
      <c r="J461" s="140"/>
      <c r="K461" s="140"/>
      <c r="L461" s="140"/>
      <c r="M461" s="140"/>
      <c r="N461" s="140"/>
      <c r="O461" s="140"/>
      <c r="P461" s="140"/>
      <c r="Q461" s="140"/>
      <c r="R461" s="140"/>
      <c r="S461" s="140"/>
      <c r="T461" s="140"/>
      <c r="U461" s="161"/>
      <c r="V461" s="206"/>
      <c r="W461" s="206"/>
      <c r="X461" s="206"/>
      <c r="Y461" s="153"/>
      <c r="Z461" s="239">
        <f>Z462</f>
        <v>0</v>
      </c>
      <c r="AA461" s="212">
        <v>0</v>
      </c>
      <c r="AB461" s="212">
        <v>0</v>
      </c>
      <c r="AC461" s="213"/>
    </row>
    <row r="462" spans="1:29" ht="38.25" hidden="1" customHeight="1" x14ac:dyDescent="0.3">
      <c r="A462" s="158" t="s">
        <v>773</v>
      </c>
      <c r="B462" s="140" t="s">
        <v>16</v>
      </c>
      <c r="C462" s="140" t="s">
        <v>124</v>
      </c>
      <c r="D462" s="140" t="s">
        <v>132</v>
      </c>
      <c r="E462" s="234" t="s">
        <v>1058</v>
      </c>
      <c r="F462" s="140"/>
      <c r="G462" s="140"/>
      <c r="H462" s="140"/>
      <c r="I462" s="140"/>
      <c r="J462" s="140"/>
      <c r="K462" s="140"/>
      <c r="L462" s="140"/>
      <c r="M462" s="140"/>
      <c r="N462" s="140"/>
      <c r="O462" s="140"/>
      <c r="P462" s="140"/>
      <c r="Q462" s="140"/>
      <c r="R462" s="140"/>
      <c r="S462" s="140"/>
      <c r="T462" s="140" t="s">
        <v>427</v>
      </c>
      <c r="U462" s="161"/>
      <c r="V462" s="206"/>
      <c r="W462" s="206"/>
      <c r="X462" s="206"/>
      <c r="Y462" s="153"/>
      <c r="Z462" s="239">
        <f>Z464</f>
        <v>0</v>
      </c>
      <c r="AA462" s="212">
        <v>0</v>
      </c>
      <c r="AB462" s="212">
        <v>0</v>
      </c>
      <c r="AC462" s="213"/>
    </row>
    <row r="463" spans="1:29" ht="38.25" hidden="1" customHeight="1" x14ac:dyDescent="0.3">
      <c r="A463" s="153" t="s">
        <v>109</v>
      </c>
      <c r="B463" s="140"/>
      <c r="C463" s="140"/>
      <c r="D463" s="140"/>
      <c r="E463" s="234"/>
      <c r="F463" s="140"/>
      <c r="G463" s="140"/>
      <c r="H463" s="140"/>
      <c r="I463" s="140"/>
      <c r="J463" s="140"/>
      <c r="K463" s="140"/>
      <c r="L463" s="140"/>
      <c r="M463" s="140"/>
      <c r="N463" s="140"/>
      <c r="O463" s="140"/>
      <c r="P463" s="140"/>
      <c r="Q463" s="140"/>
      <c r="R463" s="140"/>
      <c r="S463" s="140"/>
      <c r="T463" s="140"/>
      <c r="U463" s="161"/>
      <c r="V463" s="206"/>
      <c r="W463" s="206"/>
      <c r="X463" s="206"/>
      <c r="Y463" s="153"/>
      <c r="Z463" s="239"/>
      <c r="AA463" s="212"/>
      <c r="AB463" s="212"/>
      <c r="AC463" s="213"/>
    </row>
    <row r="464" spans="1:29" ht="30" hidden="1" customHeight="1" x14ac:dyDescent="0.3">
      <c r="A464" s="153" t="s">
        <v>793</v>
      </c>
      <c r="B464" s="140" t="s">
        <v>16</v>
      </c>
      <c r="C464" s="140" t="s">
        <v>124</v>
      </c>
      <c r="D464" s="140" t="s">
        <v>132</v>
      </c>
      <c r="E464" s="234" t="s">
        <v>1058</v>
      </c>
      <c r="F464" s="140"/>
      <c r="G464" s="140"/>
      <c r="H464" s="140"/>
      <c r="I464" s="140"/>
      <c r="J464" s="140"/>
      <c r="K464" s="140"/>
      <c r="L464" s="140"/>
      <c r="M464" s="140"/>
      <c r="N464" s="140"/>
      <c r="O464" s="140"/>
      <c r="P464" s="140"/>
      <c r="Q464" s="140"/>
      <c r="R464" s="140"/>
      <c r="S464" s="140"/>
      <c r="T464" s="140" t="s">
        <v>427</v>
      </c>
      <c r="U464" s="161"/>
      <c r="V464" s="206"/>
      <c r="W464" s="206"/>
      <c r="X464" s="206"/>
      <c r="Y464" s="153"/>
      <c r="Z464" s="239">
        <v>0</v>
      </c>
      <c r="AA464" s="212">
        <v>0</v>
      </c>
      <c r="AB464" s="212">
        <v>0</v>
      </c>
      <c r="AC464" s="213"/>
    </row>
    <row r="465" spans="1:30" ht="24.75" customHeight="1" x14ac:dyDescent="0.3">
      <c r="A465" s="256" t="s">
        <v>152</v>
      </c>
      <c r="B465" s="140" t="s">
        <v>16</v>
      </c>
      <c r="C465" s="140" t="s">
        <v>124</v>
      </c>
      <c r="D465" s="140" t="s">
        <v>123</v>
      </c>
      <c r="E465" s="234"/>
      <c r="F465" s="140"/>
      <c r="G465" s="140"/>
      <c r="H465" s="140"/>
      <c r="I465" s="140"/>
      <c r="J465" s="140"/>
      <c r="K465" s="140"/>
      <c r="L465" s="140"/>
      <c r="M465" s="140"/>
      <c r="N465" s="140"/>
      <c r="O465" s="140"/>
      <c r="P465" s="140"/>
      <c r="Q465" s="140"/>
      <c r="R465" s="140"/>
      <c r="S465" s="140"/>
      <c r="T465" s="140"/>
      <c r="U465" s="161"/>
      <c r="V465" s="206"/>
      <c r="W465" s="206"/>
      <c r="X465" s="206"/>
      <c r="Y465" s="153"/>
      <c r="Z465" s="239">
        <f>Z509+Z495+Z478+Z466+Z499+Z505</f>
        <v>7130351.7400000002</v>
      </c>
      <c r="AA465" s="212">
        <v>0</v>
      </c>
      <c r="AB465" s="212">
        <v>0</v>
      </c>
      <c r="AC465" s="213"/>
    </row>
    <row r="466" spans="1:30" ht="210.75" customHeight="1" x14ac:dyDescent="0.3">
      <c r="A466" s="152" t="s">
        <v>1517</v>
      </c>
      <c r="B466" s="140" t="s">
        <v>16</v>
      </c>
      <c r="C466" s="140" t="s">
        <v>124</v>
      </c>
      <c r="D466" s="140" t="s">
        <v>123</v>
      </c>
      <c r="E466" s="234" t="s">
        <v>568</v>
      </c>
      <c r="F466" s="140"/>
      <c r="G466" s="140"/>
      <c r="H466" s="140"/>
      <c r="I466" s="140"/>
      <c r="J466" s="140"/>
      <c r="K466" s="140"/>
      <c r="L466" s="140"/>
      <c r="M466" s="140"/>
      <c r="N466" s="140"/>
      <c r="O466" s="140"/>
      <c r="P466" s="140"/>
      <c r="Q466" s="140"/>
      <c r="R466" s="140"/>
      <c r="S466" s="140"/>
      <c r="T466" s="140"/>
      <c r="U466" s="161"/>
      <c r="V466" s="206"/>
      <c r="W466" s="206"/>
      <c r="X466" s="206"/>
      <c r="Y466" s="153"/>
      <c r="Z466" s="239">
        <f>Z467</f>
        <v>400000</v>
      </c>
      <c r="AA466" s="212">
        <v>0</v>
      </c>
      <c r="AB466" s="212">
        <v>0</v>
      </c>
      <c r="AC466" s="213"/>
    </row>
    <row r="467" spans="1:30" ht="31.5" customHeight="1" x14ac:dyDescent="0.3">
      <c r="A467" s="153" t="s">
        <v>773</v>
      </c>
      <c r="B467" s="140" t="s">
        <v>16</v>
      </c>
      <c r="C467" s="140" t="s">
        <v>124</v>
      </c>
      <c r="D467" s="140" t="s">
        <v>123</v>
      </c>
      <c r="E467" s="234" t="s">
        <v>568</v>
      </c>
      <c r="F467" s="140"/>
      <c r="G467" s="140"/>
      <c r="H467" s="140"/>
      <c r="I467" s="140"/>
      <c r="J467" s="140"/>
      <c r="K467" s="140"/>
      <c r="L467" s="140"/>
      <c r="M467" s="140"/>
      <c r="N467" s="140"/>
      <c r="O467" s="140"/>
      <c r="P467" s="140"/>
      <c r="Q467" s="140"/>
      <c r="R467" s="140"/>
      <c r="S467" s="140"/>
      <c r="T467" s="140" t="s">
        <v>427</v>
      </c>
      <c r="U467" s="161"/>
      <c r="V467" s="206"/>
      <c r="W467" s="206"/>
      <c r="X467" s="206"/>
      <c r="Y467" s="153"/>
      <c r="Z467" s="239">
        <f>Z469+Z470+Z471+Z472+Z473+Z474+Z475+Z476+Z477</f>
        <v>400000</v>
      </c>
      <c r="AA467" s="212">
        <v>0</v>
      </c>
      <c r="AB467" s="212">
        <v>0</v>
      </c>
      <c r="AC467" s="213"/>
      <c r="AD467" s="127"/>
    </row>
    <row r="468" spans="1:30" ht="37.5" customHeight="1" x14ac:dyDescent="0.3">
      <c r="A468" s="153" t="s">
        <v>109</v>
      </c>
      <c r="B468" s="140"/>
      <c r="C468" s="140"/>
      <c r="D468" s="140"/>
      <c r="E468" s="234"/>
      <c r="F468" s="140"/>
      <c r="G468" s="140"/>
      <c r="H468" s="140"/>
      <c r="I468" s="140"/>
      <c r="J468" s="140"/>
      <c r="K468" s="140"/>
      <c r="L468" s="140"/>
      <c r="M468" s="140"/>
      <c r="N468" s="140"/>
      <c r="O468" s="140"/>
      <c r="P468" s="140"/>
      <c r="Q468" s="140"/>
      <c r="R468" s="140"/>
      <c r="S468" s="140"/>
      <c r="T468" s="140"/>
      <c r="U468" s="161"/>
      <c r="V468" s="206"/>
      <c r="W468" s="206"/>
      <c r="X468" s="206"/>
      <c r="Y468" s="153"/>
      <c r="Z468" s="239"/>
      <c r="AA468" s="212"/>
      <c r="AB468" s="212"/>
      <c r="AC468" s="213"/>
      <c r="AD468" s="127"/>
    </row>
    <row r="469" spans="1:30" ht="24" customHeight="1" x14ac:dyDescent="0.3">
      <c r="A469" s="269" t="s">
        <v>774</v>
      </c>
      <c r="B469" s="140" t="s">
        <v>16</v>
      </c>
      <c r="C469" s="140" t="s">
        <v>124</v>
      </c>
      <c r="D469" s="140" t="s">
        <v>123</v>
      </c>
      <c r="E469" s="234" t="s">
        <v>568</v>
      </c>
      <c r="F469" s="140"/>
      <c r="G469" s="140"/>
      <c r="H469" s="140"/>
      <c r="I469" s="140"/>
      <c r="J469" s="140"/>
      <c r="K469" s="140"/>
      <c r="L469" s="140"/>
      <c r="M469" s="140"/>
      <c r="N469" s="140"/>
      <c r="O469" s="140"/>
      <c r="P469" s="140"/>
      <c r="Q469" s="140"/>
      <c r="R469" s="140"/>
      <c r="S469" s="140"/>
      <c r="T469" s="140" t="s">
        <v>427</v>
      </c>
      <c r="U469" s="161"/>
      <c r="V469" s="206"/>
      <c r="W469" s="206"/>
      <c r="X469" s="206"/>
      <c r="Y469" s="153"/>
      <c r="Z469" s="239">
        <v>80000</v>
      </c>
      <c r="AA469" s="212">
        <v>0</v>
      </c>
      <c r="AB469" s="212">
        <v>0</v>
      </c>
      <c r="AC469" s="213"/>
    </row>
    <row r="470" spans="1:30" ht="31.5" customHeight="1" x14ac:dyDescent="0.3">
      <c r="A470" s="269" t="s">
        <v>787</v>
      </c>
      <c r="B470" s="140" t="s">
        <v>16</v>
      </c>
      <c r="C470" s="140" t="s">
        <v>124</v>
      </c>
      <c r="D470" s="140" t="s">
        <v>123</v>
      </c>
      <c r="E470" s="234" t="s">
        <v>568</v>
      </c>
      <c r="F470" s="140"/>
      <c r="G470" s="140"/>
      <c r="H470" s="140"/>
      <c r="I470" s="140"/>
      <c r="J470" s="140"/>
      <c r="K470" s="140"/>
      <c r="L470" s="140"/>
      <c r="M470" s="140"/>
      <c r="N470" s="140"/>
      <c r="O470" s="140"/>
      <c r="P470" s="140"/>
      <c r="Q470" s="140"/>
      <c r="R470" s="140"/>
      <c r="S470" s="140"/>
      <c r="T470" s="140" t="s">
        <v>427</v>
      </c>
      <c r="U470" s="161"/>
      <c r="V470" s="206"/>
      <c r="W470" s="206"/>
      <c r="X470" s="206"/>
      <c r="Y470" s="153"/>
      <c r="Z470" s="239">
        <v>80000</v>
      </c>
      <c r="AA470" s="212">
        <v>0</v>
      </c>
      <c r="AB470" s="212">
        <v>0</v>
      </c>
      <c r="AC470" s="213"/>
    </row>
    <row r="471" spans="1:30" ht="30" customHeight="1" x14ac:dyDescent="0.3">
      <c r="A471" s="510" t="s">
        <v>788</v>
      </c>
      <c r="B471" s="872" t="s">
        <v>16</v>
      </c>
      <c r="C471" s="872" t="s">
        <v>124</v>
      </c>
      <c r="D471" s="872" t="s">
        <v>123</v>
      </c>
      <c r="E471" s="873" t="s">
        <v>568</v>
      </c>
      <c r="F471" s="872"/>
      <c r="G471" s="872"/>
      <c r="H471" s="872"/>
      <c r="I471" s="872"/>
      <c r="J471" s="872"/>
      <c r="K471" s="872"/>
      <c r="L471" s="872"/>
      <c r="M471" s="872"/>
      <c r="N471" s="872"/>
      <c r="O471" s="872"/>
      <c r="P471" s="872"/>
      <c r="Q471" s="872"/>
      <c r="R471" s="872"/>
      <c r="S471" s="872"/>
      <c r="T471" s="872" t="s">
        <v>427</v>
      </c>
      <c r="U471" s="874"/>
      <c r="V471" s="875"/>
      <c r="W471" s="875"/>
      <c r="X471" s="875"/>
      <c r="Y471" s="876"/>
      <c r="Z471" s="877">
        <v>50000</v>
      </c>
      <c r="AA471" s="212">
        <v>0</v>
      </c>
      <c r="AB471" s="212">
        <v>0</v>
      </c>
      <c r="AC471" s="213"/>
    </row>
    <row r="472" spans="1:30" ht="29.25" customHeight="1" x14ac:dyDescent="0.3">
      <c r="A472" s="510" t="s">
        <v>789</v>
      </c>
      <c r="B472" s="872" t="s">
        <v>16</v>
      </c>
      <c r="C472" s="872" t="s">
        <v>124</v>
      </c>
      <c r="D472" s="872" t="s">
        <v>123</v>
      </c>
      <c r="E472" s="873" t="s">
        <v>568</v>
      </c>
      <c r="F472" s="872"/>
      <c r="G472" s="872"/>
      <c r="H472" s="872"/>
      <c r="I472" s="872"/>
      <c r="J472" s="872"/>
      <c r="K472" s="872"/>
      <c r="L472" s="872"/>
      <c r="M472" s="872"/>
      <c r="N472" s="872"/>
      <c r="O472" s="872"/>
      <c r="P472" s="872"/>
      <c r="Q472" s="872"/>
      <c r="R472" s="872"/>
      <c r="S472" s="872"/>
      <c r="T472" s="872" t="s">
        <v>427</v>
      </c>
      <c r="U472" s="874"/>
      <c r="V472" s="875"/>
      <c r="W472" s="875"/>
      <c r="X472" s="875"/>
      <c r="Y472" s="876"/>
      <c r="Z472" s="877">
        <v>30000</v>
      </c>
      <c r="AA472" s="212">
        <v>0</v>
      </c>
      <c r="AB472" s="212">
        <v>0</v>
      </c>
      <c r="AC472" s="213"/>
    </row>
    <row r="473" spans="1:30" ht="29.25" customHeight="1" x14ac:dyDescent="0.3">
      <c r="A473" s="510" t="s">
        <v>790</v>
      </c>
      <c r="B473" s="872" t="s">
        <v>16</v>
      </c>
      <c r="C473" s="872" t="s">
        <v>124</v>
      </c>
      <c r="D473" s="872" t="s">
        <v>123</v>
      </c>
      <c r="E473" s="873" t="s">
        <v>568</v>
      </c>
      <c r="F473" s="872"/>
      <c r="G473" s="872"/>
      <c r="H473" s="872"/>
      <c r="I473" s="872"/>
      <c r="J473" s="872"/>
      <c r="K473" s="872"/>
      <c r="L473" s="872"/>
      <c r="M473" s="872"/>
      <c r="N473" s="872"/>
      <c r="O473" s="872"/>
      <c r="P473" s="872"/>
      <c r="Q473" s="872"/>
      <c r="R473" s="872"/>
      <c r="S473" s="872"/>
      <c r="T473" s="872" t="s">
        <v>427</v>
      </c>
      <c r="U473" s="874"/>
      <c r="V473" s="875"/>
      <c r="W473" s="875"/>
      <c r="X473" s="875"/>
      <c r="Y473" s="876"/>
      <c r="Z473" s="877">
        <v>40000</v>
      </c>
      <c r="AA473" s="212">
        <v>0</v>
      </c>
      <c r="AB473" s="212">
        <v>0</v>
      </c>
      <c r="AC473" s="213"/>
    </row>
    <row r="474" spans="1:30" ht="30" customHeight="1" x14ac:dyDescent="0.3">
      <c r="A474" s="510" t="s">
        <v>791</v>
      </c>
      <c r="B474" s="872" t="s">
        <v>16</v>
      </c>
      <c r="C474" s="872" t="s">
        <v>124</v>
      </c>
      <c r="D474" s="872" t="s">
        <v>123</v>
      </c>
      <c r="E474" s="873" t="s">
        <v>568</v>
      </c>
      <c r="F474" s="872"/>
      <c r="G474" s="872"/>
      <c r="H474" s="872"/>
      <c r="I474" s="872"/>
      <c r="J474" s="872"/>
      <c r="K474" s="872"/>
      <c r="L474" s="872"/>
      <c r="M474" s="872"/>
      <c r="N474" s="872"/>
      <c r="O474" s="872"/>
      <c r="P474" s="872"/>
      <c r="Q474" s="872"/>
      <c r="R474" s="872"/>
      <c r="S474" s="872"/>
      <c r="T474" s="872" t="s">
        <v>427</v>
      </c>
      <c r="U474" s="874"/>
      <c r="V474" s="875"/>
      <c r="W474" s="875"/>
      <c r="X474" s="875"/>
      <c r="Y474" s="876"/>
      <c r="Z474" s="877">
        <v>40000</v>
      </c>
      <c r="AA474" s="212">
        <v>0</v>
      </c>
      <c r="AB474" s="212">
        <v>0</v>
      </c>
      <c r="AC474" s="213"/>
    </row>
    <row r="475" spans="1:30" ht="31.5" customHeight="1" x14ac:dyDescent="0.3">
      <c r="A475" s="510" t="s">
        <v>792</v>
      </c>
      <c r="B475" s="872" t="s">
        <v>16</v>
      </c>
      <c r="C475" s="872" t="s">
        <v>124</v>
      </c>
      <c r="D475" s="872" t="s">
        <v>123</v>
      </c>
      <c r="E475" s="873" t="s">
        <v>568</v>
      </c>
      <c r="F475" s="872"/>
      <c r="G475" s="872"/>
      <c r="H475" s="872"/>
      <c r="I475" s="872"/>
      <c r="J475" s="872"/>
      <c r="K475" s="872"/>
      <c r="L475" s="872"/>
      <c r="M475" s="872"/>
      <c r="N475" s="872"/>
      <c r="O475" s="872"/>
      <c r="P475" s="872"/>
      <c r="Q475" s="872"/>
      <c r="R475" s="872"/>
      <c r="S475" s="872"/>
      <c r="T475" s="872" t="s">
        <v>427</v>
      </c>
      <c r="U475" s="874"/>
      <c r="V475" s="875"/>
      <c r="W475" s="875"/>
      <c r="X475" s="875"/>
      <c r="Y475" s="876"/>
      <c r="Z475" s="877">
        <v>40000</v>
      </c>
      <c r="AA475" s="212">
        <v>0</v>
      </c>
      <c r="AB475" s="212">
        <v>0</v>
      </c>
      <c r="AC475" s="213"/>
    </row>
    <row r="476" spans="1:30" ht="29.25" customHeight="1" x14ac:dyDescent="0.3">
      <c r="A476" s="510" t="s">
        <v>793</v>
      </c>
      <c r="B476" s="872" t="s">
        <v>16</v>
      </c>
      <c r="C476" s="872" t="s">
        <v>124</v>
      </c>
      <c r="D476" s="872" t="s">
        <v>123</v>
      </c>
      <c r="E476" s="873" t="s">
        <v>568</v>
      </c>
      <c r="F476" s="872"/>
      <c r="G476" s="872"/>
      <c r="H476" s="872"/>
      <c r="I476" s="872"/>
      <c r="J476" s="872"/>
      <c r="K476" s="872"/>
      <c r="L476" s="872"/>
      <c r="M476" s="872"/>
      <c r="N476" s="872"/>
      <c r="O476" s="872"/>
      <c r="P476" s="872"/>
      <c r="Q476" s="872"/>
      <c r="R476" s="872"/>
      <c r="S476" s="872"/>
      <c r="T476" s="872" t="s">
        <v>427</v>
      </c>
      <c r="U476" s="874"/>
      <c r="V476" s="875"/>
      <c r="W476" s="875"/>
      <c r="X476" s="875"/>
      <c r="Y476" s="876"/>
      <c r="Z476" s="877">
        <f>40000</f>
        <v>40000</v>
      </c>
      <c r="AA476" s="212">
        <v>0</v>
      </c>
      <c r="AB476" s="212">
        <v>0</v>
      </c>
      <c r="AC476" s="213"/>
    </row>
    <row r="477" spans="1:30" ht="27" hidden="1" customHeight="1" x14ac:dyDescent="0.3">
      <c r="A477" s="269" t="s">
        <v>794</v>
      </c>
      <c r="B477" s="140" t="s">
        <v>16</v>
      </c>
      <c r="C477" s="140" t="s">
        <v>124</v>
      </c>
      <c r="D477" s="140" t="s">
        <v>123</v>
      </c>
      <c r="E477" s="234" t="s">
        <v>568</v>
      </c>
      <c r="F477" s="140"/>
      <c r="G477" s="140"/>
      <c r="H477" s="140"/>
      <c r="I477" s="140"/>
      <c r="J477" s="140"/>
      <c r="K477" s="140"/>
      <c r="L477" s="140"/>
      <c r="M477" s="140"/>
      <c r="N477" s="140"/>
      <c r="O477" s="140"/>
      <c r="P477" s="140"/>
      <c r="Q477" s="140"/>
      <c r="R477" s="140"/>
      <c r="S477" s="140"/>
      <c r="T477" s="140" t="s">
        <v>427</v>
      </c>
      <c r="U477" s="161"/>
      <c r="V477" s="206"/>
      <c r="W477" s="206"/>
      <c r="X477" s="206"/>
      <c r="Y477" s="153"/>
      <c r="Z477" s="239">
        <f>279864-279864</f>
        <v>0</v>
      </c>
      <c r="AA477" s="212">
        <v>0</v>
      </c>
      <c r="AB477" s="212">
        <v>0</v>
      </c>
      <c r="AC477" s="213"/>
    </row>
    <row r="478" spans="1:30" ht="95.25" customHeight="1" x14ac:dyDescent="0.3">
      <c r="A478" s="153" t="s">
        <v>1262</v>
      </c>
      <c r="B478" s="140" t="s">
        <v>16</v>
      </c>
      <c r="C478" s="140" t="s">
        <v>124</v>
      </c>
      <c r="D478" s="140" t="s">
        <v>123</v>
      </c>
      <c r="E478" s="234"/>
      <c r="F478" s="140"/>
      <c r="G478" s="140"/>
      <c r="H478" s="140"/>
      <c r="I478" s="140"/>
      <c r="J478" s="140"/>
      <c r="K478" s="140"/>
      <c r="L478" s="140"/>
      <c r="M478" s="140"/>
      <c r="N478" s="140"/>
      <c r="O478" s="140"/>
      <c r="P478" s="140"/>
      <c r="Q478" s="140"/>
      <c r="R478" s="140"/>
      <c r="S478" s="140"/>
      <c r="T478" s="140"/>
      <c r="U478" s="161"/>
      <c r="V478" s="206"/>
      <c r="W478" s="206"/>
      <c r="X478" s="206"/>
      <c r="Y478" s="153"/>
      <c r="Z478" s="239">
        <f>Z481+Z482+Z483+Z484+Z485+Z486+Z487+Z488+Z489</f>
        <v>1000000</v>
      </c>
      <c r="AA478" s="212">
        <v>0</v>
      </c>
      <c r="AB478" s="212">
        <v>0</v>
      </c>
      <c r="AC478" s="213"/>
    </row>
    <row r="479" spans="1:30" ht="33" customHeight="1" x14ac:dyDescent="0.3">
      <c r="A479" s="153" t="s">
        <v>773</v>
      </c>
      <c r="B479" s="140" t="s">
        <v>16</v>
      </c>
      <c r="C479" s="140" t="s">
        <v>124</v>
      </c>
      <c r="D479" s="140" t="s">
        <v>123</v>
      </c>
      <c r="E479" s="234"/>
      <c r="F479" s="140"/>
      <c r="G479" s="140"/>
      <c r="H479" s="140"/>
      <c r="I479" s="140"/>
      <c r="J479" s="140"/>
      <c r="K479" s="140"/>
      <c r="L479" s="140"/>
      <c r="M479" s="140"/>
      <c r="N479" s="140"/>
      <c r="O479" s="140"/>
      <c r="P479" s="140"/>
      <c r="Q479" s="140"/>
      <c r="R479" s="140"/>
      <c r="S479" s="140"/>
      <c r="T479" s="140"/>
      <c r="U479" s="161"/>
      <c r="V479" s="206"/>
      <c r="W479" s="206"/>
      <c r="X479" s="206"/>
      <c r="Y479" s="153"/>
      <c r="Z479" s="239">
        <f>Z481+Z482+Z483+Z484+Z485+Z486+Z487+Z488+Z489</f>
        <v>1000000</v>
      </c>
      <c r="AA479" s="212">
        <v>0</v>
      </c>
      <c r="AB479" s="212">
        <v>0</v>
      </c>
      <c r="AC479" s="213"/>
    </row>
    <row r="480" spans="1:30" ht="26.25" customHeight="1" x14ac:dyDescent="0.3">
      <c r="A480" s="153" t="s">
        <v>109</v>
      </c>
      <c r="B480" s="140"/>
      <c r="C480" s="140"/>
      <c r="D480" s="140"/>
      <c r="E480" s="234"/>
      <c r="F480" s="140"/>
      <c r="G480" s="140"/>
      <c r="H480" s="140"/>
      <c r="I480" s="140"/>
      <c r="J480" s="140"/>
      <c r="K480" s="140"/>
      <c r="L480" s="140"/>
      <c r="M480" s="140"/>
      <c r="N480" s="140"/>
      <c r="O480" s="140"/>
      <c r="P480" s="140"/>
      <c r="Q480" s="140"/>
      <c r="R480" s="140"/>
      <c r="S480" s="140"/>
      <c r="T480" s="140"/>
      <c r="U480" s="161"/>
      <c r="V480" s="206"/>
      <c r="W480" s="206"/>
      <c r="X480" s="206"/>
      <c r="Y480" s="153"/>
      <c r="Z480" s="239"/>
      <c r="AA480" s="212"/>
      <c r="AB480" s="212"/>
      <c r="AC480" s="213"/>
    </row>
    <row r="481" spans="1:29" ht="29.25" customHeight="1" x14ac:dyDescent="0.3">
      <c r="A481" s="269" t="s">
        <v>774</v>
      </c>
      <c r="B481" s="140" t="s">
        <v>16</v>
      </c>
      <c r="C481" s="140" t="s">
        <v>124</v>
      </c>
      <c r="D481" s="140" t="s">
        <v>123</v>
      </c>
      <c r="E481" s="234" t="s">
        <v>569</v>
      </c>
      <c r="F481" s="140"/>
      <c r="G481" s="140"/>
      <c r="H481" s="140"/>
      <c r="I481" s="140"/>
      <c r="J481" s="140"/>
      <c r="K481" s="140"/>
      <c r="L481" s="140"/>
      <c r="M481" s="140"/>
      <c r="N481" s="140"/>
      <c r="O481" s="140"/>
      <c r="P481" s="140"/>
      <c r="Q481" s="140"/>
      <c r="R481" s="140"/>
      <c r="S481" s="140"/>
      <c r="T481" s="140" t="s">
        <v>427</v>
      </c>
      <c r="U481" s="161"/>
      <c r="V481" s="206"/>
      <c r="W481" s="206"/>
      <c r="X481" s="206"/>
      <c r="Y481" s="153"/>
      <c r="Z481" s="239">
        <v>160000</v>
      </c>
      <c r="AA481" s="212">
        <v>0</v>
      </c>
      <c r="AB481" s="212">
        <v>0</v>
      </c>
      <c r="AC481" s="213"/>
    </row>
    <row r="482" spans="1:29" ht="38.25" customHeight="1" x14ac:dyDescent="0.3">
      <c r="A482" s="269" t="s">
        <v>787</v>
      </c>
      <c r="B482" s="140" t="s">
        <v>16</v>
      </c>
      <c r="C482" s="140" t="s">
        <v>124</v>
      </c>
      <c r="D482" s="140" t="s">
        <v>123</v>
      </c>
      <c r="E482" s="234" t="s">
        <v>569</v>
      </c>
      <c r="F482" s="140"/>
      <c r="G482" s="140"/>
      <c r="H482" s="140"/>
      <c r="I482" s="140"/>
      <c r="J482" s="140"/>
      <c r="K482" s="140"/>
      <c r="L482" s="140"/>
      <c r="M482" s="140"/>
      <c r="N482" s="140"/>
      <c r="O482" s="140"/>
      <c r="P482" s="140"/>
      <c r="Q482" s="140"/>
      <c r="R482" s="140"/>
      <c r="S482" s="140"/>
      <c r="T482" s="140" t="s">
        <v>427</v>
      </c>
      <c r="U482" s="161"/>
      <c r="V482" s="206"/>
      <c r="W482" s="206"/>
      <c r="X482" s="206"/>
      <c r="Y482" s="153"/>
      <c r="Z482" s="239">
        <v>120000</v>
      </c>
      <c r="AA482" s="212">
        <v>0</v>
      </c>
      <c r="AB482" s="212">
        <v>0</v>
      </c>
      <c r="AC482" s="213"/>
    </row>
    <row r="483" spans="1:29" ht="30" customHeight="1" x14ac:dyDescent="0.3">
      <c r="A483" s="510" t="s">
        <v>788</v>
      </c>
      <c r="B483" s="872" t="s">
        <v>16</v>
      </c>
      <c r="C483" s="872" t="s">
        <v>124</v>
      </c>
      <c r="D483" s="872" t="s">
        <v>123</v>
      </c>
      <c r="E483" s="873" t="s">
        <v>569</v>
      </c>
      <c r="F483" s="872"/>
      <c r="G483" s="872"/>
      <c r="H483" s="872"/>
      <c r="I483" s="872"/>
      <c r="J483" s="872"/>
      <c r="K483" s="872"/>
      <c r="L483" s="872"/>
      <c r="M483" s="872"/>
      <c r="N483" s="872"/>
      <c r="O483" s="872"/>
      <c r="P483" s="872"/>
      <c r="Q483" s="872"/>
      <c r="R483" s="872"/>
      <c r="S483" s="872"/>
      <c r="T483" s="872" t="s">
        <v>427</v>
      </c>
      <c r="U483" s="874"/>
      <c r="V483" s="875"/>
      <c r="W483" s="875"/>
      <c r="X483" s="875"/>
      <c r="Y483" s="876"/>
      <c r="Z483" s="877">
        <v>50000</v>
      </c>
      <c r="AA483" s="212">
        <v>0</v>
      </c>
      <c r="AB483" s="212">
        <v>0</v>
      </c>
      <c r="AC483" s="213"/>
    </row>
    <row r="484" spans="1:29" ht="28.5" customHeight="1" x14ac:dyDescent="0.3">
      <c r="A484" s="510" t="s">
        <v>789</v>
      </c>
      <c r="B484" s="872" t="s">
        <v>16</v>
      </c>
      <c r="C484" s="872" t="s">
        <v>124</v>
      </c>
      <c r="D484" s="872" t="s">
        <v>123</v>
      </c>
      <c r="E484" s="873" t="s">
        <v>569</v>
      </c>
      <c r="F484" s="872"/>
      <c r="G484" s="872"/>
      <c r="H484" s="872"/>
      <c r="I484" s="872"/>
      <c r="J484" s="872"/>
      <c r="K484" s="872"/>
      <c r="L484" s="872"/>
      <c r="M484" s="872"/>
      <c r="N484" s="872"/>
      <c r="O484" s="872"/>
      <c r="P484" s="872"/>
      <c r="Q484" s="872"/>
      <c r="R484" s="872"/>
      <c r="S484" s="872"/>
      <c r="T484" s="872" t="s">
        <v>427</v>
      </c>
      <c r="U484" s="874"/>
      <c r="V484" s="875"/>
      <c r="W484" s="875"/>
      <c r="X484" s="875"/>
      <c r="Y484" s="876"/>
      <c r="Z484" s="877">
        <v>50000</v>
      </c>
      <c r="AA484" s="212">
        <v>0</v>
      </c>
      <c r="AB484" s="212">
        <v>0</v>
      </c>
      <c r="AC484" s="213"/>
    </row>
    <row r="485" spans="1:29" ht="36" customHeight="1" x14ac:dyDescent="0.3">
      <c r="A485" s="510" t="s">
        <v>790</v>
      </c>
      <c r="B485" s="872" t="s">
        <v>16</v>
      </c>
      <c r="C485" s="872" t="s">
        <v>124</v>
      </c>
      <c r="D485" s="872" t="s">
        <v>123</v>
      </c>
      <c r="E485" s="873" t="s">
        <v>569</v>
      </c>
      <c r="F485" s="872"/>
      <c r="G485" s="872"/>
      <c r="H485" s="872"/>
      <c r="I485" s="872"/>
      <c r="J485" s="872"/>
      <c r="K485" s="872"/>
      <c r="L485" s="872"/>
      <c r="M485" s="872"/>
      <c r="N485" s="872"/>
      <c r="O485" s="872"/>
      <c r="P485" s="872"/>
      <c r="Q485" s="872"/>
      <c r="R485" s="872"/>
      <c r="S485" s="872"/>
      <c r="T485" s="872" t="s">
        <v>427</v>
      </c>
      <c r="U485" s="874"/>
      <c r="V485" s="875"/>
      <c r="W485" s="875"/>
      <c r="X485" s="875"/>
      <c r="Y485" s="876"/>
      <c r="Z485" s="877">
        <v>70000</v>
      </c>
      <c r="AA485" s="212">
        <v>0</v>
      </c>
      <c r="AB485" s="212">
        <v>0</v>
      </c>
      <c r="AC485" s="213"/>
    </row>
    <row r="486" spans="1:29" ht="30.75" customHeight="1" x14ac:dyDescent="0.3">
      <c r="A486" s="510" t="s">
        <v>791</v>
      </c>
      <c r="B486" s="872" t="s">
        <v>16</v>
      </c>
      <c r="C486" s="872" t="s">
        <v>124</v>
      </c>
      <c r="D486" s="872" t="s">
        <v>123</v>
      </c>
      <c r="E486" s="873" t="s">
        <v>569</v>
      </c>
      <c r="F486" s="872"/>
      <c r="G486" s="872"/>
      <c r="H486" s="872"/>
      <c r="I486" s="872"/>
      <c r="J486" s="872"/>
      <c r="K486" s="872"/>
      <c r="L486" s="872"/>
      <c r="M486" s="872"/>
      <c r="N486" s="872"/>
      <c r="O486" s="872"/>
      <c r="P486" s="872"/>
      <c r="Q486" s="872"/>
      <c r="R486" s="872"/>
      <c r="S486" s="872"/>
      <c r="T486" s="872" t="s">
        <v>427</v>
      </c>
      <c r="U486" s="874"/>
      <c r="V486" s="875"/>
      <c r="W486" s="875"/>
      <c r="X486" s="875"/>
      <c r="Y486" s="876"/>
      <c r="Z486" s="877">
        <v>100000</v>
      </c>
      <c r="AA486" s="212">
        <v>0</v>
      </c>
      <c r="AB486" s="212">
        <v>0</v>
      </c>
      <c r="AC486" s="213"/>
    </row>
    <row r="487" spans="1:29" ht="36" customHeight="1" x14ac:dyDescent="0.3">
      <c r="A487" s="510" t="s">
        <v>792</v>
      </c>
      <c r="B487" s="872" t="s">
        <v>16</v>
      </c>
      <c r="C487" s="872" t="s">
        <v>124</v>
      </c>
      <c r="D487" s="872" t="s">
        <v>123</v>
      </c>
      <c r="E487" s="873" t="s">
        <v>569</v>
      </c>
      <c r="F487" s="872"/>
      <c r="G487" s="872"/>
      <c r="H487" s="872"/>
      <c r="I487" s="872"/>
      <c r="J487" s="872"/>
      <c r="K487" s="872"/>
      <c r="L487" s="872"/>
      <c r="M487" s="872"/>
      <c r="N487" s="872"/>
      <c r="O487" s="872"/>
      <c r="P487" s="872"/>
      <c r="Q487" s="872"/>
      <c r="R487" s="872"/>
      <c r="S487" s="872"/>
      <c r="T487" s="872" t="s">
        <v>427</v>
      </c>
      <c r="U487" s="874"/>
      <c r="V487" s="875"/>
      <c r="W487" s="875"/>
      <c r="X487" s="875"/>
      <c r="Y487" s="876"/>
      <c r="Z487" s="877">
        <v>80000</v>
      </c>
      <c r="AA487" s="212">
        <v>0</v>
      </c>
      <c r="AB487" s="212">
        <v>0</v>
      </c>
      <c r="AC487" s="213"/>
    </row>
    <row r="488" spans="1:29" ht="36.75" customHeight="1" x14ac:dyDescent="0.3">
      <c r="A488" s="510" t="s">
        <v>793</v>
      </c>
      <c r="B488" s="872" t="s">
        <v>16</v>
      </c>
      <c r="C488" s="872" t="s">
        <v>124</v>
      </c>
      <c r="D488" s="872" t="s">
        <v>123</v>
      </c>
      <c r="E488" s="873" t="s">
        <v>569</v>
      </c>
      <c r="F488" s="872"/>
      <c r="G488" s="872"/>
      <c r="H488" s="872"/>
      <c r="I488" s="872"/>
      <c r="J488" s="872"/>
      <c r="K488" s="872"/>
      <c r="L488" s="872"/>
      <c r="M488" s="872"/>
      <c r="N488" s="872"/>
      <c r="O488" s="872"/>
      <c r="P488" s="872"/>
      <c r="Q488" s="872"/>
      <c r="R488" s="872"/>
      <c r="S488" s="872"/>
      <c r="T488" s="872" t="s">
        <v>427</v>
      </c>
      <c r="U488" s="874"/>
      <c r="V488" s="875"/>
      <c r="W488" s="875"/>
      <c r="X488" s="875"/>
      <c r="Y488" s="876"/>
      <c r="Z488" s="877">
        <v>70000</v>
      </c>
      <c r="AA488" s="212">
        <v>0</v>
      </c>
      <c r="AB488" s="212">
        <v>0</v>
      </c>
      <c r="AC488" s="213"/>
    </row>
    <row r="489" spans="1:29" ht="33.75" customHeight="1" x14ac:dyDescent="0.3">
      <c r="A489" s="269" t="s">
        <v>794</v>
      </c>
      <c r="B489" s="140" t="s">
        <v>16</v>
      </c>
      <c r="C489" s="140" t="s">
        <v>124</v>
      </c>
      <c r="D489" s="140" t="s">
        <v>123</v>
      </c>
      <c r="E489" s="234" t="s">
        <v>569</v>
      </c>
      <c r="F489" s="140"/>
      <c r="G489" s="140"/>
      <c r="H489" s="140"/>
      <c r="I489" s="140"/>
      <c r="J489" s="140"/>
      <c r="K489" s="140"/>
      <c r="L489" s="140"/>
      <c r="M489" s="140"/>
      <c r="N489" s="140"/>
      <c r="O489" s="140"/>
      <c r="P489" s="140"/>
      <c r="Q489" s="140"/>
      <c r="R489" s="140"/>
      <c r="S489" s="140"/>
      <c r="T489" s="140" t="s">
        <v>427</v>
      </c>
      <c r="U489" s="161"/>
      <c r="V489" s="206"/>
      <c r="W489" s="206"/>
      <c r="X489" s="206"/>
      <c r="Y489" s="153"/>
      <c r="Z489" s="239">
        <v>300000</v>
      </c>
      <c r="AA489" s="212">
        <v>0</v>
      </c>
      <c r="AB489" s="212">
        <v>0</v>
      </c>
      <c r="AC489" s="213"/>
    </row>
    <row r="490" spans="1:29" ht="29.25" hidden="1" customHeight="1" x14ac:dyDescent="0.3">
      <c r="A490" s="153"/>
      <c r="B490" s="140"/>
      <c r="C490" s="140"/>
      <c r="D490" s="140"/>
      <c r="E490" s="234"/>
      <c r="F490" s="140"/>
      <c r="G490" s="140"/>
      <c r="H490" s="140"/>
      <c r="I490" s="140"/>
      <c r="J490" s="140"/>
      <c r="K490" s="140"/>
      <c r="L490" s="140"/>
      <c r="M490" s="140"/>
      <c r="N490" s="140"/>
      <c r="O490" s="140"/>
      <c r="P490" s="140"/>
      <c r="Q490" s="140"/>
      <c r="R490" s="140"/>
      <c r="S490" s="140"/>
      <c r="T490" s="140"/>
      <c r="U490" s="161"/>
      <c r="V490" s="206"/>
      <c r="W490" s="206"/>
      <c r="X490" s="206"/>
      <c r="Y490" s="153"/>
      <c r="Z490" s="239"/>
      <c r="AA490" s="212"/>
      <c r="AB490" s="212"/>
      <c r="AC490" s="213"/>
    </row>
    <row r="491" spans="1:29" ht="27" hidden="1" customHeight="1" x14ac:dyDescent="0.3">
      <c r="A491" s="153"/>
      <c r="B491" s="140"/>
      <c r="C491" s="140"/>
      <c r="D491" s="140"/>
      <c r="E491" s="234"/>
      <c r="F491" s="140"/>
      <c r="G491" s="140"/>
      <c r="H491" s="140"/>
      <c r="I491" s="140"/>
      <c r="J491" s="140"/>
      <c r="K491" s="140"/>
      <c r="L491" s="140"/>
      <c r="M491" s="140"/>
      <c r="N491" s="140"/>
      <c r="O491" s="140"/>
      <c r="P491" s="140"/>
      <c r="Q491" s="140"/>
      <c r="R491" s="140"/>
      <c r="S491" s="140"/>
      <c r="T491" s="140"/>
      <c r="U491" s="161"/>
      <c r="V491" s="206"/>
      <c r="W491" s="206"/>
      <c r="X491" s="206"/>
      <c r="Y491" s="153"/>
      <c r="Z491" s="239"/>
      <c r="AA491" s="212"/>
      <c r="AB491" s="212"/>
      <c r="AC491" s="213"/>
    </row>
    <row r="492" spans="1:29" ht="29.25" hidden="1" customHeight="1" x14ac:dyDescent="0.3">
      <c r="A492" s="153"/>
      <c r="B492" s="140"/>
      <c r="C492" s="140"/>
      <c r="D492" s="140"/>
      <c r="E492" s="234"/>
      <c r="F492" s="140"/>
      <c r="G492" s="140"/>
      <c r="H492" s="140"/>
      <c r="I492" s="140"/>
      <c r="J492" s="140"/>
      <c r="K492" s="140"/>
      <c r="L492" s="140"/>
      <c r="M492" s="140"/>
      <c r="N492" s="140"/>
      <c r="O492" s="140"/>
      <c r="P492" s="140"/>
      <c r="Q492" s="140"/>
      <c r="R492" s="140"/>
      <c r="S492" s="140"/>
      <c r="T492" s="140"/>
      <c r="U492" s="161"/>
      <c r="V492" s="206"/>
      <c r="W492" s="206"/>
      <c r="X492" s="206"/>
      <c r="Y492" s="153"/>
      <c r="Z492" s="239"/>
      <c r="AA492" s="212"/>
      <c r="AB492" s="212"/>
      <c r="AC492" s="213"/>
    </row>
    <row r="493" spans="1:29" ht="34.5" hidden="1" customHeight="1" x14ac:dyDescent="0.3">
      <c r="A493" s="269"/>
      <c r="B493" s="140"/>
      <c r="C493" s="140"/>
      <c r="D493" s="140"/>
      <c r="E493" s="234"/>
      <c r="F493" s="140"/>
      <c r="G493" s="140"/>
      <c r="H493" s="140"/>
      <c r="I493" s="140"/>
      <c r="J493" s="140"/>
      <c r="K493" s="140"/>
      <c r="L493" s="140"/>
      <c r="M493" s="140"/>
      <c r="N493" s="140"/>
      <c r="O493" s="140"/>
      <c r="P493" s="140"/>
      <c r="Q493" s="140"/>
      <c r="R493" s="140"/>
      <c r="S493" s="140"/>
      <c r="T493" s="140"/>
      <c r="U493" s="161"/>
      <c r="V493" s="206"/>
      <c r="W493" s="206"/>
      <c r="X493" s="206"/>
      <c r="Y493" s="153"/>
      <c r="Z493" s="239"/>
      <c r="AA493" s="212"/>
      <c r="AB493" s="212"/>
      <c r="AC493" s="213"/>
    </row>
    <row r="494" spans="1:29" ht="88.5" customHeight="1" x14ac:dyDescent="0.3">
      <c r="A494" s="153" t="s">
        <v>1265</v>
      </c>
      <c r="B494" s="140" t="s">
        <v>16</v>
      </c>
      <c r="C494" s="140" t="s">
        <v>124</v>
      </c>
      <c r="D494" s="140" t="s">
        <v>123</v>
      </c>
      <c r="E494" s="234"/>
      <c r="F494" s="140"/>
      <c r="G494" s="140"/>
      <c r="H494" s="140"/>
      <c r="I494" s="140"/>
      <c r="J494" s="140"/>
      <c r="K494" s="140"/>
      <c r="L494" s="140"/>
      <c r="M494" s="140"/>
      <c r="N494" s="140"/>
      <c r="O494" s="140"/>
      <c r="P494" s="140"/>
      <c r="Q494" s="140"/>
      <c r="R494" s="140"/>
      <c r="S494" s="140"/>
      <c r="T494" s="140"/>
      <c r="U494" s="161"/>
      <c r="V494" s="206"/>
      <c r="W494" s="206"/>
      <c r="X494" s="206"/>
      <c r="Y494" s="153"/>
      <c r="Z494" s="239">
        <f>Z495</f>
        <v>67000</v>
      </c>
      <c r="AA494" s="239">
        <f t="shared" ref="AA494:AB494" si="17">AA495+AA499</f>
        <v>0</v>
      </c>
      <c r="AB494" s="239">
        <f t="shared" si="17"/>
        <v>0</v>
      </c>
      <c r="AC494" s="213"/>
    </row>
    <row r="495" spans="1:29" ht="69" customHeight="1" x14ac:dyDescent="0.3">
      <c r="A495" s="153" t="s">
        <v>1263</v>
      </c>
      <c r="B495" s="140" t="s">
        <v>16</v>
      </c>
      <c r="C495" s="140" t="s">
        <v>124</v>
      </c>
      <c r="D495" s="140" t="s">
        <v>123</v>
      </c>
      <c r="E495" s="234" t="s">
        <v>573</v>
      </c>
      <c r="F495" s="140"/>
      <c r="G495" s="140"/>
      <c r="H495" s="140"/>
      <c r="I495" s="140"/>
      <c r="J495" s="140"/>
      <c r="K495" s="140"/>
      <c r="L495" s="140"/>
      <c r="M495" s="140"/>
      <c r="N495" s="140"/>
      <c r="O495" s="140"/>
      <c r="P495" s="140"/>
      <c r="Q495" s="140"/>
      <c r="R495" s="140"/>
      <c r="S495" s="140"/>
      <c r="T495" s="140"/>
      <c r="U495" s="161"/>
      <c r="V495" s="206"/>
      <c r="W495" s="206"/>
      <c r="X495" s="206"/>
      <c r="Y495" s="153"/>
      <c r="Z495" s="239">
        <f>Z496</f>
        <v>67000</v>
      </c>
      <c r="AA495" s="212"/>
      <c r="AB495" s="212"/>
      <c r="AC495" s="213"/>
    </row>
    <row r="496" spans="1:29" ht="26.25" customHeight="1" x14ac:dyDescent="0.3">
      <c r="A496" s="153" t="s">
        <v>773</v>
      </c>
      <c r="B496" s="140" t="s">
        <v>16</v>
      </c>
      <c r="C496" s="140" t="s">
        <v>124</v>
      </c>
      <c r="D496" s="140" t="s">
        <v>123</v>
      </c>
      <c r="E496" s="234" t="s">
        <v>573</v>
      </c>
      <c r="F496" s="140"/>
      <c r="G496" s="140"/>
      <c r="H496" s="140"/>
      <c r="I496" s="140"/>
      <c r="J496" s="140"/>
      <c r="K496" s="140"/>
      <c r="L496" s="140"/>
      <c r="M496" s="140"/>
      <c r="N496" s="140"/>
      <c r="O496" s="140"/>
      <c r="P496" s="140"/>
      <c r="Q496" s="140"/>
      <c r="R496" s="140"/>
      <c r="S496" s="140"/>
      <c r="T496" s="140" t="s">
        <v>427</v>
      </c>
      <c r="U496" s="161"/>
      <c r="V496" s="206"/>
      <c r="W496" s="206"/>
      <c r="X496" s="206"/>
      <c r="Y496" s="153"/>
      <c r="Z496" s="239">
        <f>Z498</f>
        <v>67000</v>
      </c>
      <c r="AA496" s="212">
        <v>0</v>
      </c>
      <c r="AB496" s="212">
        <v>0</v>
      </c>
      <c r="AC496" s="213"/>
    </row>
    <row r="497" spans="1:29" ht="26.25" customHeight="1" x14ac:dyDescent="0.3">
      <c r="A497" s="153" t="s">
        <v>109</v>
      </c>
      <c r="B497" s="140"/>
      <c r="C497" s="140"/>
      <c r="D497" s="140"/>
      <c r="E497" s="234"/>
      <c r="F497" s="140"/>
      <c r="G497" s="140"/>
      <c r="H497" s="140"/>
      <c r="I497" s="140"/>
      <c r="J497" s="140"/>
      <c r="K497" s="140"/>
      <c r="L497" s="140"/>
      <c r="M497" s="140"/>
      <c r="N497" s="140"/>
      <c r="O497" s="140"/>
      <c r="P497" s="140"/>
      <c r="Q497" s="140"/>
      <c r="R497" s="140"/>
      <c r="S497" s="140"/>
      <c r="T497" s="140"/>
      <c r="U497" s="161"/>
      <c r="V497" s="206"/>
      <c r="W497" s="206"/>
      <c r="X497" s="206"/>
      <c r="Y497" s="153"/>
      <c r="Z497" s="239"/>
      <c r="AA497" s="212"/>
      <c r="AB497" s="212"/>
      <c r="AC497" s="213"/>
    </row>
    <row r="498" spans="1:29" ht="28.5" customHeight="1" x14ac:dyDescent="0.3">
      <c r="A498" s="269" t="s">
        <v>790</v>
      </c>
      <c r="B498" s="140" t="s">
        <v>16</v>
      </c>
      <c r="C498" s="140" t="s">
        <v>124</v>
      </c>
      <c r="D498" s="140" t="s">
        <v>123</v>
      </c>
      <c r="E498" s="234" t="s">
        <v>573</v>
      </c>
      <c r="F498" s="140"/>
      <c r="G498" s="140"/>
      <c r="H498" s="140"/>
      <c r="I498" s="140"/>
      <c r="J498" s="140"/>
      <c r="K498" s="140"/>
      <c r="L498" s="140"/>
      <c r="M498" s="140"/>
      <c r="N498" s="140"/>
      <c r="O498" s="140"/>
      <c r="P498" s="140"/>
      <c r="Q498" s="140"/>
      <c r="R498" s="140"/>
      <c r="S498" s="140"/>
      <c r="T498" s="140" t="s">
        <v>427</v>
      </c>
      <c r="U498" s="161"/>
      <c r="V498" s="206"/>
      <c r="W498" s="206"/>
      <c r="X498" s="206"/>
      <c r="Y498" s="153"/>
      <c r="Z498" s="239">
        <v>67000</v>
      </c>
      <c r="AA498" s="212">
        <v>0</v>
      </c>
      <c r="AB498" s="212">
        <v>0</v>
      </c>
      <c r="AC498" s="213"/>
    </row>
    <row r="499" spans="1:29" ht="79.5" customHeight="1" x14ac:dyDescent="0.3">
      <c r="A499" s="153" t="s">
        <v>1303</v>
      </c>
      <c r="B499" s="140" t="s">
        <v>16</v>
      </c>
      <c r="C499" s="140" t="s">
        <v>124</v>
      </c>
      <c r="D499" s="140" t="s">
        <v>123</v>
      </c>
      <c r="E499" s="234" t="s">
        <v>1520</v>
      </c>
      <c r="F499" s="140"/>
      <c r="G499" s="140"/>
      <c r="H499" s="140"/>
      <c r="I499" s="140"/>
      <c r="J499" s="140"/>
      <c r="K499" s="140"/>
      <c r="L499" s="140"/>
      <c r="M499" s="140"/>
      <c r="N499" s="140"/>
      <c r="O499" s="140"/>
      <c r="P499" s="140"/>
      <c r="Q499" s="140"/>
      <c r="R499" s="140"/>
      <c r="S499" s="140"/>
      <c r="T499" s="140"/>
      <c r="U499" s="161"/>
      <c r="V499" s="206"/>
      <c r="W499" s="206"/>
      <c r="X499" s="206"/>
      <c r="Y499" s="153"/>
      <c r="Z499" s="239">
        <f>Z500</f>
        <v>274000</v>
      </c>
      <c r="AA499" s="239">
        <f t="shared" ref="AA499:AB499" si="18">AA500</f>
        <v>0</v>
      </c>
      <c r="AB499" s="239">
        <f t="shared" si="18"/>
        <v>0</v>
      </c>
      <c r="AC499" s="213"/>
    </row>
    <row r="500" spans="1:29" ht="28.5" customHeight="1" x14ac:dyDescent="0.3">
      <c r="A500" s="153" t="s">
        <v>773</v>
      </c>
      <c r="B500" s="140" t="s">
        <v>16</v>
      </c>
      <c r="C500" s="140" t="s">
        <v>124</v>
      </c>
      <c r="D500" s="140" t="s">
        <v>123</v>
      </c>
      <c r="E500" s="234" t="s">
        <v>1520</v>
      </c>
      <c r="F500" s="140"/>
      <c r="G500" s="140"/>
      <c r="H500" s="140"/>
      <c r="I500" s="140"/>
      <c r="J500" s="140"/>
      <c r="K500" s="140"/>
      <c r="L500" s="140"/>
      <c r="M500" s="140"/>
      <c r="N500" s="140"/>
      <c r="O500" s="140"/>
      <c r="P500" s="140"/>
      <c r="Q500" s="140"/>
      <c r="R500" s="140"/>
      <c r="S500" s="140"/>
      <c r="T500" s="140" t="s">
        <v>427</v>
      </c>
      <c r="U500" s="161"/>
      <c r="V500" s="206"/>
      <c r="W500" s="206"/>
      <c r="X500" s="206"/>
      <c r="Y500" s="153"/>
      <c r="Z500" s="239">
        <f>Z502+Z503+Z504</f>
        <v>274000</v>
      </c>
      <c r="AA500" s="239">
        <f t="shared" ref="AA500:AB500" si="19">AA502+AA503+AA504</f>
        <v>0</v>
      </c>
      <c r="AB500" s="239">
        <f t="shared" si="19"/>
        <v>0</v>
      </c>
      <c r="AC500" s="213"/>
    </row>
    <row r="501" spans="1:29" ht="28.5" customHeight="1" x14ac:dyDescent="0.3">
      <c r="A501" s="153" t="s">
        <v>109</v>
      </c>
      <c r="B501" s="140"/>
      <c r="C501" s="140"/>
      <c r="D501" s="140"/>
      <c r="E501" s="234"/>
      <c r="F501" s="140"/>
      <c r="G501" s="140"/>
      <c r="H501" s="140"/>
      <c r="I501" s="140"/>
      <c r="J501" s="140"/>
      <c r="K501" s="140"/>
      <c r="L501" s="140"/>
      <c r="M501" s="140"/>
      <c r="N501" s="140"/>
      <c r="O501" s="140"/>
      <c r="P501" s="140"/>
      <c r="Q501" s="140"/>
      <c r="R501" s="140"/>
      <c r="S501" s="140"/>
      <c r="T501" s="140"/>
      <c r="U501" s="161"/>
      <c r="V501" s="206"/>
      <c r="W501" s="206"/>
      <c r="X501" s="206"/>
      <c r="Y501" s="153"/>
      <c r="Z501" s="239"/>
      <c r="AA501" s="212"/>
      <c r="AB501" s="212"/>
      <c r="AC501" s="213"/>
    </row>
    <row r="502" spans="1:29" ht="28.5" customHeight="1" x14ac:dyDescent="0.3">
      <c r="A502" s="510" t="s">
        <v>790</v>
      </c>
      <c r="B502" s="140" t="s">
        <v>16</v>
      </c>
      <c r="C502" s="140" t="s">
        <v>124</v>
      </c>
      <c r="D502" s="140" t="s">
        <v>123</v>
      </c>
      <c r="E502" s="234" t="s">
        <v>1520</v>
      </c>
      <c r="F502" s="140"/>
      <c r="G502" s="140"/>
      <c r="H502" s="140"/>
      <c r="I502" s="140"/>
      <c r="J502" s="140"/>
      <c r="K502" s="140"/>
      <c r="L502" s="140"/>
      <c r="M502" s="140"/>
      <c r="N502" s="140"/>
      <c r="O502" s="140"/>
      <c r="P502" s="140"/>
      <c r="Q502" s="140"/>
      <c r="R502" s="140"/>
      <c r="S502" s="140"/>
      <c r="T502" s="140" t="s">
        <v>427</v>
      </c>
      <c r="U502" s="161"/>
      <c r="V502" s="206"/>
      <c r="W502" s="206"/>
      <c r="X502" s="206"/>
      <c r="Y502" s="153"/>
      <c r="Z502" s="239">
        <v>95000</v>
      </c>
      <c r="AA502" s="212">
        <v>0</v>
      </c>
      <c r="AB502" s="212">
        <v>0</v>
      </c>
      <c r="AC502" s="213"/>
    </row>
    <row r="503" spans="1:29" ht="28.5" customHeight="1" x14ac:dyDescent="0.3">
      <c r="A503" s="510" t="s">
        <v>793</v>
      </c>
      <c r="B503" s="140" t="s">
        <v>16</v>
      </c>
      <c r="C503" s="140" t="s">
        <v>124</v>
      </c>
      <c r="D503" s="140" t="s">
        <v>123</v>
      </c>
      <c r="E503" s="234" t="s">
        <v>1520</v>
      </c>
      <c r="F503" s="140"/>
      <c r="G503" s="140"/>
      <c r="H503" s="140"/>
      <c r="I503" s="140"/>
      <c r="J503" s="140"/>
      <c r="K503" s="140"/>
      <c r="L503" s="140"/>
      <c r="M503" s="140"/>
      <c r="N503" s="140"/>
      <c r="O503" s="140"/>
      <c r="P503" s="140"/>
      <c r="Q503" s="140"/>
      <c r="R503" s="140"/>
      <c r="S503" s="140"/>
      <c r="T503" s="140" t="s">
        <v>427</v>
      </c>
      <c r="U503" s="161"/>
      <c r="V503" s="206"/>
      <c r="W503" s="206"/>
      <c r="X503" s="206"/>
      <c r="Y503" s="153"/>
      <c r="Z503" s="239">
        <v>95000</v>
      </c>
      <c r="AA503" s="212">
        <v>0</v>
      </c>
      <c r="AB503" s="212">
        <v>0</v>
      </c>
      <c r="AC503" s="213"/>
    </row>
    <row r="504" spans="1:29" ht="28.5" customHeight="1" x14ac:dyDescent="0.3">
      <c r="A504" s="510" t="s">
        <v>789</v>
      </c>
      <c r="B504" s="140" t="s">
        <v>16</v>
      </c>
      <c r="C504" s="140" t="s">
        <v>124</v>
      </c>
      <c r="D504" s="140" t="s">
        <v>123</v>
      </c>
      <c r="E504" s="234" t="s">
        <v>1520</v>
      </c>
      <c r="F504" s="140"/>
      <c r="G504" s="140"/>
      <c r="H504" s="140"/>
      <c r="I504" s="140"/>
      <c r="J504" s="140"/>
      <c r="K504" s="140"/>
      <c r="L504" s="140"/>
      <c r="M504" s="140"/>
      <c r="N504" s="140"/>
      <c r="O504" s="140"/>
      <c r="P504" s="140"/>
      <c r="Q504" s="140"/>
      <c r="R504" s="140"/>
      <c r="S504" s="140"/>
      <c r="T504" s="140" t="s">
        <v>427</v>
      </c>
      <c r="U504" s="161"/>
      <c r="V504" s="206"/>
      <c r="W504" s="206"/>
      <c r="X504" s="206"/>
      <c r="Y504" s="153"/>
      <c r="Z504" s="239">
        <v>84000</v>
      </c>
      <c r="AA504" s="212">
        <v>0</v>
      </c>
      <c r="AB504" s="212">
        <v>0</v>
      </c>
      <c r="AC504" s="213"/>
    </row>
    <row r="505" spans="1:29" ht="69" customHeight="1" x14ac:dyDescent="0.3">
      <c r="A505" s="153" t="s">
        <v>1439</v>
      </c>
      <c r="B505" s="140"/>
      <c r="C505" s="140"/>
      <c r="D505" s="140"/>
      <c r="E505" s="234"/>
      <c r="F505" s="140"/>
      <c r="G505" s="140"/>
      <c r="H505" s="140"/>
      <c r="I505" s="140"/>
      <c r="J505" s="140"/>
      <c r="K505" s="140"/>
      <c r="L505" s="140"/>
      <c r="M505" s="140"/>
      <c r="N505" s="140"/>
      <c r="O505" s="140"/>
      <c r="P505" s="140"/>
      <c r="Q505" s="140"/>
      <c r="R505" s="140"/>
      <c r="S505" s="140"/>
      <c r="T505" s="140"/>
      <c r="U505" s="161"/>
      <c r="V505" s="206"/>
      <c r="W505" s="206"/>
      <c r="X505" s="206"/>
      <c r="Y505" s="153"/>
      <c r="Z505" s="239">
        <f>Z506</f>
        <v>200000</v>
      </c>
      <c r="AA505" s="212"/>
      <c r="AB505" s="212"/>
      <c r="AC505" s="213"/>
    </row>
    <row r="506" spans="1:29" ht="28.5" customHeight="1" x14ac:dyDescent="0.3">
      <c r="A506" s="153" t="s">
        <v>773</v>
      </c>
      <c r="B506" s="140" t="s">
        <v>16</v>
      </c>
      <c r="C506" s="140" t="s">
        <v>124</v>
      </c>
      <c r="D506" s="140" t="s">
        <v>123</v>
      </c>
      <c r="E506" s="234" t="s">
        <v>1440</v>
      </c>
      <c r="F506" s="140"/>
      <c r="G506" s="140"/>
      <c r="H506" s="140"/>
      <c r="I506" s="140"/>
      <c r="J506" s="140"/>
      <c r="K506" s="140"/>
      <c r="L506" s="140"/>
      <c r="M506" s="140"/>
      <c r="N506" s="140"/>
      <c r="O506" s="140"/>
      <c r="P506" s="140"/>
      <c r="Q506" s="140"/>
      <c r="R506" s="140"/>
      <c r="S506" s="140"/>
      <c r="T506" s="140" t="s">
        <v>427</v>
      </c>
      <c r="U506" s="161"/>
      <c r="V506" s="206"/>
      <c r="W506" s="206"/>
      <c r="X506" s="206"/>
      <c r="Y506" s="153"/>
      <c r="Z506" s="239">
        <f>Z508</f>
        <v>200000</v>
      </c>
      <c r="AA506" s="212">
        <v>0</v>
      </c>
      <c r="AB506" s="212">
        <v>0</v>
      </c>
      <c r="AC506" s="213"/>
    </row>
    <row r="507" spans="1:29" ht="28.5" customHeight="1" x14ac:dyDescent="0.3">
      <c r="A507" s="153" t="s">
        <v>109</v>
      </c>
      <c r="B507" s="140"/>
      <c r="C507" s="140"/>
      <c r="D507" s="140"/>
      <c r="E507" s="234"/>
      <c r="F507" s="140"/>
      <c r="G507" s="140"/>
      <c r="H507" s="140"/>
      <c r="I507" s="140"/>
      <c r="J507" s="140"/>
      <c r="K507" s="140"/>
      <c r="L507" s="140"/>
      <c r="M507" s="140"/>
      <c r="N507" s="140"/>
      <c r="O507" s="140"/>
      <c r="P507" s="140"/>
      <c r="Q507" s="140"/>
      <c r="R507" s="140"/>
      <c r="S507" s="140"/>
      <c r="T507" s="140"/>
      <c r="U507" s="161"/>
      <c r="V507" s="206"/>
      <c r="W507" s="206"/>
      <c r="X507" s="206"/>
      <c r="Y507" s="153"/>
      <c r="Z507" s="239"/>
      <c r="AA507" s="212"/>
      <c r="AB507" s="212"/>
      <c r="AC507" s="213"/>
    </row>
    <row r="508" spans="1:29" ht="28.5" customHeight="1" x14ac:dyDescent="0.3">
      <c r="A508" s="510" t="s">
        <v>793</v>
      </c>
      <c r="B508" s="140" t="s">
        <v>16</v>
      </c>
      <c r="C508" s="140" t="s">
        <v>124</v>
      </c>
      <c r="D508" s="140" t="s">
        <v>123</v>
      </c>
      <c r="E508" s="234" t="s">
        <v>1440</v>
      </c>
      <c r="F508" s="140"/>
      <c r="G508" s="140"/>
      <c r="H508" s="140"/>
      <c r="I508" s="140"/>
      <c r="J508" s="140"/>
      <c r="K508" s="140"/>
      <c r="L508" s="140"/>
      <c r="M508" s="140"/>
      <c r="N508" s="140"/>
      <c r="O508" s="140"/>
      <c r="P508" s="140"/>
      <c r="Q508" s="140"/>
      <c r="R508" s="140"/>
      <c r="S508" s="140"/>
      <c r="T508" s="140" t="s">
        <v>427</v>
      </c>
      <c r="U508" s="161"/>
      <c r="V508" s="206"/>
      <c r="W508" s="206"/>
      <c r="X508" s="206"/>
      <c r="Y508" s="153"/>
      <c r="Z508" s="239">
        <v>200000</v>
      </c>
      <c r="AA508" s="212">
        <v>0</v>
      </c>
      <c r="AB508" s="212">
        <v>0</v>
      </c>
      <c r="AC508" s="213"/>
    </row>
    <row r="509" spans="1:29" ht="93" customHeight="1" x14ac:dyDescent="0.3">
      <c r="A509" s="153" t="s">
        <v>1265</v>
      </c>
      <c r="B509" s="140" t="s">
        <v>16</v>
      </c>
      <c r="C509" s="140" t="s">
        <v>124</v>
      </c>
      <c r="D509" s="140" t="s">
        <v>123</v>
      </c>
      <c r="E509" s="234" t="s">
        <v>880</v>
      </c>
      <c r="F509" s="140"/>
      <c r="G509" s="140"/>
      <c r="H509" s="140"/>
      <c r="I509" s="140"/>
      <c r="J509" s="140"/>
      <c r="K509" s="140"/>
      <c r="L509" s="140"/>
      <c r="M509" s="140"/>
      <c r="N509" s="140"/>
      <c r="O509" s="140"/>
      <c r="P509" s="140"/>
      <c r="Q509" s="140"/>
      <c r="R509" s="140"/>
      <c r="S509" s="140"/>
      <c r="T509" s="140"/>
      <c r="U509" s="161"/>
      <c r="V509" s="206"/>
      <c r="W509" s="206"/>
      <c r="X509" s="206"/>
      <c r="Y509" s="153"/>
      <c r="Z509" s="239">
        <f>Z510</f>
        <v>5189351.74</v>
      </c>
      <c r="AA509" s="212">
        <v>0</v>
      </c>
      <c r="AB509" s="212">
        <v>0</v>
      </c>
      <c r="AC509" s="213"/>
    </row>
    <row r="510" spans="1:29" ht="32.25" customHeight="1" x14ac:dyDescent="0.3">
      <c r="A510" s="153" t="s">
        <v>773</v>
      </c>
      <c r="B510" s="140" t="s">
        <v>16</v>
      </c>
      <c r="C510" s="140" t="s">
        <v>124</v>
      </c>
      <c r="D510" s="140" t="s">
        <v>123</v>
      </c>
      <c r="E510" s="234" t="s">
        <v>880</v>
      </c>
      <c r="F510" s="140"/>
      <c r="G510" s="140"/>
      <c r="H510" s="140"/>
      <c r="I510" s="140"/>
      <c r="J510" s="140"/>
      <c r="K510" s="140"/>
      <c r="L510" s="140"/>
      <c r="M510" s="140"/>
      <c r="N510" s="140"/>
      <c r="O510" s="140"/>
      <c r="P510" s="140"/>
      <c r="Q510" s="140"/>
      <c r="R510" s="140"/>
      <c r="S510" s="140"/>
      <c r="T510" s="140" t="s">
        <v>427</v>
      </c>
      <c r="U510" s="161"/>
      <c r="V510" s="206"/>
      <c r="W510" s="206"/>
      <c r="X510" s="206"/>
      <c r="Y510" s="153"/>
      <c r="Z510" s="239">
        <f>Z516+Z517+Z513+Z514+Z515+Z512</f>
        <v>5189351.74</v>
      </c>
      <c r="AA510" s="212">
        <v>0</v>
      </c>
      <c r="AB510" s="212">
        <v>0</v>
      </c>
      <c r="AC510" s="213"/>
    </row>
    <row r="511" spans="1:29" ht="32.25" customHeight="1" x14ac:dyDescent="0.3">
      <c r="A511" s="153" t="s">
        <v>109</v>
      </c>
      <c r="B511" s="140"/>
      <c r="C511" s="140"/>
      <c r="D511" s="140"/>
      <c r="E511" s="234"/>
      <c r="F511" s="140"/>
      <c r="G511" s="140"/>
      <c r="H511" s="140"/>
      <c r="I511" s="140"/>
      <c r="J511" s="140"/>
      <c r="K511" s="140"/>
      <c r="L511" s="140"/>
      <c r="M511" s="140"/>
      <c r="N511" s="140"/>
      <c r="O511" s="140"/>
      <c r="P511" s="140"/>
      <c r="Q511" s="140"/>
      <c r="R511" s="140"/>
      <c r="S511" s="140"/>
      <c r="T511" s="140"/>
      <c r="U511" s="161"/>
      <c r="V511" s="206"/>
      <c r="W511" s="206"/>
      <c r="X511" s="206"/>
      <c r="Y511" s="153"/>
      <c r="Z511" s="239"/>
      <c r="AA511" s="212"/>
      <c r="AB511" s="212"/>
      <c r="AC511" s="213"/>
    </row>
    <row r="512" spans="1:29" ht="32.25" customHeight="1" x14ac:dyDescent="0.3">
      <c r="A512" s="153" t="s">
        <v>791</v>
      </c>
      <c r="B512" s="140" t="s">
        <v>16</v>
      </c>
      <c r="C512" s="140" t="s">
        <v>124</v>
      </c>
      <c r="D512" s="140" t="s">
        <v>123</v>
      </c>
      <c r="E512" s="234" t="s">
        <v>880</v>
      </c>
      <c r="F512" s="140"/>
      <c r="G512" s="140"/>
      <c r="H512" s="140"/>
      <c r="I512" s="140"/>
      <c r="J512" s="140"/>
      <c r="K512" s="140"/>
      <c r="L512" s="140"/>
      <c r="M512" s="140"/>
      <c r="N512" s="140"/>
      <c r="O512" s="140"/>
      <c r="P512" s="140"/>
      <c r="Q512" s="140"/>
      <c r="R512" s="140"/>
      <c r="S512" s="140"/>
      <c r="T512" s="140" t="s">
        <v>427</v>
      </c>
      <c r="U512" s="161"/>
      <c r="V512" s="206"/>
      <c r="W512" s="206"/>
      <c r="X512" s="206"/>
      <c r="Y512" s="153"/>
      <c r="Z512" s="239">
        <v>90351.74</v>
      </c>
      <c r="AA512" s="212">
        <v>0</v>
      </c>
      <c r="AB512" s="212">
        <v>0</v>
      </c>
      <c r="AC512" s="213"/>
    </row>
    <row r="513" spans="1:29" ht="32.25" customHeight="1" x14ac:dyDescent="0.3">
      <c r="A513" s="153" t="s">
        <v>1438</v>
      </c>
      <c r="B513" s="140" t="s">
        <v>16</v>
      </c>
      <c r="C513" s="140" t="s">
        <v>124</v>
      </c>
      <c r="D513" s="140" t="s">
        <v>123</v>
      </c>
      <c r="E513" s="234" t="s">
        <v>880</v>
      </c>
      <c r="F513" s="140"/>
      <c r="G513" s="140"/>
      <c r="H513" s="140"/>
      <c r="I513" s="140"/>
      <c r="J513" s="140"/>
      <c r="K513" s="140"/>
      <c r="L513" s="140"/>
      <c r="M513" s="140"/>
      <c r="N513" s="140"/>
      <c r="O513" s="140"/>
      <c r="P513" s="140"/>
      <c r="Q513" s="140"/>
      <c r="R513" s="140"/>
      <c r="S513" s="140"/>
      <c r="T513" s="140" t="s">
        <v>427</v>
      </c>
      <c r="U513" s="161"/>
      <c r="V513" s="206"/>
      <c r="W513" s="206"/>
      <c r="X513" s="206"/>
      <c r="Y513" s="153"/>
      <c r="Z513" s="239">
        <v>1000000</v>
      </c>
      <c r="AA513" s="212">
        <v>0</v>
      </c>
      <c r="AB513" s="212">
        <v>0</v>
      </c>
      <c r="AC513" s="213"/>
    </row>
    <row r="514" spans="1:29" ht="32.25" customHeight="1" x14ac:dyDescent="0.3">
      <c r="A514" s="153" t="s">
        <v>787</v>
      </c>
      <c r="B514" s="140" t="s">
        <v>16</v>
      </c>
      <c r="C514" s="140" t="s">
        <v>124</v>
      </c>
      <c r="D514" s="140" t="s">
        <v>123</v>
      </c>
      <c r="E514" s="234" t="s">
        <v>880</v>
      </c>
      <c r="F514" s="140"/>
      <c r="G514" s="140"/>
      <c r="H514" s="140"/>
      <c r="I514" s="140"/>
      <c r="J514" s="140"/>
      <c r="K514" s="140"/>
      <c r="L514" s="140"/>
      <c r="M514" s="140"/>
      <c r="N514" s="140"/>
      <c r="O514" s="140"/>
      <c r="P514" s="140"/>
      <c r="Q514" s="140"/>
      <c r="R514" s="140"/>
      <c r="S514" s="140"/>
      <c r="T514" s="140" t="s">
        <v>427</v>
      </c>
      <c r="U514" s="161"/>
      <c r="V514" s="206"/>
      <c r="W514" s="206"/>
      <c r="X514" s="206"/>
      <c r="Y514" s="153"/>
      <c r="Z514" s="239">
        <v>1500000</v>
      </c>
      <c r="AA514" s="212">
        <v>0</v>
      </c>
      <c r="AB514" s="212">
        <v>0</v>
      </c>
      <c r="AC514" s="213"/>
    </row>
    <row r="515" spans="1:29" ht="32.25" hidden="1" customHeight="1" x14ac:dyDescent="0.3">
      <c r="A515" s="153" t="s">
        <v>788</v>
      </c>
      <c r="B515" s="140" t="s">
        <v>16</v>
      </c>
      <c r="C515" s="140" t="s">
        <v>124</v>
      </c>
      <c r="D515" s="140" t="s">
        <v>123</v>
      </c>
      <c r="E515" s="234" t="s">
        <v>880</v>
      </c>
      <c r="F515" s="140"/>
      <c r="G515" s="140"/>
      <c r="H515" s="140"/>
      <c r="I515" s="140"/>
      <c r="J515" s="140"/>
      <c r="K515" s="140"/>
      <c r="L515" s="140"/>
      <c r="M515" s="140"/>
      <c r="N515" s="140"/>
      <c r="O515" s="140"/>
      <c r="P515" s="140"/>
      <c r="Q515" s="140"/>
      <c r="R515" s="140"/>
      <c r="S515" s="140"/>
      <c r="T515" s="140" t="s">
        <v>427</v>
      </c>
      <c r="U515" s="161"/>
      <c r="V515" s="206"/>
      <c r="W515" s="206"/>
      <c r="X515" s="206"/>
      <c r="Y515" s="153"/>
      <c r="Z515" s="239">
        <v>0</v>
      </c>
      <c r="AA515" s="212">
        <v>0</v>
      </c>
      <c r="AB515" s="212">
        <v>0</v>
      </c>
      <c r="AC515" s="213"/>
    </row>
    <row r="516" spans="1:29" ht="32.25" customHeight="1" x14ac:dyDescent="0.3">
      <c r="A516" s="269" t="s">
        <v>788</v>
      </c>
      <c r="B516" s="140" t="s">
        <v>16</v>
      </c>
      <c r="C516" s="140" t="s">
        <v>124</v>
      </c>
      <c r="D516" s="140" t="s">
        <v>123</v>
      </c>
      <c r="E516" s="234" t="s">
        <v>880</v>
      </c>
      <c r="F516" s="140"/>
      <c r="G516" s="140"/>
      <c r="H516" s="140"/>
      <c r="I516" s="140"/>
      <c r="J516" s="140"/>
      <c r="K516" s="140"/>
      <c r="L516" s="140"/>
      <c r="M516" s="140"/>
      <c r="N516" s="140"/>
      <c r="O516" s="140"/>
      <c r="P516" s="140"/>
      <c r="Q516" s="140"/>
      <c r="R516" s="140"/>
      <c r="S516" s="140"/>
      <c r="T516" s="140" t="s">
        <v>427</v>
      </c>
      <c r="U516" s="161"/>
      <c r="V516" s="206"/>
      <c r="W516" s="206"/>
      <c r="X516" s="206"/>
      <c r="Y516" s="153"/>
      <c r="Z516" s="239">
        <f>1500000+1000000</f>
        <v>2500000</v>
      </c>
      <c r="AA516" s="212">
        <v>0</v>
      </c>
      <c r="AB516" s="212">
        <v>0</v>
      </c>
      <c r="AC516" s="213"/>
    </row>
    <row r="517" spans="1:29" ht="32.25" customHeight="1" x14ac:dyDescent="0.3">
      <c r="A517" s="269" t="s">
        <v>790</v>
      </c>
      <c r="B517" s="140" t="s">
        <v>16</v>
      </c>
      <c r="C517" s="140" t="s">
        <v>124</v>
      </c>
      <c r="D517" s="140" t="s">
        <v>123</v>
      </c>
      <c r="E517" s="234" t="s">
        <v>880</v>
      </c>
      <c r="F517" s="140"/>
      <c r="G517" s="140"/>
      <c r="H517" s="140"/>
      <c r="I517" s="140"/>
      <c r="J517" s="140"/>
      <c r="K517" s="140"/>
      <c r="L517" s="140"/>
      <c r="M517" s="140"/>
      <c r="N517" s="140"/>
      <c r="O517" s="140"/>
      <c r="P517" s="140"/>
      <c r="Q517" s="140"/>
      <c r="R517" s="140"/>
      <c r="S517" s="140"/>
      <c r="T517" s="140" t="s">
        <v>427</v>
      </c>
      <c r="U517" s="161"/>
      <c r="V517" s="206"/>
      <c r="W517" s="206"/>
      <c r="X517" s="206"/>
      <c r="Y517" s="153"/>
      <c r="Z517" s="239">
        <v>99000</v>
      </c>
      <c r="AA517" s="212">
        <v>0</v>
      </c>
      <c r="AB517" s="212">
        <v>0</v>
      </c>
      <c r="AC517" s="213"/>
    </row>
    <row r="518" spans="1:29" ht="33.75" customHeight="1" x14ac:dyDescent="0.3">
      <c r="A518" s="159" t="s">
        <v>379</v>
      </c>
      <c r="B518" s="140" t="s">
        <v>16</v>
      </c>
      <c r="C518" s="140" t="s">
        <v>126</v>
      </c>
      <c r="D518" s="140" t="s">
        <v>122</v>
      </c>
      <c r="E518" s="234"/>
      <c r="F518" s="140"/>
      <c r="G518" s="140"/>
      <c r="H518" s="140"/>
      <c r="I518" s="140"/>
      <c r="J518" s="140"/>
      <c r="K518" s="140"/>
      <c r="L518" s="140"/>
      <c r="M518" s="140"/>
      <c r="N518" s="140"/>
      <c r="O518" s="140"/>
      <c r="P518" s="140"/>
      <c r="Q518" s="140"/>
      <c r="R518" s="140"/>
      <c r="S518" s="140"/>
      <c r="T518" s="140"/>
      <c r="U518" s="161"/>
      <c r="V518" s="206"/>
      <c r="W518" s="206"/>
      <c r="X518" s="206"/>
      <c r="Y518" s="153"/>
      <c r="Z518" s="239">
        <f>Z519</f>
        <v>3607391.34</v>
      </c>
      <c r="AA518" s="212">
        <v>0</v>
      </c>
      <c r="AB518" s="212">
        <v>0</v>
      </c>
      <c r="AC518" s="213"/>
    </row>
    <row r="519" spans="1:29" ht="172.5" customHeight="1" x14ac:dyDescent="0.3">
      <c r="A519" s="153" t="s">
        <v>1285</v>
      </c>
      <c r="B519" s="140" t="s">
        <v>16</v>
      </c>
      <c r="C519" s="140" t="s">
        <v>126</v>
      </c>
      <c r="D519" s="140" t="s">
        <v>122</v>
      </c>
      <c r="E519" s="234" t="s">
        <v>586</v>
      </c>
      <c r="F519" s="140"/>
      <c r="G519" s="140"/>
      <c r="H519" s="140"/>
      <c r="I519" s="140"/>
      <c r="J519" s="140"/>
      <c r="K519" s="140"/>
      <c r="L519" s="140"/>
      <c r="M519" s="140"/>
      <c r="N519" s="140"/>
      <c r="O519" s="140"/>
      <c r="P519" s="140"/>
      <c r="Q519" s="140"/>
      <c r="R519" s="140"/>
      <c r="S519" s="140"/>
      <c r="T519" s="140"/>
      <c r="U519" s="161"/>
      <c r="V519" s="206"/>
      <c r="W519" s="206"/>
      <c r="X519" s="206"/>
      <c r="Y519" s="153"/>
      <c r="Z519" s="239">
        <f>Z520</f>
        <v>3607391.34</v>
      </c>
      <c r="AA519" s="212">
        <v>0</v>
      </c>
      <c r="AB519" s="212">
        <v>0</v>
      </c>
      <c r="AC519" s="213"/>
    </row>
    <row r="520" spans="1:29" ht="29.25" customHeight="1" x14ac:dyDescent="0.3">
      <c r="A520" s="153" t="s">
        <v>773</v>
      </c>
      <c r="B520" s="140" t="s">
        <v>16</v>
      </c>
      <c r="C520" s="140" t="s">
        <v>126</v>
      </c>
      <c r="D520" s="140" t="s">
        <v>122</v>
      </c>
      <c r="E520" s="234" t="s">
        <v>586</v>
      </c>
      <c r="F520" s="140"/>
      <c r="G520" s="140"/>
      <c r="H520" s="140"/>
      <c r="I520" s="140"/>
      <c r="J520" s="140"/>
      <c r="K520" s="140"/>
      <c r="L520" s="140"/>
      <c r="M520" s="140"/>
      <c r="N520" s="140"/>
      <c r="O520" s="140"/>
      <c r="P520" s="140"/>
      <c r="Q520" s="140"/>
      <c r="R520" s="140"/>
      <c r="S520" s="140"/>
      <c r="T520" s="140" t="s">
        <v>427</v>
      </c>
      <c r="U520" s="161"/>
      <c r="V520" s="206"/>
      <c r="W520" s="206"/>
      <c r="X520" s="206"/>
      <c r="Y520" s="153"/>
      <c r="Z520" s="239">
        <f>Z526+Z525+Z522+Z524+Z527+Z523</f>
        <v>3607391.34</v>
      </c>
      <c r="AA520" s="212">
        <v>0</v>
      </c>
      <c r="AB520" s="212">
        <v>0</v>
      </c>
      <c r="AC520" s="213"/>
    </row>
    <row r="521" spans="1:29" ht="23.25" customHeight="1" x14ac:dyDescent="0.3">
      <c r="A521" s="153" t="s">
        <v>109</v>
      </c>
      <c r="B521" s="140"/>
      <c r="C521" s="140"/>
      <c r="D521" s="140"/>
      <c r="E521" s="234"/>
      <c r="F521" s="140"/>
      <c r="G521" s="140"/>
      <c r="H521" s="140"/>
      <c r="I521" s="140"/>
      <c r="J521" s="140"/>
      <c r="K521" s="140"/>
      <c r="L521" s="140"/>
      <c r="M521" s="140"/>
      <c r="N521" s="140"/>
      <c r="O521" s="140"/>
      <c r="P521" s="140"/>
      <c r="Q521" s="140"/>
      <c r="R521" s="140"/>
      <c r="S521" s="140"/>
      <c r="T521" s="140"/>
      <c r="U521" s="161"/>
      <c r="V521" s="206"/>
      <c r="W521" s="206"/>
      <c r="X521" s="206"/>
      <c r="Y521" s="153"/>
      <c r="Z521" s="239"/>
      <c r="AA521" s="212"/>
      <c r="AB521" s="212"/>
      <c r="AC521" s="213"/>
    </row>
    <row r="522" spans="1:29" ht="33" customHeight="1" x14ac:dyDescent="0.3">
      <c r="A522" s="510" t="s">
        <v>791</v>
      </c>
      <c r="B522" s="140" t="s">
        <v>16</v>
      </c>
      <c r="C522" s="140" t="s">
        <v>126</v>
      </c>
      <c r="D522" s="140" t="s">
        <v>122</v>
      </c>
      <c r="E522" s="234" t="s">
        <v>586</v>
      </c>
      <c r="F522" s="140"/>
      <c r="G522" s="140"/>
      <c r="H522" s="140"/>
      <c r="I522" s="140"/>
      <c r="J522" s="140"/>
      <c r="K522" s="140"/>
      <c r="L522" s="140"/>
      <c r="M522" s="140"/>
      <c r="N522" s="140"/>
      <c r="O522" s="140"/>
      <c r="P522" s="140"/>
      <c r="Q522" s="140"/>
      <c r="R522" s="140"/>
      <c r="S522" s="140"/>
      <c r="T522" s="140" t="s">
        <v>427</v>
      </c>
      <c r="U522" s="161"/>
      <c r="V522" s="206"/>
      <c r="W522" s="206"/>
      <c r="X522" s="206"/>
      <c r="Y522" s="153"/>
      <c r="Z522" s="239">
        <v>89000</v>
      </c>
      <c r="AA522" s="212">
        <v>0</v>
      </c>
      <c r="AB522" s="212">
        <v>0</v>
      </c>
      <c r="AC522" s="213"/>
    </row>
    <row r="523" spans="1:29" ht="43.5" customHeight="1" x14ac:dyDescent="0.3">
      <c r="A523" s="269" t="s">
        <v>790</v>
      </c>
      <c r="B523" s="140" t="s">
        <v>16</v>
      </c>
      <c r="C523" s="140" t="s">
        <v>126</v>
      </c>
      <c r="D523" s="140" t="s">
        <v>122</v>
      </c>
      <c r="E523" s="234" t="s">
        <v>586</v>
      </c>
      <c r="F523" s="140"/>
      <c r="G523" s="140"/>
      <c r="H523" s="140"/>
      <c r="I523" s="140"/>
      <c r="J523" s="140"/>
      <c r="K523" s="140"/>
      <c r="L523" s="140"/>
      <c r="M523" s="140"/>
      <c r="N523" s="140"/>
      <c r="O523" s="140"/>
      <c r="P523" s="140"/>
      <c r="Q523" s="140"/>
      <c r="R523" s="140"/>
      <c r="S523" s="140"/>
      <c r="T523" s="140" t="s">
        <v>427</v>
      </c>
      <c r="U523" s="161"/>
      <c r="V523" s="206"/>
      <c r="W523" s="206"/>
      <c r="X523" s="206"/>
      <c r="Y523" s="153"/>
      <c r="Z523" s="239">
        <f>250000+27000</f>
        <v>277000</v>
      </c>
      <c r="AA523" s="212">
        <v>0</v>
      </c>
      <c r="AB523" s="212">
        <v>0</v>
      </c>
      <c r="AC523" s="213"/>
    </row>
    <row r="524" spans="1:29" ht="36.75" customHeight="1" x14ac:dyDescent="0.3">
      <c r="A524" s="510" t="s">
        <v>789</v>
      </c>
      <c r="B524" s="140" t="s">
        <v>16</v>
      </c>
      <c r="C524" s="140" t="s">
        <v>126</v>
      </c>
      <c r="D524" s="140" t="s">
        <v>122</v>
      </c>
      <c r="E524" s="234" t="s">
        <v>586</v>
      </c>
      <c r="F524" s="140"/>
      <c r="G524" s="140"/>
      <c r="H524" s="140"/>
      <c r="I524" s="140"/>
      <c r="J524" s="140"/>
      <c r="K524" s="140"/>
      <c r="L524" s="140"/>
      <c r="M524" s="140"/>
      <c r="N524" s="140"/>
      <c r="O524" s="140"/>
      <c r="P524" s="140"/>
      <c r="Q524" s="140"/>
      <c r="R524" s="140"/>
      <c r="S524" s="140"/>
      <c r="T524" s="140" t="s">
        <v>427</v>
      </c>
      <c r="U524" s="161"/>
      <c r="V524" s="206"/>
      <c r="W524" s="206"/>
      <c r="X524" s="206"/>
      <c r="Y524" s="153"/>
      <c r="Z524" s="239">
        <f>666359-0.69+56320.03</f>
        <v>722678.34000000008</v>
      </c>
      <c r="AA524" s="212">
        <v>0</v>
      </c>
      <c r="AB524" s="212">
        <v>0</v>
      </c>
      <c r="AC524" s="213"/>
    </row>
    <row r="525" spans="1:29" ht="38.25" customHeight="1" x14ac:dyDescent="0.3">
      <c r="A525" s="510" t="s">
        <v>774</v>
      </c>
      <c r="B525" s="140" t="s">
        <v>16</v>
      </c>
      <c r="C525" s="140" t="s">
        <v>126</v>
      </c>
      <c r="D525" s="140" t="s">
        <v>122</v>
      </c>
      <c r="E525" s="234" t="s">
        <v>586</v>
      </c>
      <c r="F525" s="140"/>
      <c r="G525" s="140"/>
      <c r="H525" s="140"/>
      <c r="I525" s="140"/>
      <c r="J525" s="140"/>
      <c r="K525" s="140"/>
      <c r="L525" s="140"/>
      <c r="M525" s="140"/>
      <c r="N525" s="140"/>
      <c r="O525" s="140"/>
      <c r="P525" s="140"/>
      <c r="Q525" s="140"/>
      <c r="R525" s="140"/>
      <c r="S525" s="140"/>
      <c r="T525" s="140" t="s">
        <v>427</v>
      </c>
      <c r="U525" s="161"/>
      <c r="V525" s="206"/>
      <c r="W525" s="206"/>
      <c r="X525" s="206"/>
      <c r="Y525" s="153"/>
      <c r="Z525" s="239">
        <f>608455+200000</f>
        <v>808455</v>
      </c>
      <c r="AA525" s="212">
        <v>0</v>
      </c>
      <c r="AB525" s="212">
        <v>0</v>
      </c>
      <c r="AC525" s="213"/>
    </row>
    <row r="526" spans="1:29" ht="36.75" customHeight="1" x14ac:dyDescent="0.3">
      <c r="A526" s="510" t="s">
        <v>793</v>
      </c>
      <c r="B526" s="140" t="s">
        <v>16</v>
      </c>
      <c r="C526" s="140" t="s">
        <v>126</v>
      </c>
      <c r="D526" s="140" t="s">
        <v>122</v>
      </c>
      <c r="E526" s="234" t="s">
        <v>586</v>
      </c>
      <c r="F526" s="140"/>
      <c r="G526" s="140"/>
      <c r="H526" s="140"/>
      <c r="I526" s="140"/>
      <c r="J526" s="140"/>
      <c r="K526" s="140"/>
      <c r="L526" s="140"/>
      <c r="M526" s="140"/>
      <c r="N526" s="140"/>
      <c r="O526" s="140"/>
      <c r="P526" s="140"/>
      <c r="Q526" s="140"/>
      <c r="R526" s="140"/>
      <c r="S526" s="140"/>
      <c r="T526" s="140" t="s">
        <v>427</v>
      </c>
      <c r="U526" s="161"/>
      <c r="V526" s="206"/>
      <c r="W526" s="206"/>
      <c r="X526" s="206"/>
      <c r="Y526" s="153"/>
      <c r="Z526" s="239">
        <f>548800+200000</f>
        <v>748800</v>
      </c>
      <c r="AA526" s="212">
        <v>0</v>
      </c>
      <c r="AB526" s="212">
        <v>0</v>
      </c>
      <c r="AC526" s="213"/>
    </row>
    <row r="527" spans="1:29" ht="33.75" customHeight="1" x14ac:dyDescent="0.3">
      <c r="A527" s="908" t="s">
        <v>792</v>
      </c>
      <c r="B527" s="707" t="s">
        <v>16</v>
      </c>
      <c r="C527" s="707" t="s">
        <v>126</v>
      </c>
      <c r="D527" s="707" t="s">
        <v>122</v>
      </c>
      <c r="E527" s="706" t="s">
        <v>586</v>
      </c>
      <c r="F527" s="707"/>
      <c r="G527" s="707"/>
      <c r="H527" s="707"/>
      <c r="I527" s="707"/>
      <c r="J527" s="707"/>
      <c r="K527" s="707"/>
      <c r="L527" s="707"/>
      <c r="M527" s="707"/>
      <c r="N527" s="707"/>
      <c r="O527" s="707"/>
      <c r="P527" s="707"/>
      <c r="Q527" s="707"/>
      <c r="R527" s="707"/>
      <c r="S527" s="707"/>
      <c r="T527" s="707" t="s">
        <v>427</v>
      </c>
      <c r="U527" s="880"/>
      <c r="V527" s="881"/>
      <c r="W527" s="881"/>
      <c r="X527" s="881"/>
      <c r="Y527" s="228"/>
      <c r="Z527" s="882">
        <v>961458</v>
      </c>
      <c r="AA527" s="212">
        <v>0</v>
      </c>
      <c r="AB527" s="212">
        <v>0</v>
      </c>
      <c r="AC527" s="213"/>
    </row>
    <row r="528" spans="1:29" ht="36.75" customHeight="1" x14ac:dyDescent="0.3">
      <c r="A528" s="159" t="s">
        <v>403</v>
      </c>
      <c r="B528" s="140" t="s">
        <v>16</v>
      </c>
      <c r="C528" s="140" t="s">
        <v>128</v>
      </c>
      <c r="D528" s="140" t="s">
        <v>133</v>
      </c>
      <c r="E528" s="234"/>
      <c r="F528" s="140"/>
      <c r="G528" s="140"/>
      <c r="H528" s="140"/>
      <c r="I528" s="140"/>
      <c r="J528" s="140"/>
      <c r="K528" s="140"/>
      <c r="L528" s="140"/>
      <c r="M528" s="140"/>
      <c r="N528" s="140"/>
      <c r="O528" s="140"/>
      <c r="P528" s="140"/>
      <c r="Q528" s="140"/>
      <c r="R528" s="140"/>
      <c r="S528" s="140"/>
      <c r="T528" s="140"/>
      <c r="U528" s="161"/>
      <c r="V528" s="206"/>
      <c r="W528" s="206"/>
      <c r="X528" s="206"/>
      <c r="Y528" s="153"/>
      <c r="Z528" s="239">
        <f>Z529</f>
        <v>284671.56</v>
      </c>
      <c r="AA528" s="212">
        <v>0</v>
      </c>
      <c r="AB528" s="212">
        <v>0</v>
      </c>
      <c r="AC528" s="213"/>
    </row>
    <row r="529" spans="1:29" ht="23.25" customHeight="1" x14ac:dyDescent="0.3">
      <c r="A529" s="159" t="s">
        <v>166</v>
      </c>
      <c r="B529" s="140" t="s">
        <v>16</v>
      </c>
      <c r="C529" s="140" t="s">
        <v>128</v>
      </c>
      <c r="D529" s="140" t="s">
        <v>132</v>
      </c>
      <c r="E529" s="234"/>
      <c r="F529" s="140"/>
      <c r="G529" s="140"/>
      <c r="H529" s="140"/>
      <c r="I529" s="140"/>
      <c r="J529" s="140"/>
      <c r="K529" s="140"/>
      <c r="L529" s="140"/>
      <c r="M529" s="140"/>
      <c r="N529" s="140"/>
      <c r="O529" s="140"/>
      <c r="P529" s="140"/>
      <c r="Q529" s="140"/>
      <c r="R529" s="140"/>
      <c r="S529" s="140"/>
      <c r="T529" s="140"/>
      <c r="U529" s="161"/>
      <c r="V529" s="206"/>
      <c r="W529" s="206"/>
      <c r="X529" s="206"/>
      <c r="Y529" s="153"/>
      <c r="Z529" s="239">
        <f>Z530</f>
        <v>284671.56</v>
      </c>
      <c r="AA529" s="212">
        <v>0</v>
      </c>
      <c r="AB529" s="212">
        <v>0</v>
      </c>
      <c r="AC529" s="213"/>
    </row>
    <row r="530" spans="1:29" ht="169.5" customHeight="1" x14ac:dyDescent="0.3">
      <c r="A530" s="492" t="s">
        <v>1490</v>
      </c>
      <c r="B530" s="140" t="s">
        <v>16</v>
      </c>
      <c r="C530" s="140" t="s">
        <v>128</v>
      </c>
      <c r="D530" s="140" t="s">
        <v>132</v>
      </c>
      <c r="E530" s="234" t="s">
        <v>996</v>
      </c>
      <c r="F530" s="140"/>
      <c r="G530" s="140"/>
      <c r="H530" s="140"/>
      <c r="I530" s="140"/>
      <c r="J530" s="140"/>
      <c r="K530" s="140"/>
      <c r="L530" s="140"/>
      <c r="M530" s="140"/>
      <c r="N530" s="140"/>
      <c r="O530" s="140"/>
      <c r="P530" s="140"/>
      <c r="Q530" s="140"/>
      <c r="R530" s="140"/>
      <c r="S530" s="140"/>
      <c r="T530" s="140"/>
      <c r="U530" s="161"/>
      <c r="V530" s="206"/>
      <c r="W530" s="206"/>
      <c r="X530" s="206"/>
      <c r="Y530" s="153"/>
      <c r="Z530" s="239">
        <f>Z531</f>
        <v>284671.56</v>
      </c>
      <c r="AA530" s="212">
        <v>0</v>
      </c>
      <c r="AB530" s="212">
        <v>0</v>
      </c>
      <c r="AC530" s="213"/>
    </row>
    <row r="531" spans="1:29" ht="36.75" customHeight="1" x14ac:dyDescent="0.3">
      <c r="A531" s="153" t="s">
        <v>773</v>
      </c>
      <c r="B531" s="140" t="s">
        <v>16</v>
      </c>
      <c r="C531" s="140" t="s">
        <v>128</v>
      </c>
      <c r="D531" s="140" t="s">
        <v>132</v>
      </c>
      <c r="E531" s="234" t="s">
        <v>996</v>
      </c>
      <c r="F531" s="140"/>
      <c r="G531" s="140"/>
      <c r="H531" s="140"/>
      <c r="I531" s="140"/>
      <c r="J531" s="140"/>
      <c r="K531" s="140"/>
      <c r="L531" s="140"/>
      <c r="M531" s="140"/>
      <c r="N531" s="140"/>
      <c r="O531" s="140"/>
      <c r="P531" s="140"/>
      <c r="Q531" s="140"/>
      <c r="R531" s="140"/>
      <c r="S531" s="140"/>
      <c r="T531" s="140" t="s">
        <v>427</v>
      </c>
      <c r="U531" s="161"/>
      <c r="V531" s="206"/>
      <c r="W531" s="206"/>
      <c r="X531" s="206"/>
      <c r="Y531" s="153"/>
      <c r="Z531" s="239">
        <f>Z533+Z534</f>
        <v>284671.56</v>
      </c>
      <c r="AA531" s="212">
        <v>0</v>
      </c>
      <c r="AB531" s="212">
        <v>0</v>
      </c>
      <c r="AC531" s="213"/>
    </row>
    <row r="532" spans="1:29" ht="21.75" customHeight="1" x14ac:dyDescent="0.3">
      <c r="A532" s="153" t="s">
        <v>109</v>
      </c>
      <c r="B532" s="140"/>
      <c r="C532" s="140"/>
      <c r="D532" s="140"/>
      <c r="E532" s="234"/>
      <c r="F532" s="140"/>
      <c r="G532" s="140"/>
      <c r="H532" s="140"/>
      <c r="I532" s="140"/>
      <c r="J532" s="140"/>
      <c r="K532" s="140"/>
      <c r="L532" s="140"/>
      <c r="M532" s="140"/>
      <c r="N532" s="140"/>
      <c r="O532" s="140"/>
      <c r="P532" s="140"/>
      <c r="Q532" s="140"/>
      <c r="R532" s="140"/>
      <c r="S532" s="140"/>
      <c r="T532" s="140"/>
      <c r="U532" s="161"/>
      <c r="V532" s="206"/>
      <c r="W532" s="206"/>
      <c r="X532" s="206"/>
      <c r="Y532" s="153"/>
      <c r="Z532" s="239"/>
      <c r="AA532" s="212"/>
      <c r="AB532" s="212"/>
      <c r="AC532" s="213"/>
    </row>
    <row r="533" spans="1:29" ht="30.75" customHeight="1" x14ac:dyDescent="0.3">
      <c r="A533" s="510" t="s">
        <v>788</v>
      </c>
      <c r="B533" s="140" t="s">
        <v>16</v>
      </c>
      <c r="C533" s="140" t="s">
        <v>128</v>
      </c>
      <c r="D533" s="140" t="s">
        <v>132</v>
      </c>
      <c r="E533" s="234" t="s">
        <v>996</v>
      </c>
      <c r="F533" s="140"/>
      <c r="G533" s="140"/>
      <c r="H533" s="140"/>
      <c r="I533" s="140"/>
      <c r="J533" s="140"/>
      <c r="K533" s="140"/>
      <c r="L533" s="140"/>
      <c r="M533" s="140"/>
      <c r="N533" s="140"/>
      <c r="O533" s="140"/>
      <c r="P533" s="140"/>
      <c r="Q533" s="140"/>
      <c r="R533" s="140"/>
      <c r="S533" s="140"/>
      <c r="T533" s="140" t="s">
        <v>427</v>
      </c>
      <c r="U533" s="161"/>
      <c r="V533" s="206"/>
      <c r="W533" s="206"/>
      <c r="X533" s="206"/>
      <c r="Y533" s="153"/>
      <c r="Z533" s="239">
        <f>86671.56+138000</f>
        <v>224671.56</v>
      </c>
      <c r="AA533" s="212">
        <v>0</v>
      </c>
      <c r="AB533" s="212">
        <v>0</v>
      </c>
      <c r="AC533" s="213"/>
    </row>
    <row r="534" spans="1:29" ht="29.25" customHeight="1" x14ac:dyDescent="0.3">
      <c r="A534" s="510" t="s">
        <v>1497</v>
      </c>
      <c r="B534" s="140" t="s">
        <v>16</v>
      </c>
      <c r="C534" s="140" t="s">
        <v>128</v>
      </c>
      <c r="D534" s="140" t="s">
        <v>132</v>
      </c>
      <c r="E534" s="234" t="s">
        <v>996</v>
      </c>
      <c r="F534" s="140"/>
      <c r="G534" s="140"/>
      <c r="H534" s="140"/>
      <c r="I534" s="140"/>
      <c r="J534" s="140"/>
      <c r="K534" s="140"/>
      <c r="L534" s="140"/>
      <c r="M534" s="140"/>
      <c r="N534" s="140"/>
      <c r="O534" s="140"/>
      <c r="P534" s="140"/>
      <c r="Q534" s="140"/>
      <c r="R534" s="140"/>
      <c r="S534" s="140"/>
      <c r="T534" s="140" t="s">
        <v>427</v>
      </c>
      <c r="U534" s="161"/>
      <c r="V534" s="206"/>
      <c r="W534" s="206"/>
      <c r="X534" s="206"/>
      <c r="Y534" s="153"/>
      <c r="Z534" s="239">
        <v>60000</v>
      </c>
      <c r="AA534" s="212">
        <v>0</v>
      </c>
      <c r="AB534" s="212">
        <v>0</v>
      </c>
      <c r="AC534" s="213"/>
    </row>
    <row r="535" spans="1:29" ht="93" customHeight="1" x14ac:dyDescent="0.3">
      <c r="A535" s="159" t="s">
        <v>718</v>
      </c>
      <c r="B535" s="160" t="s">
        <v>16</v>
      </c>
      <c r="C535" s="160" t="s">
        <v>131</v>
      </c>
      <c r="D535" s="160" t="s">
        <v>133</v>
      </c>
      <c r="E535" s="160"/>
      <c r="F535" s="160"/>
      <c r="G535" s="160"/>
      <c r="H535" s="160"/>
      <c r="I535" s="160"/>
      <c r="J535" s="160"/>
      <c r="K535" s="160"/>
      <c r="L535" s="160"/>
      <c r="M535" s="160"/>
      <c r="N535" s="160"/>
      <c r="O535" s="160"/>
      <c r="P535" s="160"/>
      <c r="Q535" s="160"/>
      <c r="R535" s="160"/>
      <c r="S535" s="160"/>
      <c r="T535" s="160"/>
      <c r="U535" s="160"/>
      <c r="V535" s="214"/>
      <c r="W535" s="214"/>
      <c r="X535" s="214"/>
      <c r="Y535" s="159" t="s">
        <v>424</v>
      </c>
      <c r="Z535" s="215">
        <f t="shared" ref="Z535:AB537" si="20">Z536</f>
        <v>21804570.870000001</v>
      </c>
      <c r="AA535" s="215">
        <f t="shared" si="20"/>
        <v>22408600</v>
      </c>
      <c r="AB535" s="215">
        <f t="shared" si="20"/>
        <v>22427900</v>
      </c>
      <c r="AC535" s="292" t="s">
        <v>424</v>
      </c>
    </row>
    <row r="536" spans="1:29" ht="74.45" customHeight="1" x14ac:dyDescent="0.3">
      <c r="A536" s="159" t="s">
        <v>169</v>
      </c>
      <c r="B536" s="160" t="s">
        <v>16</v>
      </c>
      <c r="C536" s="160" t="s">
        <v>131</v>
      </c>
      <c r="D536" s="160" t="s">
        <v>122</v>
      </c>
      <c r="E536" s="160"/>
      <c r="F536" s="160"/>
      <c r="G536" s="160"/>
      <c r="H536" s="160"/>
      <c r="I536" s="160"/>
      <c r="J536" s="160"/>
      <c r="K536" s="160"/>
      <c r="L536" s="160"/>
      <c r="M536" s="160"/>
      <c r="N536" s="160"/>
      <c r="O536" s="160"/>
      <c r="P536" s="160"/>
      <c r="Q536" s="160"/>
      <c r="R536" s="160"/>
      <c r="S536" s="160"/>
      <c r="T536" s="160"/>
      <c r="U536" s="160"/>
      <c r="V536" s="214"/>
      <c r="W536" s="214"/>
      <c r="X536" s="214"/>
      <c r="Y536" s="159" t="s">
        <v>169</v>
      </c>
      <c r="Z536" s="215">
        <f>Z537+Z539</f>
        <v>21804570.870000001</v>
      </c>
      <c r="AA536" s="215">
        <f>AA537+AA539</f>
        <v>22408600</v>
      </c>
      <c r="AB536" s="215">
        <f>AB537+AB539</f>
        <v>22427900</v>
      </c>
      <c r="AC536" s="292" t="s">
        <v>169</v>
      </c>
    </row>
    <row r="537" spans="1:29" ht="180.75" customHeight="1" x14ac:dyDescent="0.3">
      <c r="A537" s="155" t="s">
        <v>1348</v>
      </c>
      <c r="B537" s="234" t="s">
        <v>16</v>
      </c>
      <c r="C537" s="234" t="s">
        <v>131</v>
      </c>
      <c r="D537" s="234" t="s">
        <v>122</v>
      </c>
      <c r="E537" s="234" t="s">
        <v>1112</v>
      </c>
      <c r="F537" s="234"/>
      <c r="G537" s="234"/>
      <c r="H537" s="234"/>
      <c r="I537" s="234"/>
      <c r="J537" s="234"/>
      <c r="K537" s="234"/>
      <c r="L537" s="234"/>
      <c r="M537" s="234"/>
      <c r="N537" s="234"/>
      <c r="O537" s="234"/>
      <c r="P537" s="234"/>
      <c r="Q537" s="234"/>
      <c r="R537" s="234"/>
      <c r="S537" s="234"/>
      <c r="T537" s="234"/>
      <c r="U537" s="161"/>
      <c r="V537" s="206"/>
      <c r="W537" s="206"/>
      <c r="X537" s="206"/>
      <c r="Y537" s="155" t="s">
        <v>425</v>
      </c>
      <c r="Z537" s="239">
        <f t="shared" si="20"/>
        <v>20000000</v>
      </c>
      <c r="AA537" s="239">
        <f t="shared" si="20"/>
        <v>20000000</v>
      </c>
      <c r="AB537" s="239">
        <f t="shared" si="20"/>
        <v>20000000</v>
      </c>
      <c r="AC537" s="573" t="s">
        <v>425</v>
      </c>
    </row>
    <row r="538" spans="1:29" ht="32.25" customHeight="1" x14ac:dyDescent="0.3">
      <c r="A538" s="154" t="s">
        <v>1111</v>
      </c>
      <c r="B538" s="140" t="s">
        <v>16</v>
      </c>
      <c r="C538" s="140" t="s">
        <v>131</v>
      </c>
      <c r="D538" s="140" t="s">
        <v>122</v>
      </c>
      <c r="E538" s="234" t="s">
        <v>1112</v>
      </c>
      <c r="F538" s="140"/>
      <c r="G538" s="140"/>
      <c r="H538" s="140"/>
      <c r="I538" s="140"/>
      <c r="J538" s="140"/>
      <c r="K538" s="140"/>
      <c r="L538" s="140"/>
      <c r="M538" s="140"/>
      <c r="N538" s="140"/>
      <c r="O538" s="140"/>
      <c r="P538" s="140"/>
      <c r="Q538" s="140"/>
      <c r="R538" s="140"/>
      <c r="S538" s="140"/>
      <c r="T538" s="140" t="s">
        <v>427</v>
      </c>
      <c r="U538" s="136"/>
      <c r="V538" s="137"/>
      <c r="W538" s="137"/>
      <c r="X538" s="137"/>
      <c r="Y538" s="154" t="s">
        <v>426</v>
      </c>
      <c r="Z538" s="212">
        <v>20000000</v>
      </c>
      <c r="AA538" s="212">
        <v>20000000</v>
      </c>
      <c r="AB538" s="212">
        <v>20000000</v>
      </c>
      <c r="AC538" s="569" t="s">
        <v>426</v>
      </c>
    </row>
    <row r="539" spans="1:29" ht="225.75" customHeight="1" x14ac:dyDescent="0.3">
      <c r="A539" s="155" t="s">
        <v>1330</v>
      </c>
      <c r="B539" s="140" t="s">
        <v>16</v>
      </c>
      <c r="C539" s="140" t="s">
        <v>131</v>
      </c>
      <c r="D539" s="140" t="s">
        <v>122</v>
      </c>
      <c r="E539" s="234" t="s">
        <v>1110</v>
      </c>
      <c r="F539" s="140"/>
      <c r="G539" s="140"/>
      <c r="H539" s="140"/>
      <c r="I539" s="140"/>
      <c r="J539" s="140"/>
      <c r="K539" s="140"/>
      <c r="L539" s="140"/>
      <c r="M539" s="140"/>
      <c r="N539" s="140"/>
      <c r="O539" s="140"/>
      <c r="P539" s="140"/>
      <c r="Q539" s="140"/>
      <c r="R539" s="140"/>
      <c r="S539" s="140"/>
      <c r="T539" s="140"/>
      <c r="U539" s="136"/>
      <c r="V539" s="137"/>
      <c r="W539" s="137"/>
      <c r="X539" s="137"/>
      <c r="Y539" s="154"/>
      <c r="Z539" s="212">
        <f>Z540</f>
        <v>1804570.87</v>
      </c>
      <c r="AA539" s="212">
        <f>AA540</f>
        <v>2408600</v>
      </c>
      <c r="AB539" s="212">
        <f>AB540</f>
        <v>2427900</v>
      </c>
      <c r="AC539" s="569"/>
    </row>
    <row r="540" spans="1:29" ht="40.5" customHeight="1" x14ac:dyDescent="0.3">
      <c r="A540" s="154" t="s">
        <v>1111</v>
      </c>
      <c r="B540" s="140" t="s">
        <v>16</v>
      </c>
      <c r="C540" s="140" t="s">
        <v>131</v>
      </c>
      <c r="D540" s="140" t="s">
        <v>122</v>
      </c>
      <c r="E540" s="234" t="s">
        <v>1110</v>
      </c>
      <c r="F540" s="140"/>
      <c r="G540" s="140"/>
      <c r="H540" s="140"/>
      <c r="I540" s="140"/>
      <c r="J540" s="140"/>
      <c r="K540" s="140"/>
      <c r="L540" s="140"/>
      <c r="M540" s="140"/>
      <c r="N540" s="140"/>
      <c r="O540" s="140"/>
      <c r="P540" s="140"/>
      <c r="Q540" s="140"/>
      <c r="R540" s="140"/>
      <c r="S540" s="140"/>
      <c r="T540" s="140" t="s">
        <v>427</v>
      </c>
      <c r="U540" s="136"/>
      <c r="V540" s="137"/>
      <c r="W540" s="137"/>
      <c r="X540" s="137"/>
      <c r="Y540" s="154"/>
      <c r="Z540" s="212">
        <f>2378300-573729.13</f>
        <v>1804570.87</v>
      </c>
      <c r="AA540" s="212">
        <v>2408600</v>
      </c>
      <c r="AB540" s="212">
        <v>2427900</v>
      </c>
      <c r="AC540" s="569"/>
    </row>
    <row r="541" spans="1:29" ht="55.9" customHeight="1" x14ac:dyDescent="0.3">
      <c r="A541" s="159" t="s">
        <v>719</v>
      </c>
      <c r="B541" s="160" t="s">
        <v>18</v>
      </c>
      <c r="C541" s="160"/>
      <c r="D541" s="160"/>
      <c r="E541" s="160"/>
      <c r="F541" s="160"/>
      <c r="G541" s="160"/>
      <c r="H541" s="160"/>
      <c r="I541" s="160"/>
      <c r="J541" s="160"/>
      <c r="K541" s="160"/>
      <c r="L541" s="160"/>
      <c r="M541" s="160"/>
      <c r="N541" s="160"/>
      <c r="O541" s="160"/>
      <c r="P541" s="160"/>
      <c r="Q541" s="160"/>
      <c r="R541" s="160"/>
      <c r="S541" s="160"/>
      <c r="T541" s="160"/>
      <c r="U541" s="160"/>
      <c r="V541" s="214"/>
      <c r="W541" s="214"/>
      <c r="X541" s="214"/>
      <c r="Y541" s="159" t="s">
        <v>428</v>
      </c>
      <c r="Z541" s="215">
        <f>Z542+Z627</f>
        <v>510513372.96999997</v>
      </c>
      <c r="AA541" s="215">
        <f>AA542+AA627</f>
        <v>492709431.63999993</v>
      </c>
      <c r="AB541" s="215">
        <f>AB542+AB627</f>
        <v>516947404.33999997</v>
      </c>
      <c r="AC541" s="292" t="s">
        <v>428</v>
      </c>
    </row>
    <row r="542" spans="1:29" ht="18.600000000000001" customHeight="1" x14ac:dyDescent="0.3">
      <c r="A542" s="159" t="s">
        <v>366</v>
      </c>
      <c r="B542" s="160" t="s">
        <v>18</v>
      </c>
      <c r="C542" s="160" t="s">
        <v>138</v>
      </c>
      <c r="D542" s="160" t="s">
        <v>133</v>
      </c>
      <c r="E542" s="160"/>
      <c r="F542" s="160"/>
      <c r="G542" s="160"/>
      <c r="H542" s="160"/>
      <c r="I542" s="160"/>
      <c r="J542" s="160"/>
      <c r="K542" s="160"/>
      <c r="L542" s="160"/>
      <c r="M542" s="160"/>
      <c r="N542" s="160"/>
      <c r="O542" s="160"/>
      <c r="P542" s="160"/>
      <c r="Q542" s="160"/>
      <c r="R542" s="160"/>
      <c r="S542" s="160"/>
      <c r="T542" s="160"/>
      <c r="U542" s="160"/>
      <c r="V542" s="214"/>
      <c r="W542" s="214"/>
      <c r="X542" s="214"/>
      <c r="Y542" s="159" t="s">
        <v>366</v>
      </c>
      <c r="Z542" s="215">
        <f>Z543+Z558+Z595+Z606</f>
        <v>481880522.83999997</v>
      </c>
      <c r="AA542" s="215">
        <f>AA543+AA558+AA595+AA606</f>
        <v>463001468.95999992</v>
      </c>
      <c r="AB542" s="215">
        <f>AB543+AB558+AB595+AB606</f>
        <v>486648512.77999997</v>
      </c>
      <c r="AC542" s="292" t="s">
        <v>366</v>
      </c>
    </row>
    <row r="543" spans="1:29" ht="18.600000000000001" customHeight="1" x14ac:dyDescent="0.3">
      <c r="A543" s="159" t="s">
        <v>155</v>
      </c>
      <c r="B543" s="160" t="s">
        <v>18</v>
      </c>
      <c r="C543" s="160" t="s">
        <v>138</v>
      </c>
      <c r="D543" s="160" t="s">
        <v>122</v>
      </c>
      <c r="E543" s="160"/>
      <c r="F543" s="160"/>
      <c r="G543" s="160"/>
      <c r="H543" s="160"/>
      <c r="I543" s="160"/>
      <c r="J543" s="160"/>
      <c r="K543" s="160"/>
      <c r="L543" s="160"/>
      <c r="M543" s="160"/>
      <c r="N543" s="160"/>
      <c r="O543" s="160"/>
      <c r="P543" s="160"/>
      <c r="Q543" s="160"/>
      <c r="R543" s="160"/>
      <c r="S543" s="160"/>
      <c r="T543" s="160"/>
      <c r="U543" s="160"/>
      <c r="V543" s="214"/>
      <c r="W543" s="214"/>
      <c r="X543" s="214"/>
      <c r="Y543" s="159" t="s">
        <v>155</v>
      </c>
      <c r="Z543" s="215">
        <f>Z544+Z550+Z552+Z554+Z556+Z546+Z549</f>
        <v>130011129.13999999</v>
      </c>
      <c r="AA543" s="215">
        <f>AA544+AA550+AA552+AA554+AA556+AA546+AA548</f>
        <v>136187868.88999999</v>
      </c>
      <c r="AB543" s="215">
        <f>AB544+AB550+AB552+AB554+AB556+AB546+AB548</f>
        <v>148067405.03</v>
      </c>
      <c r="AC543" s="292" t="s">
        <v>155</v>
      </c>
    </row>
    <row r="544" spans="1:29" ht="0.75" customHeight="1" x14ac:dyDescent="0.3">
      <c r="A544" s="493" t="s">
        <v>766</v>
      </c>
      <c r="B544" s="234" t="s">
        <v>18</v>
      </c>
      <c r="C544" s="234" t="s">
        <v>138</v>
      </c>
      <c r="D544" s="234" t="s">
        <v>122</v>
      </c>
      <c r="E544" s="234" t="s">
        <v>765</v>
      </c>
      <c r="F544" s="234"/>
      <c r="G544" s="234"/>
      <c r="H544" s="234"/>
      <c r="I544" s="234"/>
      <c r="J544" s="234"/>
      <c r="K544" s="234"/>
      <c r="L544" s="234"/>
      <c r="M544" s="234"/>
      <c r="N544" s="234"/>
      <c r="O544" s="234"/>
      <c r="P544" s="234"/>
      <c r="Q544" s="234"/>
      <c r="R544" s="234"/>
      <c r="S544" s="234"/>
      <c r="T544" s="234"/>
      <c r="U544" s="160"/>
      <c r="V544" s="214"/>
      <c r="W544" s="214"/>
      <c r="X544" s="214"/>
      <c r="Y544" s="159"/>
      <c r="Z544" s="239">
        <f>Z545</f>
        <v>0</v>
      </c>
      <c r="AA544" s="239">
        <f>AA545</f>
        <v>0</v>
      </c>
      <c r="AB544" s="239">
        <f>AB545</f>
        <v>0</v>
      </c>
      <c r="AC544" s="292"/>
    </row>
    <row r="545" spans="1:31" ht="100.5" hidden="1" customHeight="1" x14ac:dyDescent="0.3">
      <c r="A545" s="135" t="s">
        <v>764</v>
      </c>
      <c r="B545" s="140" t="s">
        <v>18</v>
      </c>
      <c r="C545" s="140" t="s">
        <v>138</v>
      </c>
      <c r="D545" s="140" t="s">
        <v>122</v>
      </c>
      <c r="E545" s="234" t="s">
        <v>765</v>
      </c>
      <c r="F545" s="140"/>
      <c r="G545" s="140"/>
      <c r="H545" s="140"/>
      <c r="I545" s="140"/>
      <c r="J545" s="140"/>
      <c r="K545" s="140"/>
      <c r="L545" s="140"/>
      <c r="M545" s="140"/>
      <c r="N545" s="140"/>
      <c r="O545" s="140"/>
      <c r="P545" s="140"/>
      <c r="Q545" s="140"/>
      <c r="R545" s="140"/>
      <c r="S545" s="140"/>
      <c r="T545" s="140" t="s">
        <v>294</v>
      </c>
      <c r="U545" s="160"/>
      <c r="V545" s="214"/>
      <c r="W545" s="214"/>
      <c r="X545" s="214"/>
      <c r="Y545" s="159"/>
      <c r="Z545" s="239">
        <v>0</v>
      </c>
      <c r="AA545" s="239">
        <v>0</v>
      </c>
      <c r="AB545" s="239">
        <v>0</v>
      </c>
      <c r="AC545" s="292"/>
    </row>
    <row r="546" spans="1:31" ht="181.5" customHeight="1" x14ac:dyDescent="0.3">
      <c r="A546" s="153" t="s">
        <v>1266</v>
      </c>
      <c r="B546" s="234" t="s">
        <v>18</v>
      </c>
      <c r="C546" s="234" t="s">
        <v>138</v>
      </c>
      <c r="D546" s="234" t="s">
        <v>122</v>
      </c>
      <c r="E546" s="234" t="s">
        <v>779</v>
      </c>
      <c r="F546" s="234"/>
      <c r="G546" s="234"/>
      <c r="H546" s="234"/>
      <c r="I546" s="234"/>
      <c r="J546" s="234"/>
      <c r="K546" s="234"/>
      <c r="L546" s="234"/>
      <c r="M546" s="234"/>
      <c r="N546" s="234"/>
      <c r="O546" s="234"/>
      <c r="P546" s="234"/>
      <c r="Q546" s="234"/>
      <c r="R546" s="234"/>
      <c r="S546" s="234"/>
      <c r="T546" s="234"/>
      <c r="U546" s="160"/>
      <c r="V546" s="214"/>
      <c r="W546" s="214"/>
      <c r="X546" s="214"/>
      <c r="Y546" s="159"/>
      <c r="Z546" s="239">
        <f>Z547</f>
        <v>300000</v>
      </c>
      <c r="AA546" s="239">
        <f>AA547</f>
        <v>100000</v>
      </c>
      <c r="AB546" s="239">
        <f>AB547</f>
        <v>100000</v>
      </c>
      <c r="AC546" s="292"/>
      <c r="AE546" s="127"/>
    </row>
    <row r="547" spans="1:31" ht="73.5" customHeight="1" x14ac:dyDescent="0.3">
      <c r="A547" s="135" t="s">
        <v>711</v>
      </c>
      <c r="B547" s="140" t="s">
        <v>18</v>
      </c>
      <c r="C547" s="140" t="s">
        <v>138</v>
      </c>
      <c r="D547" s="140" t="s">
        <v>122</v>
      </c>
      <c r="E547" s="234" t="s">
        <v>779</v>
      </c>
      <c r="F547" s="140"/>
      <c r="G547" s="140"/>
      <c r="H547" s="140"/>
      <c r="I547" s="140"/>
      <c r="J547" s="140"/>
      <c r="K547" s="140"/>
      <c r="L547" s="140"/>
      <c r="M547" s="140"/>
      <c r="N547" s="140"/>
      <c r="O547" s="140"/>
      <c r="P547" s="140"/>
      <c r="Q547" s="140"/>
      <c r="R547" s="140"/>
      <c r="S547" s="140"/>
      <c r="T547" s="140" t="s">
        <v>294</v>
      </c>
      <c r="U547" s="160"/>
      <c r="V547" s="214"/>
      <c r="W547" s="214"/>
      <c r="X547" s="214"/>
      <c r="Y547" s="159"/>
      <c r="Z547" s="239">
        <v>300000</v>
      </c>
      <c r="AA547" s="239">
        <v>100000</v>
      </c>
      <c r="AB547" s="239">
        <v>100000</v>
      </c>
      <c r="AC547" s="292"/>
      <c r="AD547" s="742"/>
      <c r="AE547" s="127"/>
    </row>
    <row r="548" spans="1:31" ht="134.25" customHeight="1" x14ac:dyDescent="0.3">
      <c r="A548" s="155" t="s">
        <v>1349</v>
      </c>
      <c r="B548" s="140" t="s">
        <v>18</v>
      </c>
      <c r="C548" s="140" t="s">
        <v>138</v>
      </c>
      <c r="D548" s="140" t="s">
        <v>122</v>
      </c>
      <c r="E548" s="234" t="s">
        <v>1119</v>
      </c>
      <c r="F548" s="140"/>
      <c r="G548" s="140"/>
      <c r="H548" s="140"/>
      <c r="I548" s="140"/>
      <c r="J548" s="140"/>
      <c r="K548" s="140"/>
      <c r="L548" s="140"/>
      <c r="M548" s="140"/>
      <c r="N548" s="140"/>
      <c r="O548" s="140"/>
      <c r="P548" s="140"/>
      <c r="Q548" s="140"/>
      <c r="R548" s="140"/>
      <c r="S548" s="140"/>
      <c r="T548" s="140"/>
      <c r="U548" s="160"/>
      <c r="V548" s="214"/>
      <c r="W548" s="214"/>
      <c r="X548" s="214"/>
      <c r="Y548" s="159"/>
      <c r="Z548" s="239">
        <f>Z549</f>
        <v>66011123.019999996</v>
      </c>
      <c r="AA548" s="239">
        <f>AA549</f>
        <v>73403958.049999997</v>
      </c>
      <c r="AB548" s="239">
        <f>AB549</f>
        <v>73611170.960000008</v>
      </c>
      <c r="AC548" s="292"/>
      <c r="AE548" s="127"/>
    </row>
    <row r="549" spans="1:31" ht="60.75" customHeight="1" x14ac:dyDescent="0.3">
      <c r="A549" s="135" t="s">
        <v>711</v>
      </c>
      <c r="B549" s="140" t="s">
        <v>18</v>
      </c>
      <c r="C549" s="140" t="s">
        <v>138</v>
      </c>
      <c r="D549" s="140" t="s">
        <v>122</v>
      </c>
      <c r="E549" s="234" t="s">
        <v>1119</v>
      </c>
      <c r="F549" s="140"/>
      <c r="G549" s="140"/>
      <c r="H549" s="140"/>
      <c r="I549" s="140"/>
      <c r="J549" s="140"/>
      <c r="K549" s="140"/>
      <c r="L549" s="140"/>
      <c r="M549" s="140"/>
      <c r="N549" s="140"/>
      <c r="O549" s="140"/>
      <c r="P549" s="140"/>
      <c r="Q549" s="140"/>
      <c r="R549" s="140"/>
      <c r="S549" s="140"/>
      <c r="T549" s="140" t="s">
        <v>294</v>
      </c>
      <c r="U549" s="160"/>
      <c r="V549" s="214"/>
      <c r="W549" s="214"/>
      <c r="X549" s="214"/>
      <c r="Y549" s="159"/>
      <c r="Z549" s="239">
        <f>55548127.44+10462995.58</f>
        <v>66011123.019999996</v>
      </c>
      <c r="AA549" s="239">
        <f>30000000+21214400.66+22189557.39</f>
        <v>73403958.049999997</v>
      </c>
      <c r="AB549" s="239">
        <f>30000000+25641233.62+17969937.34</f>
        <v>73611170.960000008</v>
      </c>
      <c r="AC549" s="292"/>
      <c r="AE549" s="127"/>
    </row>
    <row r="550" spans="1:31" ht="134.25" customHeight="1" x14ac:dyDescent="0.3">
      <c r="A550" s="153" t="s">
        <v>1428</v>
      </c>
      <c r="B550" s="234" t="s">
        <v>18</v>
      </c>
      <c r="C550" s="234" t="s">
        <v>138</v>
      </c>
      <c r="D550" s="234" t="s">
        <v>122</v>
      </c>
      <c r="E550" s="234" t="s">
        <v>623</v>
      </c>
      <c r="F550" s="234"/>
      <c r="G550" s="234"/>
      <c r="H550" s="234"/>
      <c r="I550" s="234"/>
      <c r="J550" s="234"/>
      <c r="K550" s="234"/>
      <c r="L550" s="234"/>
      <c r="M550" s="234"/>
      <c r="N550" s="234"/>
      <c r="O550" s="234"/>
      <c r="P550" s="234"/>
      <c r="Q550" s="234"/>
      <c r="R550" s="234"/>
      <c r="S550" s="234"/>
      <c r="T550" s="234"/>
      <c r="U550" s="161"/>
      <c r="V550" s="206"/>
      <c r="W550" s="206"/>
      <c r="X550" s="206"/>
      <c r="Y550" s="153" t="s">
        <v>429</v>
      </c>
      <c r="Z550" s="239">
        <f>Z551</f>
        <v>7500000</v>
      </c>
      <c r="AA550" s="239">
        <f>AA551</f>
        <v>0</v>
      </c>
      <c r="AB550" s="239">
        <f>AB551</f>
        <v>0</v>
      </c>
      <c r="AC550" s="568" t="s">
        <v>429</v>
      </c>
    </row>
    <row r="551" spans="1:31" ht="63" customHeight="1" x14ac:dyDescent="0.3">
      <c r="A551" s="135" t="s">
        <v>711</v>
      </c>
      <c r="B551" s="140" t="s">
        <v>18</v>
      </c>
      <c r="C551" s="140" t="s">
        <v>138</v>
      </c>
      <c r="D551" s="140" t="s">
        <v>122</v>
      </c>
      <c r="E551" s="234" t="s">
        <v>623</v>
      </c>
      <c r="F551" s="140"/>
      <c r="G551" s="140"/>
      <c r="H551" s="140"/>
      <c r="I551" s="140"/>
      <c r="J551" s="140"/>
      <c r="K551" s="140"/>
      <c r="L551" s="140"/>
      <c r="M551" s="140"/>
      <c r="N551" s="140"/>
      <c r="O551" s="140"/>
      <c r="P551" s="140"/>
      <c r="Q551" s="140"/>
      <c r="R551" s="140"/>
      <c r="S551" s="140"/>
      <c r="T551" s="140" t="s">
        <v>294</v>
      </c>
      <c r="U551" s="136"/>
      <c r="V551" s="137"/>
      <c r="W551" s="137"/>
      <c r="X551" s="137"/>
      <c r="Y551" s="135" t="s">
        <v>430</v>
      </c>
      <c r="Z551" s="212">
        <v>7500000</v>
      </c>
      <c r="AA551" s="212">
        <v>0</v>
      </c>
      <c r="AB551" s="212">
        <v>0</v>
      </c>
      <c r="AC551" s="213" t="s">
        <v>430</v>
      </c>
    </row>
    <row r="552" spans="1:31" ht="120.75" customHeight="1" x14ac:dyDescent="0.3">
      <c r="A552" s="153" t="s">
        <v>1267</v>
      </c>
      <c r="B552" s="234" t="s">
        <v>18</v>
      </c>
      <c r="C552" s="234" t="s">
        <v>138</v>
      </c>
      <c r="D552" s="234" t="s">
        <v>122</v>
      </c>
      <c r="E552" s="234" t="s">
        <v>624</v>
      </c>
      <c r="F552" s="234"/>
      <c r="G552" s="234"/>
      <c r="H552" s="234"/>
      <c r="I552" s="234"/>
      <c r="J552" s="234"/>
      <c r="K552" s="234"/>
      <c r="L552" s="234"/>
      <c r="M552" s="234"/>
      <c r="N552" s="234"/>
      <c r="O552" s="234"/>
      <c r="P552" s="234"/>
      <c r="Q552" s="234"/>
      <c r="R552" s="234"/>
      <c r="S552" s="234"/>
      <c r="T552" s="234"/>
      <c r="U552" s="161"/>
      <c r="V552" s="206"/>
      <c r="W552" s="206"/>
      <c r="X552" s="206"/>
      <c r="Y552" s="153" t="s">
        <v>431</v>
      </c>
      <c r="Z552" s="239">
        <f>Z553</f>
        <v>3100000</v>
      </c>
      <c r="AA552" s="239">
        <f>AA553</f>
        <v>4241441.93</v>
      </c>
      <c r="AB552" s="239">
        <f>AB553</f>
        <v>4734115.1599999992</v>
      </c>
      <c r="AC552" s="568" t="s">
        <v>431</v>
      </c>
    </row>
    <row r="553" spans="1:31" ht="66.75" customHeight="1" x14ac:dyDescent="0.3">
      <c r="A553" s="135" t="s">
        <v>711</v>
      </c>
      <c r="B553" s="140" t="s">
        <v>18</v>
      </c>
      <c r="C553" s="140" t="s">
        <v>138</v>
      </c>
      <c r="D553" s="140" t="s">
        <v>122</v>
      </c>
      <c r="E553" s="234" t="s">
        <v>624</v>
      </c>
      <c r="F553" s="140"/>
      <c r="G553" s="140"/>
      <c r="H553" s="140"/>
      <c r="I553" s="140"/>
      <c r="J553" s="140"/>
      <c r="K553" s="140"/>
      <c r="L553" s="140"/>
      <c r="M553" s="140"/>
      <c r="N553" s="140"/>
      <c r="O553" s="140"/>
      <c r="P553" s="140"/>
      <c r="Q553" s="140"/>
      <c r="R553" s="140"/>
      <c r="S553" s="140"/>
      <c r="T553" s="140" t="s">
        <v>294</v>
      </c>
      <c r="U553" s="136"/>
      <c r="V553" s="137"/>
      <c r="W553" s="137"/>
      <c r="X553" s="137"/>
      <c r="Y553" s="135" t="s">
        <v>432</v>
      </c>
      <c r="Z553" s="268">
        <f>600000+4000000-1500000</f>
        <v>3100000</v>
      </c>
      <c r="AA553" s="212">
        <f>4214827.03-1632552.95-24100+1683267.85</f>
        <v>4241441.93</v>
      </c>
      <c r="AB553" s="212">
        <f>4214827.03+5950794.81-438102.3-24300+462730-5431834.38</f>
        <v>4734115.1599999992</v>
      </c>
      <c r="AC553" s="213" t="s">
        <v>432</v>
      </c>
    </row>
    <row r="554" spans="1:31" ht="318.75" customHeight="1" x14ac:dyDescent="0.3">
      <c r="A554" s="287" t="s">
        <v>1310</v>
      </c>
      <c r="B554" s="288" t="s">
        <v>18</v>
      </c>
      <c r="C554" s="288" t="s">
        <v>138</v>
      </c>
      <c r="D554" s="288" t="s">
        <v>122</v>
      </c>
      <c r="E554" s="288" t="s">
        <v>913</v>
      </c>
      <c r="F554" s="234"/>
      <c r="G554" s="234"/>
      <c r="H554" s="234"/>
      <c r="I554" s="234"/>
      <c r="J554" s="234"/>
      <c r="K554" s="234"/>
      <c r="L554" s="234"/>
      <c r="M554" s="234"/>
      <c r="N554" s="234"/>
      <c r="O554" s="234"/>
      <c r="P554" s="234"/>
      <c r="Q554" s="234"/>
      <c r="R554" s="234"/>
      <c r="S554" s="234"/>
      <c r="T554" s="234"/>
      <c r="U554" s="161"/>
      <c r="V554" s="206"/>
      <c r="W554" s="206"/>
      <c r="X554" s="206"/>
      <c r="Y554" s="155" t="s">
        <v>234</v>
      </c>
      <c r="Z554" s="239">
        <f>Z555</f>
        <v>52920006.119999997</v>
      </c>
      <c r="AA554" s="239">
        <f>AA555</f>
        <v>58122468.909999996</v>
      </c>
      <c r="AB554" s="239">
        <f>AB555</f>
        <v>69302118.909999996</v>
      </c>
      <c r="AC554" s="573" t="s">
        <v>234</v>
      </c>
    </row>
    <row r="555" spans="1:31" ht="73.5" customHeight="1" x14ac:dyDescent="0.3">
      <c r="A555" s="154" t="s">
        <v>711</v>
      </c>
      <c r="B555" s="140" t="s">
        <v>18</v>
      </c>
      <c r="C555" s="140" t="s">
        <v>138</v>
      </c>
      <c r="D555" s="140" t="s">
        <v>122</v>
      </c>
      <c r="E555" s="288" t="s">
        <v>913</v>
      </c>
      <c r="F555" s="140"/>
      <c r="G555" s="140"/>
      <c r="H555" s="140"/>
      <c r="I555" s="140"/>
      <c r="J555" s="140"/>
      <c r="K555" s="140"/>
      <c r="L555" s="140"/>
      <c r="M555" s="140"/>
      <c r="N555" s="140"/>
      <c r="O555" s="140"/>
      <c r="P555" s="140"/>
      <c r="Q555" s="140"/>
      <c r="R555" s="140"/>
      <c r="S555" s="140"/>
      <c r="T555" s="140" t="s">
        <v>294</v>
      </c>
      <c r="U555" s="136"/>
      <c r="V555" s="137"/>
      <c r="W555" s="137"/>
      <c r="X555" s="137"/>
      <c r="Y555" s="154" t="s">
        <v>433</v>
      </c>
      <c r="Z555" s="212">
        <f>45269300+7650706.12</f>
        <v>52920006.119999997</v>
      </c>
      <c r="AA555" s="212">
        <f>46922600+11199868.91</f>
        <v>58122468.909999996</v>
      </c>
      <c r="AB555" s="212">
        <f>46922600+22379518.91</f>
        <v>69302118.909999996</v>
      </c>
      <c r="AC555" s="569" t="s">
        <v>433</v>
      </c>
    </row>
    <row r="556" spans="1:31" ht="108" customHeight="1" thickBot="1" x14ac:dyDescent="0.35">
      <c r="A556" s="492" t="s">
        <v>1488</v>
      </c>
      <c r="B556" s="140" t="s">
        <v>18</v>
      </c>
      <c r="C556" s="140" t="s">
        <v>138</v>
      </c>
      <c r="D556" s="140" t="s">
        <v>122</v>
      </c>
      <c r="E556" s="234" t="s">
        <v>613</v>
      </c>
      <c r="F556" s="140"/>
      <c r="G556" s="140"/>
      <c r="H556" s="140"/>
      <c r="I556" s="140"/>
      <c r="J556" s="140"/>
      <c r="K556" s="140"/>
      <c r="L556" s="140"/>
      <c r="M556" s="140"/>
      <c r="N556" s="140"/>
      <c r="O556" s="140"/>
      <c r="P556" s="140"/>
      <c r="Q556" s="140"/>
      <c r="R556" s="140"/>
      <c r="S556" s="140"/>
      <c r="T556" s="140"/>
      <c r="U556" s="136"/>
      <c r="V556" s="137"/>
      <c r="W556" s="137"/>
      <c r="X556" s="137"/>
      <c r="Y556" s="154"/>
      <c r="Z556" s="212">
        <f>Z557</f>
        <v>180000</v>
      </c>
      <c r="AA556" s="212">
        <f>AA557</f>
        <v>320000</v>
      </c>
      <c r="AB556" s="212">
        <f>AB557</f>
        <v>320000</v>
      </c>
      <c r="AC556" s="569"/>
    </row>
    <row r="557" spans="1:31" ht="66.75" customHeight="1" x14ac:dyDescent="0.3">
      <c r="A557" s="226" t="s">
        <v>711</v>
      </c>
      <c r="B557" s="140" t="s">
        <v>18</v>
      </c>
      <c r="C557" s="140" t="s">
        <v>138</v>
      </c>
      <c r="D557" s="140" t="s">
        <v>122</v>
      </c>
      <c r="E557" s="234" t="s">
        <v>613</v>
      </c>
      <c r="F557" s="140"/>
      <c r="G557" s="140"/>
      <c r="H557" s="140"/>
      <c r="I557" s="140"/>
      <c r="J557" s="140"/>
      <c r="K557" s="140"/>
      <c r="L557" s="140"/>
      <c r="M557" s="140"/>
      <c r="N557" s="140"/>
      <c r="O557" s="140"/>
      <c r="P557" s="140"/>
      <c r="Q557" s="140"/>
      <c r="R557" s="140"/>
      <c r="S557" s="140"/>
      <c r="T557" s="140" t="s">
        <v>294</v>
      </c>
      <c r="U557" s="136"/>
      <c r="V557" s="137"/>
      <c r="W557" s="137"/>
      <c r="X557" s="137"/>
      <c r="Y557" s="154"/>
      <c r="Z557" s="212">
        <v>180000</v>
      </c>
      <c r="AA557" s="212">
        <v>320000</v>
      </c>
      <c r="AB557" s="212">
        <v>320000</v>
      </c>
      <c r="AC557" s="569"/>
    </row>
    <row r="558" spans="1:31" ht="22.5" customHeight="1" x14ac:dyDescent="0.3">
      <c r="A558" s="159" t="s">
        <v>156</v>
      </c>
      <c r="B558" s="160" t="s">
        <v>18</v>
      </c>
      <c r="C558" s="160" t="s">
        <v>138</v>
      </c>
      <c r="D558" s="160" t="s">
        <v>132</v>
      </c>
      <c r="E558" s="160"/>
      <c r="F558" s="160"/>
      <c r="G558" s="160"/>
      <c r="H558" s="160"/>
      <c r="I558" s="160"/>
      <c r="J558" s="160"/>
      <c r="K558" s="160"/>
      <c r="L558" s="160"/>
      <c r="M558" s="160"/>
      <c r="N558" s="160"/>
      <c r="O558" s="160"/>
      <c r="P558" s="160"/>
      <c r="Q558" s="160"/>
      <c r="R558" s="160"/>
      <c r="S558" s="160"/>
      <c r="T558" s="160"/>
      <c r="U558" s="160"/>
      <c r="V558" s="214"/>
      <c r="W558" s="214"/>
      <c r="X558" s="214"/>
      <c r="Y558" s="159" t="s">
        <v>156</v>
      </c>
      <c r="Z558" s="215">
        <f>Z559+Z563+Z567+Z569+Z571+Z575+Z577+Z583+Z585+Z587+Z589+Z591+Z593+Z561+Z579+Z581+Z565+Z573</f>
        <v>318597586.42000002</v>
      </c>
      <c r="AA558" s="215">
        <f>AA559+AA563+AA567+AA569+AA571+AA575+AA577+AA583+AA585+AA587+AA589+AA591+AA593+AA561+AA565+AA579</f>
        <v>297315831.83999997</v>
      </c>
      <c r="AB558" s="215">
        <f>AB559+AB563+AB567+AB569+AB571+AB575+AB577+AB583+AB585+AB587+AB589+AB591+AB593+AB561+AB565+AB579</f>
        <v>311275245.13999999</v>
      </c>
      <c r="AC558" s="292" t="s">
        <v>156</v>
      </c>
    </row>
    <row r="559" spans="1:31" ht="1.5" hidden="1" customHeight="1" x14ac:dyDescent="0.3">
      <c r="A559" s="493" t="s">
        <v>766</v>
      </c>
      <c r="B559" s="234" t="s">
        <v>18</v>
      </c>
      <c r="C559" s="234" t="s">
        <v>138</v>
      </c>
      <c r="D559" s="234" t="s">
        <v>132</v>
      </c>
      <c r="E559" s="234" t="s">
        <v>765</v>
      </c>
      <c r="F559" s="234"/>
      <c r="G559" s="234"/>
      <c r="H559" s="234"/>
      <c r="I559" s="234"/>
      <c r="J559" s="234"/>
      <c r="K559" s="234"/>
      <c r="L559" s="234"/>
      <c r="M559" s="234"/>
      <c r="N559" s="234"/>
      <c r="O559" s="234"/>
      <c r="P559" s="234"/>
      <c r="Q559" s="234"/>
      <c r="R559" s="234"/>
      <c r="S559" s="234"/>
      <c r="T559" s="234"/>
      <c r="U559" s="161"/>
      <c r="V559" s="206"/>
      <c r="W559" s="206"/>
      <c r="X559" s="206"/>
      <c r="Y559" s="153" t="s">
        <v>436</v>
      </c>
      <c r="Z559" s="239">
        <f>Z560</f>
        <v>0</v>
      </c>
      <c r="AA559" s="239">
        <f>AA560</f>
        <v>0</v>
      </c>
      <c r="AB559" s="239">
        <f>AB560</f>
        <v>0</v>
      </c>
      <c r="AC559" s="568" t="s">
        <v>436</v>
      </c>
    </row>
    <row r="560" spans="1:31" ht="82.5" hidden="1" customHeight="1" x14ac:dyDescent="0.3">
      <c r="A560" s="135" t="s">
        <v>764</v>
      </c>
      <c r="B560" s="140" t="s">
        <v>18</v>
      </c>
      <c r="C560" s="140" t="s">
        <v>138</v>
      </c>
      <c r="D560" s="140" t="s">
        <v>132</v>
      </c>
      <c r="E560" s="234" t="s">
        <v>765</v>
      </c>
      <c r="F560" s="140"/>
      <c r="G560" s="140"/>
      <c r="H560" s="140"/>
      <c r="I560" s="140"/>
      <c r="J560" s="140"/>
      <c r="K560" s="140"/>
      <c r="L560" s="140"/>
      <c r="M560" s="140"/>
      <c r="N560" s="140"/>
      <c r="O560" s="140"/>
      <c r="P560" s="140"/>
      <c r="Q560" s="140"/>
      <c r="R560" s="140"/>
      <c r="S560" s="140"/>
      <c r="T560" s="140" t="s">
        <v>294</v>
      </c>
      <c r="U560" s="136"/>
      <c r="V560" s="137"/>
      <c r="W560" s="137"/>
      <c r="X560" s="137"/>
      <c r="Y560" s="135" t="s">
        <v>437</v>
      </c>
      <c r="Z560" s="212">
        <v>0</v>
      </c>
      <c r="AA560" s="212">
        <v>0</v>
      </c>
      <c r="AB560" s="212">
        <v>0</v>
      </c>
      <c r="AC560" s="213" t="s">
        <v>437</v>
      </c>
    </row>
    <row r="561" spans="1:32" ht="188.25" customHeight="1" x14ac:dyDescent="0.3">
      <c r="A561" s="153" t="s">
        <v>1266</v>
      </c>
      <c r="B561" s="234" t="s">
        <v>18</v>
      </c>
      <c r="C561" s="234" t="s">
        <v>138</v>
      </c>
      <c r="D561" s="234" t="s">
        <v>132</v>
      </c>
      <c r="E561" s="234" t="s">
        <v>779</v>
      </c>
      <c r="F561" s="234"/>
      <c r="G561" s="234"/>
      <c r="H561" s="234"/>
      <c r="I561" s="234"/>
      <c r="J561" s="234"/>
      <c r="K561" s="234"/>
      <c r="L561" s="234"/>
      <c r="M561" s="234"/>
      <c r="N561" s="234"/>
      <c r="O561" s="234"/>
      <c r="P561" s="234"/>
      <c r="Q561" s="234"/>
      <c r="R561" s="234"/>
      <c r="S561" s="234"/>
      <c r="T561" s="234"/>
      <c r="U561" s="136"/>
      <c r="V561" s="137"/>
      <c r="W561" s="137"/>
      <c r="X561" s="137"/>
      <c r="Y561" s="135"/>
      <c r="Z561" s="212">
        <f>Z562</f>
        <v>3000000</v>
      </c>
      <c r="AA561" s="212">
        <f>AA562</f>
        <v>500000</v>
      </c>
      <c r="AB561" s="212">
        <f>AB562</f>
        <v>500000</v>
      </c>
      <c r="AC561" s="213"/>
      <c r="AD561" s="127"/>
      <c r="AE561" s="127"/>
      <c r="AF561" s="127"/>
    </row>
    <row r="562" spans="1:32" ht="59.25" customHeight="1" x14ac:dyDescent="0.3">
      <c r="A562" s="135" t="s">
        <v>711</v>
      </c>
      <c r="B562" s="140" t="s">
        <v>18</v>
      </c>
      <c r="C562" s="140" t="s">
        <v>138</v>
      </c>
      <c r="D562" s="140" t="s">
        <v>132</v>
      </c>
      <c r="E562" s="234" t="s">
        <v>779</v>
      </c>
      <c r="F562" s="140"/>
      <c r="G562" s="140"/>
      <c r="H562" s="140"/>
      <c r="I562" s="140"/>
      <c r="J562" s="140"/>
      <c r="K562" s="140"/>
      <c r="L562" s="140"/>
      <c r="M562" s="140"/>
      <c r="N562" s="140"/>
      <c r="O562" s="140"/>
      <c r="P562" s="140"/>
      <c r="Q562" s="140"/>
      <c r="R562" s="140"/>
      <c r="S562" s="140"/>
      <c r="T562" s="140" t="s">
        <v>294</v>
      </c>
      <c r="U562" s="136"/>
      <c r="V562" s="137"/>
      <c r="W562" s="137"/>
      <c r="X562" s="137"/>
      <c r="Y562" s="135"/>
      <c r="Z562" s="212">
        <f>1500000+1500000</f>
        <v>3000000</v>
      </c>
      <c r="AA562" s="212">
        <v>500000</v>
      </c>
      <c r="AB562" s="212">
        <v>500000</v>
      </c>
      <c r="AC562" s="213"/>
    </row>
    <row r="563" spans="1:32" ht="179.25" customHeight="1" x14ac:dyDescent="0.3">
      <c r="A563" s="153" t="s">
        <v>1268</v>
      </c>
      <c r="B563" s="234" t="s">
        <v>18</v>
      </c>
      <c r="C563" s="234" t="s">
        <v>138</v>
      </c>
      <c r="D563" s="234" t="s">
        <v>132</v>
      </c>
      <c r="E563" s="234" t="s">
        <v>625</v>
      </c>
      <c r="F563" s="234"/>
      <c r="G563" s="234"/>
      <c r="H563" s="234"/>
      <c r="I563" s="234"/>
      <c r="J563" s="234"/>
      <c r="K563" s="234"/>
      <c r="L563" s="234"/>
      <c r="M563" s="234"/>
      <c r="N563" s="234"/>
      <c r="O563" s="234"/>
      <c r="P563" s="234"/>
      <c r="Q563" s="234"/>
      <c r="R563" s="234"/>
      <c r="S563" s="234"/>
      <c r="T563" s="234"/>
      <c r="U563" s="161"/>
      <c r="V563" s="206"/>
      <c r="W563" s="206"/>
      <c r="X563" s="206"/>
      <c r="Y563" s="153" t="s">
        <v>438</v>
      </c>
      <c r="Z563" s="239">
        <f>Z564</f>
        <v>200000</v>
      </c>
      <c r="AA563" s="239">
        <f>AA564</f>
        <v>100000</v>
      </c>
      <c r="AB563" s="239">
        <f>AB564</f>
        <v>100000</v>
      </c>
      <c r="AC563" s="568" t="s">
        <v>438</v>
      </c>
    </row>
    <row r="564" spans="1:32" ht="71.25" customHeight="1" x14ac:dyDescent="0.3">
      <c r="A564" s="135" t="s">
        <v>711</v>
      </c>
      <c r="B564" s="140" t="s">
        <v>18</v>
      </c>
      <c r="C564" s="140" t="s">
        <v>138</v>
      </c>
      <c r="D564" s="140" t="s">
        <v>132</v>
      </c>
      <c r="E564" s="234" t="s">
        <v>625</v>
      </c>
      <c r="F564" s="140"/>
      <c r="G564" s="140"/>
      <c r="H564" s="140"/>
      <c r="I564" s="140"/>
      <c r="J564" s="140"/>
      <c r="K564" s="140"/>
      <c r="L564" s="140"/>
      <c r="M564" s="140"/>
      <c r="N564" s="140"/>
      <c r="O564" s="140"/>
      <c r="P564" s="140"/>
      <c r="Q564" s="140"/>
      <c r="R564" s="140"/>
      <c r="S564" s="140"/>
      <c r="T564" s="140" t="s">
        <v>294</v>
      </c>
      <c r="U564" s="136"/>
      <c r="V564" s="137"/>
      <c r="W564" s="137"/>
      <c r="X564" s="137"/>
      <c r="Y564" s="135" t="s">
        <v>439</v>
      </c>
      <c r="Z564" s="212">
        <f>100000+100000</f>
        <v>200000</v>
      </c>
      <c r="AA564" s="212">
        <v>100000</v>
      </c>
      <c r="AB564" s="212">
        <v>100000</v>
      </c>
      <c r="AC564" s="213" t="s">
        <v>439</v>
      </c>
    </row>
    <row r="565" spans="1:32" ht="162" customHeight="1" x14ac:dyDescent="0.3">
      <c r="A565" s="155" t="s">
        <v>1350</v>
      </c>
      <c r="B565" s="140" t="s">
        <v>18</v>
      </c>
      <c r="C565" s="140" t="s">
        <v>138</v>
      </c>
      <c r="D565" s="140" t="s">
        <v>132</v>
      </c>
      <c r="E565" s="234" t="s">
        <v>1123</v>
      </c>
      <c r="F565" s="140"/>
      <c r="G565" s="140"/>
      <c r="H565" s="140"/>
      <c r="I565" s="140"/>
      <c r="J565" s="140"/>
      <c r="K565" s="140"/>
      <c r="L565" s="140"/>
      <c r="M565" s="140"/>
      <c r="N565" s="140"/>
      <c r="O565" s="140"/>
      <c r="P565" s="140"/>
      <c r="Q565" s="140"/>
      <c r="R565" s="140"/>
      <c r="S565" s="140"/>
      <c r="T565" s="140"/>
      <c r="U565" s="136"/>
      <c r="V565" s="137"/>
      <c r="W565" s="137"/>
      <c r="X565" s="137"/>
      <c r="Y565" s="135"/>
      <c r="Z565" s="212">
        <f>Z566</f>
        <v>83579408.559999987</v>
      </c>
      <c r="AA565" s="212">
        <f>AA566</f>
        <v>89623372.480000004</v>
      </c>
      <c r="AB565" s="212">
        <f>AB566</f>
        <v>96421035.700000003</v>
      </c>
      <c r="AC565" s="213"/>
    </row>
    <row r="566" spans="1:32" ht="60.75" customHeight="1" x14ac:dyDescent="0.3">
      <c r="A566" s="135" t="s">
        <v>711</v>
      </c>
      <c r="B566" s="140" t="s">
        <v>18</v>
      </c>
      <c r="C566" s="140" t="s">
        <v>138</v>
      </c>
      <c r="D566" s="140" t="s">
        <v>132</v>
      </c>
      <c r="E566" s="234" t="s">
        <v>1123</v>
      </c>
      <c r="F566" s="140"/>
      <c r="G566" s="140"/>
      <c r="H566" s="140"/>
      <c r="I566" s="140"/>
      <c r="J566" s="140"/>
      <c r="K566" s="140"/>
      <c r="L566" s="140"/>
      <c r="M566" s="140"/>
      <c r="N566" s="140"/>
      <c r="O566" s="140"/>
      <c r="P566" s="140"/>
      <c r="Q566" s="140"/>
      <c r="R566" s="140"/>
      <c r="S566" s="140"/>
      <c r="T566" s="140" t="s">
        <v>294</v>
      </c>
      <c r="U566" s="136"/>
      <c r="V566" s="137"/>
      <c r="W566" s="137"/>
      <c r="X566" s="137"/>
      <c r="Y566" s="135"/>
      <c r="Z566" s="212">
        <f>67913431.08+48332858.62-32666858.56-22-0.58</f>
        <v>83579408.559999987</v>
      </c>
      <c r="AA566" s="212">
        <f>67900000+23406703.6+26445396.15-38125748.61-3000.03+21+10000000.37</f>
        <v>89623372.480000004</v>
      </c>
      <c r="AB566" s="212">
        <f>67900000+27603487.13+17969937.34-27052435.64+45+10000001.87</f>
        <v>96421035.700000003</v>
      </c>
      <c r="AC566" s="213"/>
    </row>
    <row r="567" spans="1:32" ht="153" customHeight="1" x14ac:dyDescent="0.3">
      <c r="A567" s="153" t="s">
        <v>1269</v>
      </c>
      <c r="B567" s="234" t="s">
        <v>18</v>
      </c>
      <c r="C567" s="234" t="s">
        <v>138</v>
      </c>
      <c r="D567" s="234" t="s">
        <v>132</v>
      </c>
      <c r="E567" s="234" t="s">
        <v>626</v>
      </c>
      <c r="F567" s="234"/>
      <c r="G567" s="234"/>
      <c r="H567" s="234"/>
      <c r="I567" s="234"/>
      <c r="J567" s="234"/>
      <c r="K567" s="234"/>
      <c r="L567" s="234"/>
      <c r="M567" s="234"/>
      <c r="N567" s="234"/>
      <c r="O567" s="234"/>
      <c r="P567" s="234"/>
      <c r="Q567" s="234"/>
      <c r="R567" s="234"/>
      <c r="S567" s="234"/>
      <c r="T567" s="234"/>
      <c r="U567" s="161"/>
      <c r="V567" s="206"/>
      <c r="W567" s="206"/>
      <c r="X567" s="206"/>
      <c r="Y567" s="153" t="s">
        <v>440</v>
      </c>
      <c r="Z567" s="239">
        <f>Z568</f>
        <v>43039053.269999996</v>
      </c>
      <c r="AA567" s="239">
        <f>AA568</f>
        <v>22699913.920000002</v>
      </c>
      <c r="AB567" s="239">
        <f>AB568</f>
        <v>21190033.770000003</v>
      </c>
      <c r="AC567" s="568" t="s">
        <v>440</v>
      </c>
    </row>
    <row r="568" spans="1:32" ht="63" customHeight="1" x14ac:dyDescent="0.3">
      <c r="A568" s="135" t="s">
        <v>711</v>
      </c>
      <c r="B568" s="140" t="s">
        <v>18</v>
      </c>
      <c r="C568" s="140" t="s">
        <v>138</v>
      </c>
      <c r="D568" s="140" t="s">
        <v>132</v>
      </c>
      <c r="E568" s="234" t="s">
        <v>626</v>
      </c>
      <c r="F568" s="140"/>
      <c r="G568" s="140"/>
      <c r="H568" s="140"/>
      <c r="I568" s="140"/>
      <c r="J568" s="140"/>
      <c r="K568" s="140"/>
      <c r="L568" s="140"/>
      <c r="M568" s="140"/>
      <c r="N568" s="140"/>
      <c r="O568" s="140"/>
      <c r="P568" s="140"/>
      <c r="Q568" s="140"/>
      <c r="R568" s="140"/>
      <c r="S568" s="140"/>
      <c r="T568" s="140" t="s">
        <v>294</v>
      </c>
      <c r="U568" s="136"/>
      <c r="V568" s="137"/>
      <c r="W568" s="137"/>
      <c r="X568" s="137"/>
      <c r="Y568" s="135" t="s">
        <v>441</v>
      </c>
      <c r="Z568" s="212">
        <f>32666858.56+0.58+623043+9749151.13</f>
        <v>43039053.269999996</v>
      </c>
      <c r="AA568" s="212">
        <f>38128748.64+3000.03-5431834.38-10000000.37</f>
        <v>22699913.920000002</v>
      </c>
      <c r="AB568" s="212">
        <f>27052435.64+4137600-10000001.87</f>
        <v>21190033.770000003</v>
      </c>
      <c r="AC568" s="213" t="s">
        <v>441</v>
      </c>
    </row>
    <row r="569" spans="1:32" ht="39.75" hidden="1" customHeight="1" x14ac:dyDescent="0.3">
      <c r="A569" s="153" t="s">
        <v>627</v>
      </c>
      <c r="B569" s="234" t="s">
        <v>18</v>
      </c>
      <c r="C569" s="234" t="s">
        <v>138</v>
      </c>
      <c r="D569" s="234" t="s">
        <v>132</v>
      </c>
      <c r="E569" s="234" t="s">
        <v>628</v>
      </c>
      <c r="F569" s="234"/>
      <c r="G569" s="234"/>
      <c r="H569" s="234"/>
      <c r="I569" s="234"/>
      <c r="J569" s="234"/>
      <c r="K569" s="234"/>
      <c r="L569" s="234"/>
      <c r="M569" s="234"/>
      <c r="N569" s="234"/>
      <c r="O569" s="234"/>
      <c r="P569" s="234"/>
      <c r="Q569" s="234"/>
      <c r="R569" s="234"/>
      <c r="S569" s="234"/>
      <c r="T569" s="234"/>
      <c r="U569" s="161"/>
      <c r="V569" s="206"/>
      <c r="W569" s="206"/>
      <c r="X569" s="206"/>
      <c r="Y569" s="153" t="s">
        <v>442</v>
      </c>
      <c r="Z569" s="239">
        <f>Z570</f>
        <v>0</v>
      </c>
      <c r="AA569" s="239">
        <f>AA570</f>
        <v>0</v>
      </c>
      <c r="AB569" s="239">
        <f>AB570</f>
        <v>0</v>
      </c>
      <c r="AC569" s="568" t="s">
        <v>442</v>
      </c>
    </row>
    <row r="570" spans="1:32" ht="67.5" hidden="1" customHeight="1" x14ac:dyDescent="0.3">
      <c r="A570" s="135" t="s">
        <v>443</v>
      </c>
      <c r="B570" s="140" t="s">
        <v>18</v>
      </c>
      <c r="C570" s="140" t="s">
        <v>138</v>
      </c>
      <c r="D570" s="140" t="s">
        <v>132</v>
      </c>
      <c r="E570" s="234" t="s">
        <v>628</v>
      </c>
      <c r="F570" s="140"/>
      <c r="G570" s="140"/>
      <c r="H570" s="140"/>
      <c r="I570" s="140"/>
      <c r="J570" s="140"/>
      <c r="K570" s="140"/>
      <c r="L570" s="140"/>
      <c r="M570" s="140"/>
      <c r="N570" s="140"/>
      <c r="O570" s="140"/>
      <c r="P570" s="140"/>
      <c r="Q570" s="140"/>
      <c r="R570" s="140"/>
      <c r="S570" s="140"/>
      <c r="T570" s="140" t="s">
        <v>294</v>
      </c>
      <c r="U570" s="136"/>
      <c r="V570" s="137"/>
      <c r="W570" s="137"/>
      <c r="X570" s="137"/>
      <c r="Y570" s="135" t="s">
        <v>443</v>
      </c>
      <c r="Z570" s="212">
        <f>5946012.7-5946012.7</f>
        <v>0</v>
      </c>
      <c r="AA570" s="212">
        <f>5946012.7-5946012.7</f>
        <v>0</v>
      </c>
      <c r="AB570" s="212">
        <f>5946012.7-5946012.7</f>
        <v>0</v>
      </c>
      <c r="AC570" s="213" t="s">
        <v>443</v>
      </c>
    </row>
    <row r="571" spans="1:32" ht="123.75" customHeight="1" x14ac:dyDescent="0.3">
      <c r="A571" s="153" t="s">
        <v>1270</v>
      </c>
      <c r="B571" s="234" t="s">
        <v>18</v>
      </c>
      <c r="C571" s="234" t="s">
        <v>138</v>
      </c>
      <c r="D571" s="234" t="s">
        <v>132</v>
      </c>
      <c r="E571" s="234" t="s">
        <v>577</v>
      </c>
      <c r="F571" s="234"/>
      <c r="G571" s="234"/>
      <c r="H571" s="234"/>
      <c r="I571" s="234"/>
      <c r="J571" s="234"/>
      <c r="K571" s="234"/>
      <c r="L571" s="234"/>
      <c r="M571" s="234"/>
      <c r="N571" s="234"/>
      <c r="O571" s="234"/>
      <c r="P571" s="234"/>
      <c r="Q571" s="234"/>
      <c r="R571" s="234"/>
      <c r="S571" s="234"/>
      <c r="T571" s="234"/>
      <c r="U571" s="161"/>
      <c r="V571" s="206"/>
      <c r="W571" s="206"/>
      <c r="X571" s="206"/>
      <c r="Y571" s="153" t="s">
        <v>367</v>
      </c>
      <c r="Z571" s="239">
        <f>Z572</f>
        <v>12121858.529999999</v>
      </c>
      <c r="AA571" s="239">
        <f>AA572</f>
        <v>2103019.1300000008</v>
      </c>
      <c r="AB571" s="239">
        <f>AB572</f>
        <v>7310252.8699999973</v>
      </c>
      <c r="AC571" s="568" t="s">
        <v>367</v>
      </c>
    </row>
    <row r="572" spans="1:32" ht="65.25" customHeight="1" x14ac:dyDescent="0.3">
      <c r="A572" s="135" t="s">
        <v>711</v>
      </c>
      <c r="B572" s="140" t="s">
        <v>18</v>
      </c>
      <c r="C572" s="140" t="s">
        <v>138</v>
      </c>
      <c r="D572" s="140" t="s">
        <v>132</v>
      </c>
      <c r="E572" s="234" t="s">
        <v>577</v>
      </c>
      <c r="F572" s="140"/>
      <c r="G572" s="140"/>
      <c r="H572" s="140"/>
      <c r="I572" s="140"/>
      <c r="J572" s="140"/>
      <c r="K572" s="140"/>
      <c r="L572" s="140"/>
      <c r="M572" s="140"/>
      <c r="N572" s="140"/>
      <c r="O572" s="140"/>
      <c r="P572" s="140"/>
      <c r="Q572" s="140"/>
      <c r="R572" s="140"/>
      <c r="S572" s="140"/>
      <c r="T572" s="140" t="s">
        <v>294</v>
      </c>
      <c r="U572" s="136"/>
      <c r="V572" s="137"/>
      <c r="W572" s="137"/>
      <c r="X572" s="137"/>
      <c r="Y572" s="135" t="s">
        <v>444</v>
      </c>
      <c r="Z572" s="268">
        <f>948357+8000000+3000000-3404518.22+240000+103727.44+3234292.31</f>
        <v>12121858.529999999</v>
      </c>
      <c r="AA572" s="212">
        <f>7084197.66+135372+1683267.84-1859557.77-61425.72-1347000.03-42000.01-3489834.84</f>
        <v>2103019.1300000008</v>
      </c>
      <c r="AB572" s="212">
        <f>7094197.66+5950794.81+140785-6310730.86-128558.9+4137600-84000-3489834.84</f>
        <v>7310252.8699999973</v>
      </c>
      <c r="AC572" s="213" t="s">
        <v>444</v>
      </c>
    </row>
    <row r="573" spans="1:32" ht="150" customHeight="1" x14ac:dyDescent="0.3">
      <c r="A573" s="153" t="s">
        <v>1449</v>
      </c>
      <c r="B573" s="140" t="s">
        <v>18</v>
      </c>
      <c r="C573" s="140" t="s">
        <v>138</v>
      </c>
      <c r="D573" s="140" t="s">
        <v>132</v>
      </c>
      <c r="E573" s="234" t="s">
        <v>1447</v>
      </c>
      <c r="F573" s="140"/>
      <c r="G573" s="140"/>
      <c r="H573" s="140"/>
      <c r="I573" s="140"/>
      <c r="J573" s="140"/>
      <c r="K573" s="140"/>
      <c r="L573" s="140"/>
      <c r="M573" s="140"/>
      <c r="N573" s="140"/>
      <c r="O573" s="140"/>
      <c r="P573" s="140"/>
      <c r="Q573" s="140"/>
      <c r="R573" s="140"/>
      <c r="S573" s="140"/>
      <c r="T573" s="140"/>
      <c r="U573" s="136"/>
      <c r="V573" s="137"/>
      <c r="W573" s="137"/>
      <c r="X573" s="137"/>
      <c r="Y573" s="135"/>
      <c r="Z573" s="268">
        <f>Z574</f>
        <v>3404518.22</v>
      </c>
      <c r="AA573" s="212">
        <v>0</v>
      </c>
      <c r="AB573" s="212">
        <v>0</v>
      </c>
      <c r="AC573" s="213"/>
    </row>
    <row r="574" spans="1:32" ht="65.25" customHeight="1" x14ac:dyDescent="0.3">
      <c r="A574" s="135" t="s">
        <v>711</v>
      </c>
      <c r="B574" s="140" t="s">
        <v>18</v>
      </c>
      <c r="C574" s="140" t="s">
        <v>138</v>
      </c>
      <c r="D574" s="140" t="s">
        <v>132</v>
      </c>
      <c r="E574" s="234" t="s">
        <v>1447</v>
      </c>
      <c r="F574" s="140"/>
      <c r="G574" s="140"/>
      <c r="H574" s="140"/>
      <c r="I574" s="140"/>
      <c r="J574" s="140"/>
      <c r="K574" s="140"/>
      <c r="L574" s="140"/>
      <c r="M574" s="140"/>
      <c r="N574" s="140"/>
      <c r="O574" s="140"/>
      <c r="P574" s="140"/>
      <c r="Q574" s="140"/>
      <c r="R574" s="140"/>
      <c r="S574" s="140"/>
      <c r="T574" s="140" t="s">
        <v>294</v>
      </c>
      <c r="U574" s="136"/>
      <c r="V574" s="137"/>
      <c r="W574" s="137"/>
      <c r="X574" s="137"/>
      <c r="Y574" s="135"/>
      <c r="Z574" s="268">
        <v>3404518.22</v>
      </c>
      <c r="AA574" s="212">
        <v>0</v>
      </c>
      <c r="AB574" s="212" t="s">
        <v>1448</v>
      </c>
      <c r="AC574" s="213"/>
    </row>
    <row r="575" spans="1:32" ht="110.25" customHeight="1" x14ac:dyDescent="0.3">
      <c r="A575" s="153" t="s">
        <v>1271</v>
      </c>
      <c r="B575" s="234" t="s">
        <v>18</v>
      </c>
      <c r="C575" s="234" t="s">
        <v>138</v>
      </c>
      <c r="D575" s="234" t="s">
        <v>132</v>
      </c>
      <c r="E575" s="234" t="s">
        <v>629</v>
      </c>
      <c r="F575" s="234"/>
      <c r="G575" s="234"/>
      <c r="H575" s="234"/>
      <c r="I575" s="234"/>
      <c r="J575" s="234"/>
      <c r="K575" s="234"/>
      <c r="L575" s="234"/>
      <c r="M575" s="234"/>
      <c r="N575" s="234"/>
      <c r="O575" s="234"/>
      <c r="P575" s="234"/>
      <c r="Q575" s="234"/>
      <c r="R575" s="234"/>
      <c r="S575" s="234"/>
      <c r="T575" s="234"/>
      <c r="U575" s="161"/>
      <c r="V575" s="206"/>
      <c r="W575" s="206"/>
      <c r="X575" s="206"/>
      <c r="Y575" s="153" t="s">
        <v>445</v>
      </c>
      <c r="Z575" s="239">
        <f>Z576</f>
        <v>400000</v>
      </c>
      <c r="AA575" s="239">
        <f>AA576</f>
        <v>400000</v>
      </c>
      <c r="AB575" s="239">
        <f>AB576</f>
        <v>400000</v>
      </c>
      <c r="AC575" s="568" t="s">
        <v>445</v>
      </c>
    </row>
    <row r="576" spans="1:32" ht="63" customHeight="1" x14ac:dyDescent="0.3">
      <c r="A576" s="135" t="s">
        <v>711</v>
      </c>
      <c r="B576" s="140" t="s">
        <v>18</v>
      </c>
      <c r="C576" s="140" t="s">
        <v>138</v>
      </c>
      <c r="D576" s="140" t="s">
        <v>132</v>
      </c>
      <c r="E576" s="234" t="s">
        <v>629</v>
      </c>
      <c r="F576" s="140"/>
      <c r="G576" s="140"/>
      <c r="H576" s="140"/>
      <c r="I576" s="140"/>
      <c r="J576" s="140"/>
      <c r="K576" s="140"/>
      <c r="L576" s="140"/>
      <c r="M576" s="140"/>
      <c r="N576" s="140"/>
      <c r="O576" s="140"/>
      <c r="P576" s="140"/>
      <c r="Q576" s="140"/>
      <c r="R576" s="140"/>
      <c r="S576" s="140"/>
      <c r="T576" s="140" t="s">
        <v>294</v>
      </c>
      <c r="U576" s="136"/>
      <c r="V576" s="137"/>
      <c r="W576" s="137"/>
      <c r="X576" s="137"/>
      <c r="Y576" s="135" t="s">
        <v>446</v>
      </c>
      <c r="Z576" s="212">
        <f>200000+200000</f>
        <v>400000</v>
      </c>
      <c r="AA576" s="212">
        <v>400000</v>
      </c>
      <c r="AB576" s="212">
        <v>400000</v>
      </c>
      <c r="AC576" s="213" t="s">
        <v>446</v>
      </c>
    </row>
    <row r="577" spans="1:33" ht="168.75" customHeight="1" x14ac:dyDescent="0.3">
      <c r="A577" s="153" t="s">
        <v>1272</v>
      </c>
      <c r="B577" s="234" t="s">
        <v>18</v>
      </c>
      <c r="C577" s="234" t="s">
        <v>138</v>
      </c>
      <c r="D577" s="234" t="s">
        <v>132</v>
      </c>
      <c r="E577" s="234" t="s">
        <v>630</v>
      </c>
      <c r="F577" s="234"/>
      <c r="G577" s="234"/>
      <c r="H577" s="234"/>
      <c r="I577" s="234"/>
      <c r="J577" s="234"/>
      <c r="K577" s="234"/>
      <c r="L577" s="234"/>
      <c r="M577" s="234"/>
      <c r="N577" s="234"/>
      <c r="O577" s="234"/>
      <c r="P577" s="234"/>
      <c r="Q577" s="234"/>
      <c r="R577" s="234"/>
      <c r="S577" s="234"/>
      <c r="T577" s="234"/>
      <c r="U577" s="161"/>
      <c r="V577" s="206"/>
      <c r="W577" s="206"/>
      <c r="X577" s="206"/>
      <c r="Y577" s="153" t="s">
        <v>447</v>
      </c>
      <c r="Z577" s="239">
        <f>Z578</f>
        <v>50000</v>
      </c>
      <c r="AA577" s="239">
        <f>AA578</f>
        <v>50000</v>
      </c>
      <c r="AB577" s="239">
        <f>AB578</f>
        <v>50000</v>
      </c>
      <c r="AC577" s="568" t="s">
        <v>447</v>
      </c>
    </row>
    <row r="578" spans="1:33" ht="54" customHeight="1" x14ac:dyDescent="0.3">
      <c r="A578" s="135" t="s">
        <v>711</v>
      </c>
      <c r="B578" s="140" t="s">
        <v>18</v>
      </c>
      <c r="C578" s="140" t="s">
        <v>138</v>
      </c>
      <c r="D578" s="140" t="s">
        <v>132</v>
      </c>
      <c r="E578" s="234" t="s">
        <v>630</v>
      </c>
      <c r="F578" s="140"/>
      <c r="G578" s="140"/>
      <c r="H578" s="140"/>
      <c r="I578" s="140"/>
      <c r="J578" s="140"/>
      <c r="K578" s="140"/>
      <c r="L578" s="140"/>
      <c r="M578" s="140"/>
      <c r="N578" s="140"/>
      <c r="O578" s="140"/>
      <c r="P578" s="140"/>
      <c r="Q578" s="140"/>
      <c r="R578" s="140"/>
      <c r="S578" s="140"/>
      <c r="T578" s="140" t="s">
        <v>294</v>
      </c>
      <c r="U578" s="136"/>
      <c r="V578" s="137"/>
      <c r="W578" s="137"/>
      <c r="X578" s="137"/>
      <c r="Y578" s="135" t="s">
        <v>448</v>
      </c>
      <c r="Z578" s="212">
        <v>50000</v>
      </c>
      <c r="AA578" s="212">
        <v>50000</v>
      </c>
      <c r="AB578" s="212">
        <v>50000</v>
      </c>
      <c r="AC578" s="213" t="s">
        <v>448</v>
      </c>
    </row>
    <row r="579" spans="1:33" ht="154.5" customHeight="1" x14ac:dyDescent="0.3">
      <c r="A579" s="342" t="s">
        <v>1311</v>
      </c>
      <c r="B579" s="140" t="s">
        <v>18</v>
      </c>
      <c r="C579" s="140" t="s">
        <v>138</v>
      </c>
      <c r="D579" s="140" t="s">
        <v>132</v>
      </c>
      <c r="E579" s="234" t="s">
        <v>938</v>
      </c>
      <c r="F579" s="140"/>
      <c r="G579" s="140"/>
      <c r="H579" s="140"/>
      <c r="I579" s="140"/>
      <c r="J579" s="140"/>
      <c r="K579" s="140"/>
      <c r="L579" s="140"/>
      <c r="M579" s="140"/>
      <c r="N579" s="140"/>
      <c r="O579" s="140"/>
      <c r="P579" s="140"/>
      <c r="Q579" s="140"/>
      <c r="R579" s="140"/>
      <c r="S579" s="140"/>
      <c r="T579" s="140"/>
      <c r="U579" s="136"/>
      <c r="V579" s="137"/>
      <c r="W579" s="137"/>
      <c r="X579" s="137"/>
      <c r="Y579" s="135"/>
      <c r="Z579" s="212">
        <f>Z580</f>
        <v>732431.34</v>
      </c>
      <c r="AA579" s="212">
        <f>AA580</f>
        <v>245998.02</v>
      </c>
      <c r="AB579" s="212">
        <f>AB580</f>
        <v>327839.67</v>
      </c>
      <c r="AC579" s="213"/>
    </row>
    <row r="580" spans="1:33" ht="64.5" customHeight="1" x14ac:dyDescent="0.3">
      <c r="A580" s="154" t="s">
        <v>711</v>
      </c>
      <c r="B580" s="140" t="s">
        <v>18</v>
      </c>
      <c r="C580" s="140" t="s">
        <v>138</v>
      </c>
      <c r="D580" s="140" t="s">
        <v>132</v>
      </c>
      <c r="E580" s="234" t="s">
        <v>938</v>
      </c>
      <c r="F580" s="140"/>
      <c r="G580" s="140"/>
      <c r="H580" s="140"/>
      <c r="I580" s="140"/>
      <c r="J580" s="140"/>
      <c r="K580" s="140"/>
      <c r="L580" s="140"/>
      <c r="M580" s="140"/>
      <c r="N580" s="140"/>
      <c r="O580" s="140"/>
      <c r="P580" s="140"/>
      <c r="Q580" s="140"/>
      <c r="R580" s="140"/>
      <c r="S580" s="140"/>
      <c r="T580" s="140" t="s">
        <v>294</v>
      </c>
      <c r="U580" s="136"/>
      <c r="V580" s="137"/>
      <c r="W580" s="137"/>
      <c r="X580" s="137"/>
      <c r="Y580" s="135"/>
      <c r="Z580" s="212">
        <f>659200+73243.13-11.79</f>
        <v>732431.34</v>
      </c>
      <c r="AA580" s="212">
        <f>246000-1.98</f>
        <v>245998.02</v>
      </c>
      <c r="AB580" s="212">
        <f>327800+39.67</f>
        <v>327839.67</v>
      </c>
      <c r="AC580" s="213"/>
    </row>
    <row r="581" spans="1:33" ht="198" hidden="1" customHeight="1" x14ac:dyDescent="0.3">
      <c r="A581" s="287" t="s">
        <v>1010</v>
      </c>
      <c r="B581" s="140" t="s">
        <v>18</v>
      </c>
      <c r="C581" s="140" t="s">
        <v>138</v>
      </c>
      <c r="D581" s="140" t="s">
        <v>132</v>
      </c>
      <c r="E581" s="234" t="s">
        <v>1009</v>
      </c>
      <c r="F581" s="140"/>
      <c r="G581" s="140"/>
      <c r="H581" s="140"/>
      <c r="I581" s="140"/>
      <c r="J581" s="140"/>
      <c r="K581" s="140"/>
      <c r="L581" s="140"/>
      <c r="M581" s="140"/>
      <c r="N581" s="140"/>
      <c r="O581" s="140"/>
      <c r="P581" s="140"/>
      <c r="Q581" s="140"/>
      <c r="R581" s="140"/>
      <c r="S581" s="140"/>
      <c r="T581" s="140"/>
      <c r="U581" s="136"/>
      <c r="V581" s="137"/>
      <c r="W581" s="137"/>
      <c r="X581" s="137"/>
      <c r="Y581" s="135"/>
      <c r="Z581" s="212">
        <f>Z582</f>
        <v>0</v>
      </c>
      <c r="AA581" s="212">
        <v>0</v>
      </c>
      <c r="AB581" s="212">
        <v>0</v>
      </c>
      <c r="AC581" s="213"/>
    </row>
    <row r="582" spans="1:33" ht="168" hidden="1" customHeight="1" x14ac:dyDescent="0.3">
      <c r="A582" s="154" t="s">
        <v>711</v>
      </c>
      <c r="B582" s="140" t="s">
        <v>18</v>
      </c>
      <c r="C582" s="140" t="s">
        <v>138</v>
      </c>
      <c r="D582" s="140" t="s">
        <v>132</v>
      </c>
      <c r="E582" s="234" t="s">
        <v>1009</v>
      </c>
      <c r="F582" s="140"/>
      <c r="G582" s="140"/>
      <c r="H582" s="140"/>
      <c r="I582" s="140"/>
      <c r="J582" s="140"/>
      <c r="K582" s="140"/>
      <c r="L582" s="140"/>
      <c r="M582" s="140"/>
      <c r="N582" s="140"/>
      <c r="O582" s="140"/>
      <c r="P582" s="140"/>
      <c r="Q582" s="140"/>
      <c r="R582" s="140"/>
      <c r="S582" s="140"/>
      <c r="T582" s="140" t="s">
        <v>294</v>
      </c>
      <c r="U582" s="136"/>
      <c r="V582" s="137"/>
      <c r="W582" s="137"/>
      <c r="X582" s="137"/>
      <c r="Y582" s="135"/>
      <c r="Z582" s="212">
        <v>0</v>
      </c>
      <c r="AA582" s="212">
        <v>0</v>
      </c>
      <c r="AB582" s="212">
        <v>0</v>
      </c>
      <c r="AC582" s="213"/>
    </row>
    <row r="583" spans="1:33" ht="323.25" customHeight="1" x14ac:dyDescent="0.3">
      <c r="A583" s="287" t="s">
        <v>1312</v>
      </c>
      <c r="B583" s="234" t="s">
        <v>18</v>
      </c>
      <c r="C583" s="234" t="s">
        <v>138</v>
      </c>
      <c r="D583" s="234" t="s">
        <v>132</v>
      </c>
      <c r="E583" s="234" t="s">
        <v>913</v>
      </c>
      <c r="F583" s="234"/>
      <c r="G583" s="234"/>
      <c r="H583" s="234"/>
      <c r="I583" s="234"/>
      <c r="J583" s="234"/>
      <c r="K583" s="234"/>
      <c r="L583" s="234"/>
      <c r="M583" s="234"/>
      <c r="N583" s="234"/>
      <c r="O583" s="234"/>
      <c r="P583" s="234"/>
      <c r="Q583" s="234"/>
      <c r="R583" s="234"/>
      <c r="S583" s="234"/>
      <c r="T583" s="234"/>
      <c r="U583" s="161"/>
      <c r="V583" s="206"/>
      <c r="W583" s="206"/>
      <c r="X583" s="206"/>
      <c r="Y583" s="155" t="s">
        <v>233</v>
      </c>
      <c r="Z583" s="239">
        <f>Z584</f>
        <v>171573816.5</v>
      </c>
      <c r="AA583" s="239">
        <f>AA584</f>
        <v>181110028.28999999</v>
      </c>
      <c r="AB583" s="239">
        <f>AB584</f>
        <v>184492583.13</v>
      </c>
      <c r="AC583" s="573" t="s">
        <v>233</v>
      </c>
    </row>
    <row r="584" spans="1:33" ht="64.5" customHeight="1" x14ac:dyDescent="0.3">
      <c r="A584" s="154" t="s">
        <v>711</v>
      </c>
      <c r="B584" s="140" t="s">
        <v>18</v>
      </c>
      <c r="C584" s="140" t="s">
        <v>138</v>
      </c>
      <c r="D584" s="140" t="s">
        <v>132</v>
      </c>
      <c r="E584" s="234" t="s">
        <v>913</v>
      </c>
      <c r="F584" s="140"/>
      <c r="G584" s="140"/>
      <c r="H584" s="140"/>
      <c r="I584" s="140"/>
      <c r="J584" s="140"/>
      <c r="K584" s="140"/>
      <c r="L584" s="140"/>
      <c r="M584" s="140"/>
      <c r="N584" s="140"/>
      <c r="O584" s="140"/>
      <c r="P584" s="140"/>
      <c r="Q584" s="140"/>
      <c r="R584" s="140"/>
      <c r="S584" s="140"/>
      <c r="T584" s="140" t="s">
        <v>294</v>
      </c>
      <c r="U584" s="136"/>
      <c r="V584" s="137"/>
      <c r="W584" s="137"/>
      <c r="X584" s="137"/>
      <c r="Y584" s="154" t="s">
        <v>449</v>
      </c>
      <c r="Z584" s="212">
        <f>163923087.76+7650706.12+22.62</f>
        <v>171573816.5</v>
      </c>
      <c r="AA584" s="212">
        <f>169910162.19+11199868.9-2.8</f>
        <v>181110028.28999999</v>
      </c>
      <c r="AB584" s="212">
        <f>169910162.19+22379518.9-7797100+2.04</f>
        <v>184492583.13</v>
      </c>
      <c r="AC584" s="569" t="s">
        <v>449</v>
      </c>
      <c r="AD584" s="127"/>
      <c r="AE584" s="127"/>
      <c r="AF584" s="127"/>
      <c r="AG584" s="127"/>
    </row>
    <row r="585" spans="1:33" ht="123" customHeight="1" x14ac:dyDescent="0.3">
      <c r="A585" s="153" t="s">
        <v>1273</v>
      </c>
      <c r="B585" s="234" t="s">
        <v>18</v>
      </c>
      <c r="C585" s="234" t="s">
        <v>138</v>
      </c>
      <c r="D585" s="234" t="s">
        <v>132</v>
      </c>
      <c r="E585" s="234" t="s">
        <v>631</v>
      </c>
      <c r="F585" s="234"/>
      <c r="G585" s="234"/>
      <c r="H585" s="234"/>
      <c r="I585" s="234"/>
      <c r="J585" s="234"/>
      <c r="K585" s="234"/>
      <c r="L585" s="234"/>
      <c r="M585" s="234"/>
      <c r="N585" s="234"/>
      <c r="O585" s="234"/>
      <c r="P585" s="234"/>
      <c r="Q585" s="234"/>
      <c r="R585" s="234"/>
      <c r="S585" s="234"/>
      <c r="T585" s="234"/>
      <c r="U585" s="161"/>
      <c r="V585" s="206"/>
      <c r="W585" s="206"/>
      <c r="X585" s="206"/>
      <c r="Y585" s="153" t="s">
        <v>450</v>
      </c>
      <c r="Z585" s="239">
        <f>Z586</f>
        <v>80000</v>
      </c>
      <c r="AA585" s="239">
        <f>AA586</f>
        <v>80000</v>
      </c>
      <c r="AB585" s="239">
        <f>AB586</f>
        <v>80000</v>
      </c>
      <c r="AC585" s="568" t="s">
        <v>450</v>
      </c>
    </row>
    <row r="586" spans="1:33" ht="60" customHeight="1" x14ac:dyDescent="0.3">
      <c r="A586" s="135" t="s">
        <v>711</v>
      </c>
      <c r="B586" s="140" t="s">
        <v>18</v>
      </c>
      <c r="C586" s="140" t="s">
        <v>138</v>
      </c>
      <c r="D586" s="140" t="s">
        <v>132</v>
      </c>
      <c r="E586" s="234" t="s">
        <v>631</v>
      </c>
      <c r="F586" s="140"/>
      <c r="G586" s="140"/>
      <c r="H586" s="140"/>
      <c r="I586" s="140"/>
      <c r="J586" s="140"/>
      <c r="K586" s="140"/>
      <c r="L586" s="140"/>
      <c r="M586" s="140"/>
      <c r="N586" s="140"/>
      <c r="O586" s="140"/>
      <c r="P586" s="140"/>
      <c r="Q586" s="140"/>
      <c r="R586" s="140"/>
      <c r="S586" s="140"/>
      <c r="T586" s="140" t="s">
        <v>294</v>
      </c>
      <c r="U586" s="136"/>
      <c r="V586" s="137"/>
      <c r="W586" s="137"/>
      <c r="X586" s="137"/>
      <c r="Y586" s="135" t="s">
        <v>451</v>
      </c>
      <c r="Z586" s="212">
        <v>80000</v>
      </c>
      <c r="AA586" s="212">
        <v>80000</v>
      </c>
      <c r="AB586" s="212">
        <v>80000</v>
      </c>
      <c r="AC586" s="213" t="s">
        <v>451</v>
      </c>
    </row>
    <row r="587" spans="1:33" ht="129" customHeight="1" x14ac:dyDescent="0.3">
      <c r="A587" s="153" t="s">
        <v>1274</v>
      </c>
      <c r="B587" s="234" t="s">
        <v>18</v>
      </c>
      <c r="C587" s="234" t="s">
        <v>138</v>
      </c>
      <c r="D587" s="234" t="s">
        <v>132</v>
      </c>
      <c r="E587" s="234" t="s">
        <v>632</v>
      </c>
      <c r="F587" s="234"/>
      <c r="G587" s="234"/>
      <c r="H587" s="234"/>
      <c r="I587" s="234"/>
      <c r="J587" s="234"/>
      <c r="K587" s="234"/>
      <c r="L587" s="234"/>
      <c r="M587" s="234"/>
      <c r="N587" s="234"/>
      <c r="O587" s="234"/>
      <c r="P587" s="234"/>
      <c r="Q587" s="234"/>
      <c r="R587" s="234"/>
      <c r="S587" s="234"/>
      <c r="T587" s="234"/>
      <c r="U587" s="161"/>
      <c r="V587" s="206"/>
      <c r="W587" s="206"/>
      <c r="X587" s="206"/>
      <c r="Y587" s="153" t="s">
        <v>452</v>
      </c>
      <c r="Z587" s="239">
        <f>Z588</f>
        <v>50000</v>
      </c>
      <c r="AA587" s="239">
        <f>AA588</f>
        <v>10000</v>
      </c>
      <c r="AB587" s="239">
        <f>AB588</f>
        <v>10000</v>
      </c>
      <c r="AC587" s="568" t="s">
        <v>452</v>
      </c>
      <c r="AE587" s="127"/>
    </row>
    <row r="588" spans="1:33" ht="111.75" customHeight="1" x14ac:dyDescent="0.3">
      <c r="A588" s="135" t="s">
        <v>453</v>
      </c>
      <c r="B588" s="140" t="s">
        <v>18</v>
      </c>
      <c r="C588" s="140" t="s">
        <v>138</v>
      </c>
      <c r="D588" s="140" t="s">
        <v>132</v>
      </c>
      <c r="E588" s="234" t="s">
        <v>632</v>
      </c>
      <c r="F588" s="140"/>
      <c r="G588" s="140"/>
      <c r="H588" s="140"/>
      <c r="I588" s="140"/>
      <c r="J588" s="140"/>
      <c r="K588" s="140"/>
      <c r="L588" s="140"/>
      <c r="M588" s="140"/>
      <c r="N588" s="140"/>
      <c r="O588" s="140"/>
      <c r="P588" s="140"/>
      <c r="Q588" s="140"/>
      <c r="R588" s="140"/>
      <c r="S588" s="140"/>
      <c r="T588" s="140" t="s">
        <v>294</v>
      </c>
      <c r="U588" s="136"/>
      <c r="V588" s="137"/>
      <c r="W588" s="137"/>
      <c r="X588" s="137"/>
      <c r="Y588" s="135" t="s">
        <v>453</v>
      </c>
      <c r="Z588" s="212">
        <v>50000</v>
      </c>
      <c r="AA588" s="212">
        <v>10000</v>
      </c>
      <c r="AB588" s="212">
        <v>10000</v>
      </c>
      <c r="AC588" s="213" t="s">
        <v>453</v>
      </c>
    </row>
    <row r="589" spans="1:33" ht="127.5" customHeight="1" x14ac:dyDescent="0.3">
      <c r="A589" s="153" t="s">
        <v>1275</v>
      </c>
      <c r="B589" s="234" t="s">
        <v>18</v>
      </c>
      <c r="C589" s="234" t="s">
        <v>138</v>
      </c>
      <c r="D589" s="234" t="s">
        <v>132</v>
      </c>
      <c r="E589" s="234" t="s">
        <v>633</v>
      </c>
      <c r="F589" s="234"/>
      <c r="G589" s="234"/>
      <c r="H589" s="234"/>
      <c r="I589" s="234"/>
      <c r="J589" s="234"/>
      <c r="K589" s="234"/>
      <c r="L589" s="234"/>
      <c r="M589" s="234"/>
      <c r="N589" s="234"/>
      <c r="O589" s="234"/>
      <c r="P589" s="234"/>
      <c r="Q589" s="234"/>
      <c r="R589" s="234"/>
      <c r="S589" s="234"/>
      <c r="T589" s="234"/>
      <c r="U589" s="161"/>
      <c r="V589" s="206"/>
      <c r="W589" s="206"/>
      <c r="X589" s="206"/>
      <c r="Y589" s="153" t="s">
        <v>454</v>
      </c>
      <c r="Z589" s="239">
        <f>Z590</f>
        <v>20000</v>
      </c>
      <c r="AA589" s="239">
        <f>AA590</f>
        <v>20000</v>
      </c>
      <c r="AB589" s="239">
        <f>AB590</f>
        <v>20000</v>
      </c>
      <c r="AC589" s="568" t="s">
        <v>454</v>
      </c>
    </row>
    <row r="590" spans="1:33" ht="64.5" customHeight="1" x14ac:dyDescent="0.3">
      <c r="A590" s="135" t="s">
        <v>711</v>
      </c>
      <c r="B590" s="140" t="s">
        <v>18</v>
      </c>
      <c r="C590" s="140" t="s">
        <v>138</v>
      </c>
      <c r="D590" s="140" t="s">
        <v>132</v>
      </c>
      <c r="E590" s="234" t="s">
        <v>633</v>
      </c>
      <c r="F590" s="140"/>
      <c r="G590" s="140"/>
      <c r="H590" s="140"/>
      <c r="I590" s="140"/>
      <c r="J590" s="140"/>
      <c r="K590" s="140"/>
      <c r="L590" s="140"/>
      <c r="M590" s="140"/>
      <c r="N590" s="140"/>
      <c r="O590" s="140"/>
      <c r="P590" s="140"/>
      <c r="Q590" s="140"/>
      <c r="R590" s="140"/>
      <c r="S590" s="140"/>
      <c r="T590" s="140" t="s">
        <v>294</v>
      </c>
      <c r="U590" s="136"/>
      <c r="V590" s="137"/>
      <c r="W590" s="137"/>
      <c r="X590" s="137"/>
      <c r="Y590" s="135" t="s">
        <v>455</v>
      </c>
      <c r="Z590" s="212">
        <v>20000</v>
      </c>
      <c r="AA590" s="212">
        <v>20000</v>
      </c>
      <c r="AB590" s="212">
        <v>20000</v>
      </c>
      <c r="AC590" s="213" t="s">
        <v>455</v>
      </c>
    </row>
    <row r="591" spans="1:33" ht="100.5" customHeight="1" thickBot="1" x14ac:dyDescent="0.35">
      <c r="A591" s="492" t="s">
        <v>1488</v>
      </c>
      <c r="B591" s="140" t="s">
        <v>18</v>
      </c>
      <c r="C591" s="140" t="s">
        <v>138</v>
      </c>
      <c r="D591" s="140" t="s">
        <v>132</v>
      </c>
      <c r="E591" s="234" t="s">
        <v>613</v>
      </c>
      <c r="F591" s="140"/>
      <c r="G591" s="140"/>
      <c r="H591" s="140"/>
      <c r="I591" s="140"/>
      <c r="J591" s="140"/>
      <c r="K591" s="140"/>
      <c r="L591" s="140"/>
      <c r="M591" s="140"/>
      <c r="N591" s="140"/>
      <c r="O591" s="140"/>
      <c r="P591" s="140"/>
      <c r="Q591" s="140"/>
      <c r="R591" s="140"/>
      <c r="S591" s="140"/>
      <c r="T591" s="140"/>
      <c r="U591" s="136"/>
      <c r="V591" s="137"/>
      <c r="W591" s="137"/>
      <c r="X591" s="137"/>
      <c r="Y591" s="135"/>
      <c r="Z591" s="212">
        <f>Z592</f>
        <v>180000</v>
      </c>
      <c r="AA591" s="212">
        <f>AA592</f>
        <v>180000</v>
      </c>
      <c r="AB591" s="212">
        <f>AB592</f>
        <v>180000</v>
      </c>
      <c r="AC591" s="213"/>
    </row>
    <row r="592" spans="1:33" ht="68.25" customHeight="1" x14ac:dyDescent="0.3">
      <c r="A592" s="226" t="s">
        <v>711</v>
      </c>
      <c r="B592" s="140" t="s">
        <v>18</v>
      </c>
      <c r="C592" s="140" t="s">
        <v>138</v>
      </c>
      <c r="D592" s="140" t="s">
        <v>132</v>
      </c>
      <c r="E592" s="234" t="s">
        <v>613</v>
      </c>
      <c r="F592" s="140"/>
      <c r="G592" s="140"/>
      <c r="H592" s="140"/>
      <c r="I592" s="140"/>
      <c r="J592" s="140"/>
      <c r="K592" s="140"/>
      <c r="L592" s="140"/>
      <c r="M592" s="140"/>
      <c r="N592" s="140"/>
      <c r="O592" s="140"/>
      <c r="P592" s="140"/>
      <c r="Q592" s="140"/>
      <c r="R592" s="140"/>
      <c r="S592" s="140"/>
      <c r="T592" s="140" t="s">
        <v>294</v>
      </c>
      <c r="U592" s="136"/>
      <c r="V592" s="137"/>
      <c r="W592" s="137"/>
      <c r="X592" s="137"/>
      <c r="Y592" s="135"/>
      <c r="Z592" s="212">
        <v>180000</v>
      </c>
      <c r="AA592" s="212">
        <v>180000</v>
      </c>
      <c r="AB592" s="212">
        <v>180000</v>
      </c>
      <c r="AC592" s="213"/>
    </row>
    <row r="593" spans="1:29" ht="96.75" customHeight="1" x14ac:dyDescent="0.3">
      <c r="A593" s="153" t="s">
        <v>456</v>
      </c>
      <c r="B593" s="234" t="s">
        <v>18</v>
      </c>
      <c r="C593" s="234" t="s">
        <v>138</v>
      </c>
      <c r="D593" s="234" t="s">
        <v>132</v>
      </c>
      <c r="E593" s="234" t="s">
        <v>634</v>
      </c>
      <c r="F593" s="234"/>
      <c r="G593" s="234"/>
      <c r="H593" s="234"/>
      <c r="I593" s="234"/>
      <c r="J593" s="234"/>
      <c r="K593" s="234"/>
      <c r="L593" s="234"/>
      <c r="M593" s="234"/>
      <c r="N593" s="234"/>
      <c r="O593" s="234"/>
      <c r="P593" s="234"/>
      <c r="Q593" s="234"/>
      <c r="R593" s="234"/>
      <c r="S593" s="234"/>
      <c r="T593" s="234"/>
      <c r="U593" s="161"/>
      <c r="V593" s="206"/>
      <c r="W593" s="206"/>
      <c r="X593" s="206"/>
      <c r="Y593" s="153" t="s">
        <v>456</v>
      </c>
      <c r="Z593" s="239">
        <f>Z594</f>
        <v>166500</v>
      </c>
      <c r="AA593" s="239">
        <f>AA594</f>
        <v>193500</v>
      </c>
      <c r="AB593" s="239">
        <f>AB594</f>
        <v>193500</v>
      </c>
      <c r="AC593" s="568" t="s">
        <v>456</v>
      </c>
    </row>
    <row r="594" spans="1:29" ht="70.5" customHeight="1" x14ac:dyDescent="0.3">
      <c r="A594" s="135" t="s">
        <v>711</v>
      </c>
      <c r="B594" s="140" t="s">
        <v>18</v>
      </c>
      <c r="C594" s="140" t="s">
        <v>138</v>
      </c>
      <c r="D594" s="140" t="s">
        <v>132</v>
      </c>
      <c r="E594" s="234" t="s">
        <v>634</v>
      </c>
      <c r="F594" s="140"/>
      <c r="G594" s="140"/>
      <c r="H594" s="140"/>
      <c r="I594" s="140"/>
      <c r="J594" s="140"/>
      <c r="K594" s="140"/>
      <c r="L594" s="140"/>
      <c r="M594" s="140"/>
      <c r="N594" s="140"/>
      <c r="O594" s="140"/>
      <c r="P594" s="140"/>
      <c r="Q594" s="140"/>
      <c r="R594" s="140"/>
      <c r="S594" s="140"/>
      <c r="T594" s="140" t="s">
        <v>294</v>
      </c>
      <c r="U594" s="136"/>
      <c r="V594" s="137"/>
      <c r="W594" s="137"/>
      <c r="X594" s="137"/>
      <c r="Y594" s="135" t="s">
        <v>457</v>
      </c>
      <c r="Z594" s="212">
        <v>166500</v>
      </c>
      <c r="AA594" s="212">
        <v>193500</v>
      </c>
      <c r="AB594" s="212">
        <v>193500</v>
      </c>
      <c r="AC594" s="213" t="s">
        <v>457</v>
      </c>
    </row>
    <row r="595" spans="1:29" ht="37.15" customHeight="1" x14ac:dyDescent="0.3">
      <c r="A595" s="159" t="s">
        <v>709</v>
      </c>
      <c r="B595" s="160" t="s">
        <v>18</v>
      </c>
      <c r="C595" s="160" t="s">
        <v>138</v>
      </c>
      <c r="D595" s="160" t="s">
        <v>138</v>
      </c>
      <c r="E595" s="160"/>
      <c r="F595" s="160"/>
      <c r="G595" s="160"/>
      <c r="H595" s="160"/>
      <c r="I595" s="160"/>
      <c r="J595" s="160"/>
      <c r="K595" s="160"/>
      <c r="L595" s="160"/>
      <c r="M595" s="160"/>
      <c r="N595" s="160"/>
      <c r="O595" s="160"/>
      <c r="P595" s="160"/>
      <c r="Q595" s="160"/>
      <c r="R595" s="160"/>
      <c r="S595" s="160"/>
      <c r="T595" s="160"/>
      <c r="U595" s="160"/>
      <c r="V595" s="214"/>
      <c r="W595" s="214"/>
      <c r="X595" s="214"/>
      <c r="Y595" s="159" t="s">
        <v>157</v>
      </c>
      <c r="Z595" s="215">
        <f>Z596+Z604+Z599+Z601</f>
        <v>3894332.0200000005</v>
      </c>
      <c r="AA595" s="215">
        <f>AA596+AA604+AA599+AA601</f>
        <v>3894332.27</v>
      </c>
      <c r="AB595" s="215">
        <f>AB596+AB604+AB599+AB601</f>
        <v>2911643.14</v>
      </c>
      <c r="AC595" s="292" t="s">
        <v>157</v>
      </c>
    </row>
    <row r="596" spans="1:29" ht="141.75" customHeight="1" x14ac:dyDescent="0.3">
      <c r="A596" s="153" t="s">
        <v>1313</v>
      </c>
      <c r="B596" s="234" t="s">
        <v>18</v>
      </c>
      <c r="C596" s="234" t="s">
        <v>138</v>
      </c>
      <c r="D596" s="234" t="s">
        <v>138</v>
      </c>
      <c r="E596" s="234" t="s">
        <v>636</v>
      </c>
      <c r="F596" s="234"/>
      <c r="G596" s="234"/>
      <c r="H596" s="234"/>
      <c r="I596" s="234"/>
      <c r="J596" s="234"/>
      <c r="K596" s="234"/>
      <c r="L596" s="234"/>
      <c r="M596" s="234"/>
      <c r="N596" s="234"/>
      <c r="O596" s="234"/>
      <c r="P596" s="234"/>
      <c r="Q596" s="234"/>
      <c r="R596" s="234"/>
      <c r="S596" s="234"/>
      <c r="T596" s="234"/>
      <c r="U596" s="161"/>
      <c r="V596" s="206"/>
      <c r="W596" s="206"/>
      <c r="X596" s="206"/>
      <c r="Y596" s="153" t="s">
        <v>458</v>
      </c>
      <c r="Z596" s="239">
        <f>Z598+Z597</f>
        <v>2345074.2200000002</v>
      </c>
      <c r="AA596" s="239">
        <f t="shared" ref="AA596:AB596" si="21">AA598</f>
        <v>2500000</v>
      </c>
      <c r="AB596" s="239">
        <f t="shared" si="21"/>
        <v>2500000</v>
      </c>
      <c r="AC596" s="568" t="s">
        <v>458</v>
      </c>
    </row>
    <row r="597" spans="1:29" ht="0.75" customHeight="1" x14ac:dyDescent="0.3">
      <c r="A597" s="153" t="s">
        <v>884</v>
      </c>
      <c r="B597" s="140" t="s">
        <v>18</v>
      </c>
      <c r="C597" s="140" t="s">
        <v>138</v>
      </c>
      <c r="D597" s="140" t="s">
        <v>138</v>
      </c>
      <c r="E597" s="234" t="s">
        <v>636</v>
      </c>
      <c r="F597" s="234"/>
      <c r="G597" s="234"/>
      <c r="H597" s="234"/>
      <c r="I597" s="234"/>
      <c r="J597" s="234"/>
      <c r="K597" s="234"/>
      <c r="L597" s="234"/>
      <c r="M597" s="234"/>
      <c r="N597" s="234"/>
      <c r="O597" s="234"/>
      <c r="P597" s="234"/>
      <c r="Q597" s="234"/>
      <c r="R597" s="234"/>
      <c r="S597" s="234"/>
      <c r="T597" s="234" t="s">
        <v>275</v>
      </c>
      <c r="U597" s="161"/>
      <c r="V597" s="206"/>
      <c r="W597" s="206"/>
      <c r="X597" s="206"/>
      <c r="Y597" s="153"/>
      <c r="Z597" s="239">
        <v>0</v>
      </c>
      <c r="AA597" s="239">
        <v>0</v>
      </c>
      <c r="AB597" s="239">
        <v>0</v>
      </c>
      <c r="AC597" s="568"/>
    </row>
    <row r="598" spans="1:29" ht="69" customHeight="1" x14ac:dyDescent="0.3">
      <c r="A598" s="135" t="s">
        <v>711</v>
      </c>
      <c r="B598" s="140" t="s">
        <v>18</v>
      </c>
      <c r="C598" s="140" t="s">
        <v>138</v>
      </c>
      <c r="D598" s="140" t="s">
        <v>138</v>
      </c>
      <c r="E598" s="234" t="s">
        <v>636</v>
      </c>
      <c r="F598" s="140"/>
      <c r="G598" s="140"/>
      <c r="H598" s="140"/>
      <c r="I598" s="140"/>
      <c r="J598" s="140"/>
      <c r="K598" s="140"/>
      <c r="L598" s="140"/>
      <c r="M598" s="140"/>
      <c r="N598" s="140"/>
      <c r="O598" s="140"/>
      <c r="P598" s="140"/>
      <c r="Q598" s="140"/>
      <c r="R598" s="140"/>
      <c r="S598" s="140"/>
      <c r="T598" s="140" t="s">
        <v>294</v>
      </c>
      <c r="U598" s="136"/>
      <c r="V598" s="137"/>
      <c r="W598" s="137"/>
      <c r="X598" s="137"/>
      <c r="Y598" s="135" t="s">
        <v>459</v>
      </c>
      <c r="Z598" s="212">
        <f>2500000-154925.78</f>
        <v>2345074.2200000002</v>
      </c>
      <c r="AA598" s="212">
        <v>2500000</v>
      </c>
      <c r="AB598" s="212">
        <v>2500000</v>
      </c>
      <c r="AC598" s="213" t="s">
        <v>459</v>
      </c>
    </row>
    <row r="599" spans="1:29" ht="0.75" hidden="1" customHeight="1" x14ac:dyDescent="0.3">
      <c r="A599" s="153" t="s">
        <v>635</v>
      </c>
      <c r="B599" s="234" t="s">
        <v>18</v>
      </c>
      <c r="C599" s="234" t="s">
        <v>138</v>
      </c>
      <c r="D599" s="234" t="s">
        <v>138</v>
      </c>
      <c r="E599" s="234" t="s">
        <v>785</v>
      </c>
      <c r="F599" s="234"/>
      <c r="G599" s="234"/>
      <c r="H599" s="234"/>
      <c r="I599" s="234"/>
      <c r="J599" s="234"/>
      <c r="K599" s="234"/>
      <c r="L599" s="234"/>
      <c r="M599" s="234"/>
      <c r="N599" s="234"/>
      <c r="O599" s="234"/>
      <c r="P599" s="234"/>
      <c r="Q599" s="234"/>
      <c r="R599" s="234"/>
      <c r="S599" s="234"/>
      <c r="T599" s="234"/>
      <c r="U599" s="136"/>
      <c r="V599" s="137"/>
      <c r="W599" s="137"/>
      <c r="X599" s="137"/>
      <c r="Y599" s="135"/>
      <c r="Z599" s="212">
        <f>Z600</f>
        <v>0</v>
      </c>
      <c r="AA599" s="212">
        <f>AA600</f>
        <v>0</v>
      </c>
      <c r="AB599" s="212">
        <f>AB600</f>
        <v>0</v>
      </c>
      <c r="AC599" s="213"/>
    </row>
    <row r="600" spans="1:29" ht="103.5" hidden="1" customHeight="1" x14ac:dyDescent="0.3">
      <c r="A600" s="135" t="s">
        <v>459</v>
      </c>
      <c r="B600" s="140" t="s">
        <v>18</v>
      </c>
      <c r="C600" s="140" t="s">
        <v>138</v>
      </c>
      <c r="D600" s="140" t="s">
        <v>138</v>
      </c>
      <c r="E600" s="234" t="s">
        <v>785</v>
      </c>
      <c r="F600" s="140"/>
      <c r="G600" s="140"/>
      <c r="H600" s="140"/>
      <c r="I600" s="140"/>
      <c r="J600" s="140"/>
      <c r="K600" s="140"/>
      <c r="L600" s="140"/>
      <c r="M600" s="140"/>
      <c r="N600" s="140"/>
      <c r="O600" s="140"/>
      <c r="P600" s="140"/>
      <c r="Q600" s="140"/>
      <c r="R600" s="140"/>
      <c r="S600" s="140"/>
      <c r="T600" s="140" t="s">
        <v>294</v>
      </c>
      <c r="U600" s="136"/>
      <c r="V600" s="137"/>
      <c r="W600" s="137"/>
      <c r="X600" s="137"/>
      <c r="Y600" s="135"/>
      <c r="Z600" s="212">
        <v>0</v>
      </c>
      <c r="AA600" s="212">
        <v>0</v>
      </c>
      <c r="AB600" s="212">
        <v>0</v>
      </c>
      <c r="AC600" s="213"/>
    </row>
    <row r="601" spans="1:29" ht="142.5" customHeight="1" x14ac:dyDescent="0.3">
      <c r="A601" s="153" t="s">
        <v>1279</v>
      </c>
      <c r="B601" s="140" t="s">
        <v>18</v>
      </c>
      <c r="C601" s="140" t="s">
        <v>138</v>
      </c>
      <c r="D601" s="140" t="s">
        <v>138</v>
      </c>
      <c r="E601" s="234" t="s">
        <v>785</v>
      </c>
      <c r="F601" s="140"/>
      <c r="G601" s="140"/>
      <c r="H601" s="140"/>
      <c r="I601" s="140"/>
      <c r="J601" s="140"/>
      <c r="K601" s="140"/>
      <c r="L601" s="140"/>
      <c r="M601" s="140"/>
      <c r="N601" s="140"/>
      <c r="O601" s="140"/>
      <c r="P601" s="140"/>
      <c r="Q601" s="140"/>
      <c r="R601" s="140"/>
      <c r="S601" s="140"/>
      <c r="T601" s="140"/>
      <c r="U601" s="136"/>
      <c r="V601" s="137"/>
      <c r="W601" s="137"/>
      <c r="X601" s="137"/>
      <c r="Y601" s="135"/>
      <c r="Z601" s="212">
        <f>Z603+Z602+Z605</f>
        <v>1549257.8</v>
      </c>
      <c r="AA601" s="212">
        <f>AA603</f>
        <v>1394332.27</v>
      </c>
      <c r="AB601" s="212">
        <f>AB603</f>
        <v>411643.14</v>
      </c>
      <c r="AC601" s="213"/>
    </row>
    <row r="602" spans="1:29" ht="0.75" hidden="1" customHeight="1" x14ac:dyDescent="0.3">
      <c r="A602" s="135" t="s">
        <v>565</v>
      </c>
      <c r="B602" s="140" t="s">
        <v>18</v>
      </c>
      <c r="C602" s="140" t="s">
        <v>138</v>
      </c>
      <c r="D602" s="140" t="s">
        <v>138</v>
      </c>
      <c r="E602" s="234" t="s">
        <v>785</v>
      </c>
      <c r="F602" s="140"/>
      <c r="G602" s="140"/>
      <c r="H602" s="140"/>
      <c r="I602" s="140"/>
      <c r="J602" s="140"/>
      <c r="K602" s="140"/>
      <c r="L602" s="140"/>
      <c r="M602" s="140"/>
      <c r="N602" s="140"/>
      <c r="O602" s="140"/>
      <c r="P602" s="140"/>
      <c r="Q602" s="140"/>
      <c r="R602" s="140"/>
      <c r="S602" s="140"/>
      <c r="T602" s="140" t="s">
        <v>275</v>
      </c>
      <c r="U602" s="136"/>
      <c r="V602" s="137"/>
      <c r="W602" s="137"/>
      <c r="X602" s="137"/>
      <c r="Y602" s="135"/>
      <c r="Z602" s="212">
        <v>0</v>
      </c>
      <c r="AA602" s="212">
        <v>0</v>
      </c>
      <c r="AB602" s="212">
        <v>0</v>
      </c>
      <c r="AC602" s="213"/>
    </row>
    <row r="603" spans="1:29" ht="54.75" customHeight="1" x14ac:dyDescent="0.3">
      <c r="A603" s="135" t="s">
        <v>711</v>
      </c>
      <c r="B603" s="140" t="s">
        <v>18</v>
      </c>
      <c r="C603" s="140" t="s">
        <v>138</v>
      </c>
      <c r="D603" s="140" t="s">
        <v>138</v>
      </c>
      <c r="E603" s="234" t="s">
        <v>785</v>
      </c>
      <c r="F603" s="140"/>
      <c r="G603" s="140"/>
      <c r="H603" s="140"/>
      <c r="I603" s="140"/>
      <c r="J603" s="140"/>
      <c r="K603" s="140"/>
      <c r="L603" s="140"/>
      <c r="M603" s="140"/>
      <c r="N603" s="140"/>
      <c r="O603" s="140"/>
      <c r="P603" s="140"/>
      <c r="Q603" s="140"/>
      <c r="R603" s="140"/>
      <c r="S603" s="140"/>
      <c r="T603" s="140" t="s">
        <v>294</v>
      </c>
      <c r="U603" s="136"/>
      <c r="V603" s="137"/>
      <c r="W603" s="137"/>
      <c r="X603" s="137"/>
      <c r="Y603" s="135"/>
      <c r="Z603" s="212">
        <f>1394300+32.02+154925.78</f>
        <v>1549257.8</v>
      </c>
      <c r="AA603" s="212">
        <f>1394300+32.27</f>
        <v>1394332.27</v>
      </c>
      <c r="AB603" s="212">
        <f>411600+43.14</f>
        <v>411643.14</v>
      </c>
      <c r="AC603" s="213"/>
    </row>
    <row r="604" spans="1:29" ht="47.25" hidden="1" customHeight="1" x14ac:dyDescent="0.3">
      <c r="A604" s="135" t="s">
        <v>729</v>
      </c>
      <c r="B604" s="140" t="s">
        <v>18</v>
      </c>
      <c r="C604" s="140" t="s">
        <v>138</v>
      </c>
      <c r="D604" s="140" t="s">
        <v>138</v>
      </c>
      <c r="E604" s="234" t="s">
        <v>712</v>
      </c>
      <c r="F604" s="140"/>
      <c r="G604" s="140"/>
      <c r="H604" s="140"/>
      <c r="I604" s="140"/>
      <c r="J604" s="140"/>
      <c r="K604" s="140"/>
      <c r="L604" s="140"/>
      <c r="M604" s="140"/>
      <c r="N604" s="140"/>
      <c r="O604" s="140"/>
      <c r="P604" s="140"/>
      <c r="Q604" s="140"/>
      <c r="R604" s="140"/>
      <c r="S604" s="140"/>
      <c r="T604" s="140"/>
      <c r="U604" s="136"/>
      <c r="V604" s="137"/>
      <c r="W604" s="137"/>
      <c r="X604" s="137"/>
      <c r="Y604" s="135"/>
      <c r="Z604" s="212">
        <v>0</v>
      </c>
      <c r="AA604" s="212">
        <v>0</v>
      </c>
      <c r="AB604" s="212">
        <f>AB605</f>
        <v>0</v>
      </c>
      <c r="AC604" s="213"/>
    </row>
    <row r="605" spans="1:29" ht="54.75" hidden="1" customHeight="1" x14ac:dyDescent="0.3">
      <c r="A605" s="135" t="s">
        <v>565</v>
      </c>
      <c r="B605" s="140" t="s">
        <v>18</v>
      </c>
      <c r="C605" s="140" t="s">
        <v>138</v>
      </c>
      <c r="D605" s="140" t="s">
        <v>138</v>
      </c>
      <c r="E605" s="234" t="s">
        <v>785</v>
      </c>
      <c r="F605" s="140"/>
      <c r="G605" s="140"/>
      <c r="H605" s="140"/>
      <c r="I605" s="140"/>
      <c r="J605" s="140"/>
      <c r="K605" s="140"/>
      <c r="L605" s="140"/>
      <c r="M605" s="140"/>
      <c r="N605" s="140"/>
      <c r="O605" s="140"/>
      <c r="P605" s="140"/>
      <c r="Q605" s="140"/>
      <c r="R605" s="140"/>
      <c r="S605" s="140"/>
      <c r="T605" s="140" t="s">
        <v>275</v>
      </c>
      <c r="U605" s="136"/>
      <c r="V605" s="137"/>
      <c r="W605" s="137"/>
      <c r="X605" s="137"/>
      <c r="Y605" s="135"/>
      <c r="Z605" s="212">
        <v>0</v>
      </c>
      <c r="AA605" s="212">
        <f>1035200-1035200</f>
        <v>0</v>
      </c>
      <c r="AB605" s="212">
        <f>1278800-1278800</f>
        <v>0</v>
      </c>
      <c r="AC605" s="213"/>
    </row>
    <row r="606" spans="1:29" ht="36.75" customHeight="1" x14ac:dyDescent="0.3">
      <c r="A606" s="159" t="s">
        <v>158</v>
      </c>
      <c r="B606" s="160" t="s">
        <v>18</v>
      </c>
      <c r="C606" s="160" t="s">
        <v>138</v>
      </c>
      <c r="D606" s="160" t="s">
        <v>127</v>
      </c>
      <c r="E606" s="160"/>
      <c r="F606" s="160"/>
      <c r="G606" s="160"/>
      <c r="H606" s="160"/>
      <c r="I606" s="160"/>
      <c r="J606" s="160"/>
      <c r="K606" s="160"/>
      <c r="L606" s="160"/>
      <c r="M606" s="160"/>
      <c r="N606" s="160"/>
      <c r="O606" s="160"/>
      <c r="P606" s="160"/>
      <c r="Q606" s="160"/>
      <c r="R606" s="160"/>
      <c r="S606" s="160"/>
      <c r="T606" s="160"/>
      <c r="U606" s="160"/>
      <c r="V606" s="214"/>
      <c r="W606" s="214"/>
      <c r="X606" s="214"/>
      <c r="Y606" s="159" t="s">
        <v>158</v>
      </c>
      <c r="Z606" s="215">
        <f>Z609+Z619+Z625+Z623+Z615+Z607</f>
        <v>29377475.260000002</v>
      </c>
      <c r="AA606" s="215">
        <f>AA609+AA619+AA625+AA623+AA615+AA607</f>
        <v>25603435.960000001</v>
      </c>
      <c r="AB606" s="215">
        <f>AB609+AB619+AB625+AB623+AB615+AB607</f>
        <v>24394219.469999999</v>
      </c>
      <c r="AC606" s="292" t="s">
        <v>158</v>
      </c>
    </row>
    <row r="607" spans="1:29" ht="168.75" hidden="1" customHeight="1" x14ac:dyDescent="0.3">
      <c r="A607" s="155" t="s">
        <v>1351</v>
      </c>
      <c r="B607" s="136" t="s">
        <v>18</v>
      </c>
      <c r="C607" s="136" t="s">
        <v>138</v>
      </c>
      <c r="D607" s="136" t="s">
        <v>127</v>
      </c>
      <c r="E607" s="161" t="s">
        <v>1122</v>
      </c>
      <c r="F607" s="161"/>
      <c r="G607" s="161"/>
      <c r="H607" s="161"/>
      <c r="I607" s="161"/>
      <c r="J607" s="161"/>
      <c r="K607" s="161"/>
      <c r="L607" s="161"/>
      <c r="M607" s="161"/>
      <c r="N607" s="161"/>
      <c r="O607" s="161"/>
      <c r="P607" s="161"/>
      <c r="Q607" s="161"/>
      <c r="R607" s="161"/>
      <c r="S607" s="161"/>
      <c r="T607" s="161"/>
      <c r="U607" s="161"/>
      <c r="V607" s="206"/>
      <c r="W607" s="206"/>
      <c r="X607" s="206"/>
      <c r="Y607" s="153"/>
      <c r="Z607" s="239">
        <v>0</v>
      </c>
      <c r="AA607" s="239">
        <v>0</v>
      </c>
      <c r="AB607" s="239">
        <v>0</v>
      </c>
      <c r="AC607" s="292"/>
    </row>
    <row r="608" spans="1:29" ht="107.25" hidden="1" customHeight="1" x14ac:dyDescent="0.3">
      <c r="A608" s="154" t="s">
        <v>726</v>
      </c>
      <c r="B608" s="136" t="s">
        <v>18</v>
      </c>
      <c r="C608" s="136" t="s">
        <v>138</v>
      </c>
      <c r="D608" s="136" t="s">
        <v>127</v>
      </c>
      <c r="E608" s="161" t="s">
        <v>1122</v>
      </c>
      <c r="F608" s="161"/>
      <c r="G608" s="161"/>
      <c r="H608" s="161"/>
      <c r="I608" s="161"/>
      <c r="J608" s="161"/>
      <c r="K608" s="161"/>
      <c r="L608" s="161"/>
      <c r="M608" s="161"/>
      <c r="N608" s="161"/>
      <c r="O608" s="161"/>
      <c r="P608" s="161"/>
      <c r="Q608" s="161"/>
      <c r="R608" s="161"/>
      <c r="S608" s="161"/>
      <c r="T608" s="161" t="s">
        <v>38</v>
      </c>
      <c r="U608" s="161"/>
      <c r="V608" s="206"/>
      <c r="W608" s="206"/>
      <c r="X608" s="206"/>
      <c r="Y608" s="153"/>
      <c r="Z608" s="239">
        <v>0</v>
      </c>
      <c r="AA608" s="239">
        <v>0</v>
      </c>
      <c r="AB608" s="239">
        <v>0</v>
      </c>
      <c r="AC608" s="292"/>
    </row>
    <row r="609" spans="1:29" ht="163.5" customHeight="1" x14ac:dyDescent="0.3">
      <c r="A609" s="153" t="s">
        <v>1281</v>
      </c>
      <c r="B609" s="161" t="s">
        <v>18</v>
      </c>
      <c r="C609" s="161" t="s">
        <v>138</v>
      </c>
      <c r="D609" s="161" t="s">
        <v>127</v>
      </c>
      <c r="E609" s="161" t="s">
        <v>637</v>
      </c>
      <c r="F609" s="161"/>
      <c r="G609" s="161"/>
      <c r="H609" s="161"/>
      <c r="I609" s="161"/>
      <c r="J609" s="161"/>
      <c r="K609" s="161"/>
      <c r="L609" s="161"/>
      <c r="M609" s="161"/>
      <c r="N609" s="161"/>
      <c r="O609" s="161"/>
      <c r="P609" s="161"/>
      <c r="Q609" s="161"/>
      <c r="R609" s="161"/>
      <c r="S609" s="161"/>
      <c r="T609" s="161"/>
      <c r="U609" s="161"/>
      <c r="V609" s="206"/>
      <c r="W609" s="206"/>
      <c r="X609" s="206"/>
      <c r="Y609" s="153" t="s">
        <v>460</v>
      </c>
      <c r="Z609" s="239">
        <f>Z612+Z613+Z614+Z610</f>
        <v>6974935.1100000003</v>
      </c>
      <c r="AA609" s="239">
        <f>AA612+AA613+AA5014+AA610</f>
        <v>6134313.7400000002</v>
      </c>
      <c r="AB609" s="239">
        <f>AB612+AB613+AB610</f>
        <v>6134313.7400000002</v>
      </c>
      <c r="AC609" s="568" t="s">
        <v>460</v>
      </c>
    </row>
    <row r="610" spans="1:29" ht="188.25" hidden="1" customHeight="1" x14ac:dyDescent="0.3">
      <c r="A610" s="155"/>
      <c r="B610" s="136"/>
      <c r="C610" s="136"/>
      <c r="D610" s="136"/>
      <c r="E610" s="161"/>
      <c r="F610" s="161"/>
      <c r="G610" s="161"/>
      <c r="H610" s="161"/>
      <c r="I610" s="161"/>
      <c r="J610" s="161"/>
      <c r="K610" s="161"/>
      <c r="L610" s="161"/>
      <c r="M610" s="161"/>
      <c r="N610" s="161"/>
      <c r="O610" s="161"/>
      <c r="P610" s="161"/>
      <c r="Q610" s="161"/>
      <c r="R610" s="161"/>
      <c r="S610" s="161"/>
      <c r="T610" s="161"/>
      <c r="U610" s="161"/>
      <c r="V610" s="206"/>
      <c r="W610" s="206"/>
      <c r="X610" s="206"/>
      <c r="Y610" s="153"/>
      <c r="Z610" s="239"/>
      <c r="AA610" s="239"/>
      <c r="AB610" s="239"/>
      <c r="AC610" s="568"/>
    </row>
    <row r="611" spans="1:29" ht="108" hidden="1" customHeight="1" x14ac:dyDescent="0.3">
      <c r="A611" s="154"/>
      <c r="B611" s="136"/>
      <c r="C611" s="136"/>
      <c r="D611" s="136"/>
      <c r="E611" s="161"/>
      <c r="F611" s="161"/>
      <c r="G611" s="161"/>
      <c r="H611" s="161"/>
      <c r="I611" s="161"/>
      <c r="J611" s="161"/>
      <c r="K611" s="161"/>
      <c r="L611" s="161"/>
      <c r="M611" s="161"/>
      <c r="N611" s="161"/>
      <c r="O611" s="161"/>
      <c r="P611" s="161"/>
      <c r="Q611" s="161"/>
      <c r="R611" s="161"/>
      <c r="S611" s="161"/>
      <c r="T611" s="161"/>
      <c r="U611" s="161"/>
      <c r="V611" s="206"/>
      <c r="W611" s="206"/>
      <c r="X611" s="206"/>
      <c r="Y611" s="153"/>
      <c r="Z611" s="239"/>
      <c r="AA611" s="239"/>
      <c r="AB611" s="239"/>
      <c r="AC611" s="568"/>
    </row>
    <row r="612" spans="1:29" ht="112.5" customHeight="1" x14ac:dyDescent="0.3">
      <c r="A612" s="154" t="s">
        <v>726</v>
      </c>
      <c r="B612" s="136" t="s">
        <v>18</v>
      </c>
      <c r="C612" s="136" t="s">
        <v>138</v>
      </c>
      <c r="D612" s="136" t="s">
        <v>127</v>
      </c>
      <c r="E612" s="161" t="s">
        <v>637</v>
      </c>
      <c r="F612" s="136"/>
      <c r="G612" s="136"/>
      <c r="H612" s="136"/>
      <c r="I612" s="136"/>
      <c r="J612" s="136"/>
      <c r="K612" s="136"/>
      <c r="L612" s="136"/>
      <c r="M612" s="136"/>
      <c r="N612" s="136"/>
      <c r="O612" s="136"/>
      <c r="P612" s="136"/>
      <c r="Q612" s="136"/>
      <c r="R612" s="136"/>
      <c r="S612" s="136"/>
      <c r="T612" s="136" t="s">
        <v>38</v>
      </c>
      <c r="U612" s="136"/>
      <c r="V612" s="137"/>
      <c r="W612" s="137"/>
      <c r="X612" s="137"/>
      <c r="Y612" s="154" t="s">
        <v>461</v>
      </c>
      <c r="Z612" s="212">
        <f>5964113.74+826309.37</f>
        <v>6790423.1100000003</v>
      </c>
      <c r="AA612" s="212">
        <f>5964113.74</f>
        <v>5964113.7400000002</v>
      </c>
      <c r="AB612" s="212">
        <f>5964113.74</f>
        <v>5964113.7400000002</v>
      </c>
      <c r="AC612" s="569" t="s">
        <v>461</v>
      </c>
    </row>
    <row r="613" spans="1:29" ht="59.25" customHeight="1" x14ac:dyDescent="0.3">
      <c r="A613" s="135" t="s">
        <v>565</v>
      </c>
      <c r="B613" s="136" t="s">
        <v>18</v>
      </c>
      <c r="C613" s="136" t="s">
        <v>138</v>
      </c>
      <c r="D613" s="136" t="s">
        <v>127</v>
      </c>
      <c r="E613" s="161" t="s">
        <v>637</v>
      </c>
      <c r="F613" s="136"/>
      <c r="G613" s="136"/>
      <c r="H613" s="136"/>
      <c r="I613" s="136"/>
      <c r="J613" s="136"/>
      <c r="K613" s="136"/>
      <c r="L613" s="136"/>
      <c r="M613" s="136"/>
      <c r="N613" s="136"/>
      <c r="O613" s="136"/>
      <c r="P613" s="136"/>
      <c r="Q613" s="136"/>
      <c r="R613" s="136"/>
      <c r="S613" s="136"/>
      <c r="T613" s="136" t="s">
        <v>275</v>
      </c>
      <c r="U613" s="136"/>
      <c r="V613" s="137"/>
      <c r="W613" s="137"/>
      <c r="X613" s="137"/>
      <c r="Y613" s="135" t="s">
        <v>462</v>
      </c>
      <c r="Z613" s="212">
        <f>184420-8408</f>
        <v>176012</v>
      </c>
      <c r="AA613" s="212">
        <v>170200</v>
      </c>
      <c r="AB613" s="212">
        <v>170200</v>
      </c>
      <c r="AC613" s="213" t="s">
        <v>462</v>
      </c>
    </row>
    <row r="614" spans="1:29" ht="30" customHeight="1" x14ac:dyDescent="0.3">
      <c r="A614" s="135" t="s">
        <v>763</v>
      </c>
      <c r="B614" s="136" t="s">
        <v>18</v>
      </c>
      <c r="C614" s="136" t="s">
        <v>138</v>
      </c>
      <c r="D614" s="136" t="s">
        <v>127</v>
      </c>
      <c r="E614" s="161" t="s">
        <v>637</v>
      </c>
      <c r="F614" s="136"/>
      <c r="G614" s="136"/>
      <c r="H614" s="136"/>
      <c r="I614" s="136"/>
      <c r="J614" s="136"/>
      <c r="K614" s="136"/>
      <c r="L614" s="136"/>
      <c r="M614" s="136"/>
      <c r="N614" s="136"/>
      <c r="O614" s="136"/>
      <c r="P614" s="136"/>
      <c r="Q614" s="136"/>
      <c r="R614" s="136"/>
      <c r="S614" s="136"/>
      <c r="T614" s="136" t="s">
        <v>243</v>
      </c>
      <c r="U614" s="136"/>
      <c r="V614" s="137"/>
      <c r="W614" s="137"/>
      <c r="X614" s="137"/>
      <c r="Y614" s="135"/>
      <c r="Z614" s="212">
        <v>8500</v>
      </c>
      <c r="AA614" s="212">
        <v>0</v>
      </c>
      <c r="AB614" s="212">
        <v>0</v>
      </c>
      <c r="AC614" s="213"/>
    </row>
    <row r="615" spans="1:29" ht="166.5" hidden="1" customHeight="1" x14ac:dyDescent="0.3">
      <c r="A615" s="155" t="s">
        <v>1351</v>
      </c>
      <c r="B615" s="161" t="s">
        <v>18</v>
      </c>
      <c r="C615" s="161" t="s">
        <v>138</v>
      </c>
      <c r="D615" s="161" t="s">
        <v>127</v>
      </c>
      <c r="E615" s="161" t="s">
        <v>1122</v>
      </c>
      <c r="F615" s="136"/>
      <c r="G615" s="136"/>
      <c r="H615" s="136"/>
      <c r="I615" s="136"/>
      <c r="J615" s="136"/>
      <c r="K615" s="136"/>
      <c r="L615" s="136"/>
      <c r="M615" s="136"/>
      <c r="N615" s="136"/>
      <c r="O615" s="136"/>
      <c r="P615" s="136"/>
      <c r="Q615" s="136"/>
      <c r="R615" s="136"/>
      <c r="S615" s="136"/>
      <c r="T615" s="136"/>
      <c r="U615" s="136"/>
      <c r="V615" s="137"/>
      <c r="W615" s="137"/>
      <c r="X615" s="137"/>
      <c r="Y615" s="135"/>
      <c r="Z615" s="212">
        <f>Z616+Z617+Z618</f>
        <v>0</v>
      </c>
      <c r="AA615" s="212">
        <f>AA616+AA617+AA618</f>
        <v>0</v>
      </c>
      <c r="AB615" s="212">
        <f>AB616+AB617+AB618</f>
        <v>0</v>
      </c>
      <c r="AC615" s="213"/>
    </row>
    <row r="616" spans="1:29" ht="101.25" hidden="1" customHeight="1" x14ac:dyDescent="0.3">
      <c r="A616" s="135" t="s">
        <v>726</v>
      </c>
      <c r="B616" s="161" t="s">
        <v>18</v>
      </c>
      <c r="C616" s="161" t="s">
        <v>138</v>
      </c>
      <c r="D616" s="161" t="s">
        <v>127</v>
      </c>
      <c r="E616" s="161" t="s">
        <v>1122</v>
      </c>
      <c r="F616" s="136"/>
      <c r="G616" s="136"/>
      <c r="H616" s="136"/>
      <c r="I616" s="136"/>
      <c r="J616" s="136"/>
      <c r="K616" s="136"/>
      <c r="L616" s="136"/>
      <c r="M616" s="136"/>
      <c r="N616" s="136"/>
      <c r="O616" s="136"/>
      <c r="P616" s="136"/>
      <c r="Q616" s="136"/>
      <c r="R616" s="136"/>
      <c r="S616" s="136"/>
      <c r="T616" s="136" t="s">
        <v>38</v>
      </c>
      <c r="U616" s="136"/>
      <c r="V616" s="137"/>
      <c r="W616" s="137"/>
      <c r="X616" s="137"/>
      <c r="Y616" s="135"/>
      <c r="Z616" s="212">
        <v>0</v>
      </c>
      <c r="AA616" s="212">
        <v>0</v>
      </c>
      <c r="AB616" s="212">
        <v>0</v>
      </c>
      <c r="AC616" s="213"/>
    </row>
    <row r="617" spans="1:29" ht="60.75" hidden="1" customHeight="1" x14ac:dyDescent="0.3">
      <c r="A617" s="135" t="s">
        <v>565</v>
      </c>
      <c r="B617" s="161" t="s">
        <v>18</v>
      </c>
      <c r="C617" s="161" t="s">
        <v>138</v>
      </c>
      <c r="D617" s="161" t="s">
        <v>127</v>
      </c>
      <c r="E617" s="161" t="s">
        <v>1122</v>
      </c>
      <c r="F617" s="136"/>
      <c r="G617" s="136"/>
      <c r="H617" s="136"/>
      <c r="I617" s="136"/>
      <c r="J617" s="136"/>
      <c r="K617" s="136"/>
      <c r="L617" s="136"/>
      <c r="M617" s="136"/>
      <c r="N617" s="136"/>
      <c r="O617" s="136"/>
      <c r="P617" s="136"/>
      <c r="Q617" s="136"/>
      <c r="R617" s="136"/>
      <c r="S617" s="136"/>
      <c r="T617" s="136" t="s">
        <v>275</v>
      </c>
      <c r="U617" s="136"/>
      <c r="V617" s="137"/>
      <c r="W617" s="137"/>
      <c r="X617" s="137"/>
      <c r="Y617" s="135"/>
      <c r="Z617" s="212">
        <v>0</v>
      </c>
      <c r="AA617" s="212">
        <v>0</v>
      </c>
      <c r="AB617" s="212">
        <v>0</v>
      </c>
      <c r="AC617" s="213"/>
    </row>
    <row r="618" spans="1:29" ht="0.75" customHeight="1" x14ac:dyDescent="0.3">
      <c r="A618" s="135" t="s">
        <v>763</v>
      </c>
      <c r="B618" s="161" t="s">
        <v>18</v>
      </c>
      <c r="C618" s="161" t="s">
        <v>138</v>
      </c>
      <c r="D618" s="161" t="s">
        <v>127</v>
      </c>
      <c r="E618" s="161" t="s">
        <v>1122</v>
      </c>
      <c r="F618" s="136"/>
      <c r="G618" s="136"/>
      <c r="H618" s="136"/>
      <c r="I618" s="136"/>
      <c r="J618" s="136"/>
      <c r="K618" s="136"/>
      <c r="L618" s="136"/>
      <c r="M618" s="136"/>
      <c r="N618" s="136"/>
      <c r="O618" s="136"/>
      <c r="P618" s="136"/>
      <c r="Q618" s="136"/>
      <c r="R618" s="136"/>
      <c r="S618" s="136"/>
      <c r="T618" s="136" t="s">
        <v>243</v>
      </c>
      <c r="U618" s="136"/>
      <c r="V618" s="137"/>
      <c r="W618" s="137"/>
      <c r="X618" s="137"/>
      <c r="Y618" s="135"/>
      <c r="Z618" s="212">
        <v>0</v>
      </c>
      <c r="AA618" s="212">
        <v>0</v>
      </c>
      <c r="AB618" s="212">
        <v>0</v>
      </c>
      <c r="AC618" s="213"/>
    </row>
    <row r="619" spans="1:29" ht="186" customHeight="1" x14ac:dyDescent="0.3">
      <c r="A619" s="153" t="s">
        <v>1282</v>
      </c>
      <c r="B619" s="161" t="s">
        <v>18</v>
      </c>
      <c r="C619" s="161" t="s">
        <v>138</v>
      </c>
      <c r="D619" s="161" t="s">
        <v>127</v>
      </c>
      <c r="E619" s="161" t="s">
        <v>638</v>
      </c>
      <c r="F619" s="161"/>
      <c r="G619" s="161"/>
      <c r="H619" s="161"/>
      <c r="I619" s="161"/>
      <c r="J619" s="161"/>
      <c r="K619" s="161"/>
      <c r="L619" s="161"/>
      <c r="M619" s="161"/>
      <c r="N619" s="161"/>
      <c r="O619" s="161"/>
      <c r="P619" s="161"/>
      <c r="Q619" s="161"/>
      <c r="R619" s="161"/>
      <c r="S619" s="161"/>
      <c r="T619" s="161"/>
      <c r="U619" s="161"/>
      <c r="V619" s="206"/>
      <c r="W619" s="206"/>
      <c r="X619" s="206"/>
      <c r="Y619" s="153" t="s">
        <v>463</v>
      </c>
      <c r="Z619" s="239">
        <f>Z620+Z621+Z622</f>
        <v>18455753.990000002</v>
      </c>
      <c r="AA619" s="239">
        <f>AA620+AA621+AA622</f>
        <v>15522336.060000001</v>
      </c>
      <c r="AB619" s="239">
        <f>AB620+AB621+AB622</f>
        <v>15522587.060000001</v>
      </c>
      <c r="AC619" s="568" t="s">
        <v>463</v>
      </c>
    </row>
    <row r="620" spans="1:29" ht="118.5" customHeight="1" x14ac:dyDescent="0.3">
      <c r="A620" s="154" t="s">
        <v>726</v>
      </c>
      <c r="B620" s="136" t="s">
        <v>18</v>
      </c>
      <c r="C620" s="136" t="s">
        <v>138</v>
      </c>
      <c r="D620" s="136" t="s">
        <v>127</v>
      </c>
      <c r="E620" s="161" t="s">
        <v>638</v>
      </c>
      <c r="F620" s="136"/>
      <c r="G620" s="136"/>
      <c r="H620" s="136"/>
      <c r="I620" s="136"/>
      <c r="J620" s="136"/>
      <c r="K620" s="136"/>
      <c r="L620" s="136"/>
      <c r="M620" s="136"/>
      <c r="N620" s="136"/>
      <c r="O620" s="136"/>
      <c r="P620" s="136"/>
      <c r="Q620" s="136"/>
      <c r="R620" s="136"/>
      <c r="S620" s="136"/>
      <c r="T620" s="136" t="s">
        <v>38</v>
      </c>
      <c r="U620" s="136"/>
      <c r="V620" s="137"/>
      <c r="W620" s="137"/>
      <c r="X620" s="137"/>
      <c r="Y620" s="154" t="s">
        <v>464</v>
      </c>
      <c r="Z620" s="212">
        <f>12772043.65+2982922.85</f>
        <v>15754966.5</v>
      </c>
      <c r="AA620" s="212">
        <v>12772043.65</v>
      </c>
      <c r="AB620" s="212">
        <v>12772043.65</v>
      </c>
      <c r="AC620" s="569" t="s">
        <v>464</v>
      </c>
    </row>
    <row r="621" spans="1:29" ht="63" customHeight="1" x14ac:dyDescent="0.3">
      <c r="A621" s="135" t="s">
        <v>565</v>
      </c>
      <c r="B621" s="136" t="s">
        <v>18</v>
      </c>
      <c r="C621" s="136" t="s">
        <v>138</v>
      </c>
      <c r="D621" s="136" t="s">
        <v>127</v>
      </c>
      <c r="E621" s="161" t="s">
        <v>638</v>
      </c>
      <c r="F621" s="136"/>
      <c r="G621" s="136"/>
      <c r="H621" s="136"/>
      <c r="I621" s="136"/>
      <c r="J621" s="136"/>
      <c r="K621" s="136"/>
      <c r="L621" s="136"/>
      <c r="M621" s="136"/>
      <c r="N621" s="136"/>
      <c r="O621" s="136"/>
      <c r="P621" s="136"/>
      <c r="Q621" s="136"/>
      <c r="R621" s="136"/>
      <c r="S621" s="136"/>
      <c r="T621" s="136" t="s">
        <v>275</v>
      </c>
      <c r="U621" s="136"/>
      <c r="V621" s="137"/>
      <c r="W621" s="137"/>
      <c r="X621" s="137"/>
      <c r="Y621" s="135" t="s">
        <v>465</v>
      </c>
      <c r="Z621" s="212">
        <v>2698787.49</v>
      </c>
      <c r="AA621" s="212">
        <v>2748292.41</v>
      </c>
      <c r="AB621" s="212">
        <v>2748292.41</v>
      </c>
      <c r="AC621" s="213" t="s">
        <v>465</v>
      </c>
    </row>
    <row r="622" spans="1:29" ht="35.25" customHeight="1" x14ac:dyDescent="0.3">
      <c r="A622" s="135" t="s">
        <v>763</v>
      </c>
      <c r="B622" s="136" t="s">
        <v>18</v>
      </c>
      <c r="C622" s="136" t="s">
        <v>138</v>
      </c>
      <c r="D622" s="136" t="s">
        <v>127</v>
      </c>
      <c r="E622" s="161" t="s">
        <v>638</v>
      </c>
      <c r="F622" s="136"/>
      <c r="G622" s="136"/>
      <c r="H622" s="136"/>
      <c r="I622" s="136"/>
      <c r="J622" s="136"/>
      <c r="K622" s="136"/>
      <c r="L622" s="136"/>
      <c r="M622" s="136"/>
      <c r="N622" s="136"/>
      <c r="O622" s="136"/>
      <c r="P622" s="136"/>
      <c r="Q622" s="136"/>
      <c r="R622" s="136"/>
      <c r="S622" s="136"/>
      <c r="T622" s="136" t="s">
        <v>243</v>
      </c>
      <c r="U622" s="136"/>
      <c r="V622" s="137"/>
      <c r="W622" s="137"/>
      <c r="X622" s="137"/>
      <c r="Y622" s="135" t="s">
        <v>466</v>
      </c>
      <c r="Z622" s="212">
        <v>2000</v>
      </c>
      <c r="AA622" s="212">
        <v>2000</v>
      </c>
      <c r="AB622" s="212">
        <v>2251</v>
      </c>
      <c r="AC622" s="213" t="s">
        <v>466</v>
      </c>
    </row>
    <row r="623" spans="1:29" ht="183" customHeight="1" x14ac:dyDescent="0.3">
      <c r="A623" s="155" t="s">
        <v>1352</v>
      </c>
      <c r="B623" s="136" t="s">
        <v>18</v>
      </c>
      <c r="C623" s="136" t="s">
        <v>138</v>
      </c>
      <c r="D623" s="136" t="s">
        <v>127</v>
      </c>
      <c r="E623" s="161" t="s">
        <v>1121</v>
      </c>
      <c r="F623" s="136"/>
      <c r="G623" s="136"/>
      <c r="H623" s="136"/>
      <c r="I623" s="136"/>
      <c r="J623" s="136"/>
      <c r="K623" s="136"/>
      <c r="L623" s="136"/>
      <c r="M623" s="136"/>
      <c r="N623" s="136"/>
      <c r="O623" s="136"/>
      <c r="P623" s="136"/>
      <c r="Q623" s="136"/>
      <c r="R623" s="136"/>
      <c r="S623" s="136"/>
      <c r="T623" s="136"/>
      <c r="U623" s="136"/>
      <c r="V623" s="137"/>
      <c r="W623" s="137"/>
      <c r="X623" s="137"/>
      <c r="Y623" s="135"/>
      <c r="Z623" s="212">
        <f>Z624</f>
        <v>3946786.16</v>
      </c>
      <c r="AA623" s="212">
        <f>AA624</f>
        <v>3946786.16</v>
      </c>
      <c r="AB623" s="212">
        <f>AB624</f>
        <v>2737318.67</v>
      </c>
      <c r="AC623" s="213"/>
    </row>
    <row r="624" spans="1:29" ht="56.25" customHeight="1" x14ac:dyDescent="0.3">
      <c r="A624" s="135" t="s">
        <v>711</v>
      </c>
      <c r="B624" s="136" t="s">
        <v>18</v>
      </c>
      <c r="C624" s="136" t="s">
        <v>138</v>
      </c>
      <c r="D624" s="136" t="s">
        <v>127</v>
      </c>
      <c r="E624" s="161" t="s">
        <v>1121</v>
      </c>
      <c r="F624" s="136"/>
      <c r="G624" s="136"/>
      <c r="H624" s="136"/>
      <c r="I624" s="136"/>
      <c r="J624" s="136"/>
      <c r="K624" s="136"/>
      <c r="L624" s="136"/>
      <c r="M624" s="136"/>
      <c r="N624" s="136"/>
      <c r="O624" s="136"/>
      <c r="P624" s="136"/>
      <c r="Q624" s="136"/>
      <c r="R624" s="136"/>
      <c r="S624" s="136"/>
      <c r="T624" s="136" t="s">
        <v>294</v>
      </c>
      <c r="U624" s="136"/>
      <c r="V624" s="137"/>
      <c r="W624" s="137"/>
      <c r="X624" s="137"/>
      <c r="Y624" s="135"/>
      <c r="Z624" s="212">
        <v>3946786.16</v>
      </c>
      <c r="AA624" s="212">
        <v>3946786.16</v>
      </c>
      <c r="AB624" s="212">
        <v>2737318.67</v>
      </c>
      <c r="AC624" s="213"/>
    </row>
    <row r="625" spans="1:29" ht="181.5" hidden="1" customHeight="1" x14ac:dyDescent="0.3">
      <c r="A625" s="153" t="s">
        <v>639</v>
      </c>
      <c r="B625" s="161" t="s">
        <v>18</v>
      </c>
      <c r="C625" s="161" t="s">
        <v>138</v>
      </c>
      <c r="D625" s="161" t="s">
        <v>127</v>
      </c>
      <c r="E625" s="161" t="s">
        <v>640</v>
      </c>
      <c r="F625" s="161"/>
      <c r="G625" s="161"/>
      <c r="H625" s="161"/>
      <c r="I625" s="161"/>
      <c r="J625" s="161"/>
      <c r="K625" s="161"/>
      <c r="L625" s="161"/>
      <c r="M625" s="161"/>
      <c r="N625" s="161"/>
      <c r="O625" s="161"/>
      <c r="P625" s="161"/>
      <c r="Q625" s="161"/>
      <c r="R625" s="161"/>
      <c r="S625" s="161"/>
      <c r="T625" s="161"/>
      <c r="U625" s="161"/>
      <c r="V625" s="206"/>
      <c r="W625" s="206"/>
      <c r="X625" s="206"/>
      <c r="Y625" s="153" t="s">
        <v>467</v>
      </c>
      <c r="Z625" s="239">
        <f>Z626</f>
        <v>0</v>
      </c>
      <c r="AA625" s="239">
        <f>AA626</f>
        <v>0</v>
      </c>
      <c r="AB625" s="239">
        <f>AB626</f>
        <v>0</v>
      </c>
      <c r="AC625" s="568" t="s">
        <v>467</v>
      </c>
    </row>
    <row r="626" spans="1:29" ht="129.75" hidden="1" customHeight="1" x14ac:dyDescent="0.3">
      <c r="A626" s="135" t="s">
        <v>468</v>
      </c>
      <c r="B626" s="136" t="s">
        <v>18</v>
      </c>
      <c r="C626" s="136" t="s">
        <v>138</v>
      </c>
      <c r="D626" s="136" t="s">
        <v>127</v>
      </c>
      <c r="E626" s="161" t="s">
        <v>640</v>
      </c>
      <c r="F626" s="136"/>
      <c r="G626" s="136"/>
      <c r="H626" s="136"/>
      <c r="I626" s="136"/>
      <c r="J626" s="136"/>
      <c r="K626" s="136"/>
      <c r="L626" s="136"/>
      <c r="M626" s="136"/>
      <c r="N626" s="136"/>
      <c r="O626" s="136"/>
      <c r="P626" s="136"/>
      <c r="Q626" s="136"/>
      <c r="R626" s="136"/>
      <c r="S626" s="136"/>
      <c r="T626" s="136" t="s">
        <v>294</v>
      </c>
      <c r="U626" s="136"/>
      <c r="V626" s="137"/>
      <c r="W626" s="137"/>
      <c r="X626" s="137"/>
      <c r="Y626" s="135" t="s">
        <v>468</v>
      </c>
      <c r="Z626" s="212">
        <v>0</v>
      </c>
      <c r="AA626" s="212">
        <v>0</v>
      </c>
      <c r="AB626" s="212">
        <v>0</v>
      </c>
      <c r="AC626" s="213" t="s">
        <v>468</v>
      </c>
    </row>
    <row r="627" spans="1:29" ht="18.600000000000001" customHeight="1" x14ac:dyDescent="0.3">
      <c r="A627" s="159" t="s">
        <v>390</v>
      </c>
      <c r="B627" s="160" t="s">
        <v>18</v>
      </c>
      <c r="C627" s="160" t="s">
        <v>143</v>
      </c>
      <c r="D627" s="160" t="s">
        <v>133</v>
      </c>
      <c r="E627" s="160"/>
      <c r="F627" s="160"/>
      <c r="G627" s="160"/>
      <c r="H627" s="160"/>
      <c r="I627" s="160"/>
      <c r="J627" s="160"/>
      <c r="K627" s="160"/>
      <c r="L627" s="160"/>
      <c r="M627" s="160"/>
      <c r="N627" s="160"/>
      <c r="O627" s="160"/>
      <c r="P627" s="160"/>
      <c r="Q627" s="160"/>
      <c r="R627" s="160"/>
      <c r="S627" s="160"/>
      <c r="T627" s="160"/>
      <c r="U627" s="160"/>
      <c r="V627" s="214"/>
      <c r="W627" s="214"/>
      <c r="X627" s="214"/>
      <c r="Y627" s="159" t="s">
        <v>390</v>
      </c>
      <c r="Z627" s="215">
        <f>Z628+Z632+Z649</f>
        <v>28632850.130000003</v>
      </c>
      <c r="AA627" s="215">
        <f>AA628+AA632+AA649</f>
        <v>29707962.68</v>
      </c>
      <c r="AB627" s="215">
        <f>AB628+AB632+AB649</f>
        <v>30298891.559999999</v>
      </c>
      <c r="AC627" s="292" t="s">
        <v>390</v>
      </c>
    </row>
    <row r="628" spans="1:29" ht="18.600000000000001" customHeight="1" x14ac:dyDescent="0.3">
      <c r="A628" s="159" t="s">
        <v>162</v>
      </c>
      <c r="B628" s="160" t="s">
        <v>18</v>
      </c>
      <c r="C628" s="160" t="s">
        <v>143</v>
      </c>
      <c r="D628" s="160" t="s">
        <v>122</v>
      </c>
      <c r="E628" s="160"/>
      <c r="F628" s="160"/>
      <c r="G628" s="160"/>
      <c r="H628" s="160"/>
      <c r="I628" s="160"/>
      <c r="J628" s="160"/>
      <c r="K628" s="160"/>
      <c r="L628" s="160"/>
      <c r="M628" s="160"/>
      <c r="N628" s="160"/>
      <c r="O628" s="160"/>
      <c r="P628" s="160"/>
      <c r="Q628" s="160"/>
      <c r="R628" s="160"/>
      <c r="S628" s="160"/>
      <c r="T628" s="160"/>
      <c r="U628" s="160"/>
      <c r="V628" s="214"/>
      <c r="W628" s="214"/>
      <c r="X628" s="214"/>
      <c r="Y628" s="159" t="s">
        <v>162</v>
      </c>
      <c r="Z628" s="215">
        <f>Z629</f>
        <v>419352</v>
      </c>
      <c r="AA628" s="215">
        <f>AA629</f>
        <v>419352</v>
      </c>
      <c r="AB628" s="215">
        <f>AB629</f>
        <v>419352</v>
      </c>
      <c r="AC628" s="292" t="s">
        <v>162</v>
      </c>
    </row>
    <row r="629" spans="1:29" ht="195.75" customHeight="1" x14ac:dyDescent="0.3">
      <c r="A629" s="155" t="s">
        <v>469</v>
      </c>
      <c r="B629" s="161" t="s">
        <v>18</v>
      </c>
      <c r="C629" s="161" t="s">
        <v>143</v>
      </c>
      <c r="D629" s="161" t="s">
        <v>122</v>
      </c>
      <c r="E629" s="161" t="s">
        <v>608</v>
      </c>
      <c r="F629" s="161"/>
      <c r="G629" s="161"/>
      <c r="H629" s="161"/>
      <c r="I629" s="161"/>
      <c r="J629" s="161"/>
      <c r="K629" s="161"/>
      <c r="L629" s="161"/>
      <c r="M629" s="161"/>
      <c r="N629" s="161"/>
      <c r="O629" s="161"/>
      <c r="P629" s="161"/>
      <c r="Q629" s="161"/>
      <c r="R629" s="161"/>
      <c r="S629" s="161"/>
      <c r="T629" s="161"/>
      <c r="U629" s="161"/>
      <c r="V629" s="206"/>
      <c r="W629" s="206"/>
      <c r="X629" s="206"/>
      <c r="Y629" s="155" t="s">
        <v>469</v>
      </c>
      <c r="Z629" s="239">
        <f>Z631+Z630</f>
        <v>419352</v>
      </c>
      <c r="AA629" s="239">
        <f>AA630+AA631</f>
        <v>419352</v>
      </c>
      <c r="AB629" s="239">
        <f>AB630+AB631</f>
        <v>419352</v>
      </c>
      <c r="AC629" s="573" t="s">
        <v>469</v>
      </c>
    </row>
    <row r="630" spans="1:29" ht="62.25" customHeight="1" x14ac:dyDescent="0.3">
      <c r="A630" s="154" t="s">
        <v>565</v>
      </c>
      <c r="B630" s="161" t="s">
        <v>18</v>
      </c>
      <c r="C630" s="161" t="s">
        <v>143</v>
      </c>
      <c r="D630" s="161" t="s">
        <v>122</v>
      </c>
      <c r="E630" s="161" t="s">
        <v>608</v>
      </c>
      <c r="F630" s="161"/>
      <c r="G630" s="161"/>
      <c r="H630" s="161"/>
      <c r="I630" s="161"/>
      <c r="J630" s="161"/>
      <c r="K630" s="161"/>
      <c r="L630" s="161"/>
      <c r="M630" s="161"/>
      <c r="N630" s="161"/>
      <c r="O630" s="161"/>
      <c r="P630" s="161"/>
      <c r="Q630" s="161"/>
      <c r="R630" s="161"/>
      <c r="S630" s="161"/>
      <c r="T630" s="161" t="s">
        <v>275</v>
      </c>
      <c r="U630" s="161"/>
      <c r="V630" s="206"/>
      <c r="W630" s="206"/>
      <c r="X630" s="206"/>
      <c r="Y630" s="155"/>
      <c r="Z630" s="239">
        <v>4152</v>
      </c>
      <c r="AA630" s="239">
        <v>4152</v>
      </c>
      <c r="AB630" s="239">
        <v>4152</v>
      </c>
      <c r="AC630" s="573"/>
    </row>
    <row r="631" spans="1:29" ht="46.5" customHeight="1" x14ac:dyDescent="0.3">
      <c r="A631" s="154" t="s">
        <v>730</v>
      </c>
      <c r="B631" s="136" t="s">
        <v>18</v>
      </c>
      <c r="C631" s="136" t="s">
        <v>143</v>
      </c>
      <c r="D631" s="136" t="s">
        <v>122</v>
      </c>
      <c r="E631" s="161" t="s">
        <v>608</v>
      </c>
      <c r="F631" s="136"/>
      <c r="G631" s="136"/>
      <c r="H631" s="136"/>
      <c r="I631" s="136"/>
      <c r="J631" s="136"/>
      <c r="K631" s="136"/>
      <c r="L631" s="136"/>
      <c r="M631" s="136"/>
      <c r="N631" s="136"/>
      <c r="O631" s="136"/>
      <c r="P631" s="136"/>
      <c r="Q631" s="136"/>
      <c r="R631" s="136"/>
      <c r="S631" s="136"/>
      <c r="T631" s="136" t="s">
        <v>393</v>
      </c>
      <c r="U631" s="136"/>
      <c r="V631" s="137"/>
      <c r="W631" s="137"/>
      <c r="X631" s="137"/>
      <c r="Y631" s="154" t="s">
        <v>470</v>
      </c>
      <c r="Z631" s="212">
        <v>415200</v>
      </c>
      <c r="AA631" s="212">
        <v>415200</v>
      </c>
      <c r="AB631" s="212">
        <v>415200</v>
      </c>
      <c r="AC631" s="569" t="s">
        <v>470</v>
      </c>
    </row>
    <row r="632" spans="1:29" ht="18.600000000000001" customHeight="1" x14ac:dyDescent="0.3">
      <c r="A632" s="159" t="s">
        <v>164</v>
      </c>
      <c r="B632" s="160" t="s">
        <v>18</v>
      </c>
      <c r="C632" s="160" t="s">
        <v>143</v>
      </c>
      <c r="D632" s="160" t="s">
        <v>136</v>
      </c>
      <c r="E632" s="160"/>
      <c r="F632" s="160"/>
      <c r="G632" s="160"/>
      <c r="H632" s="160"/>
      <c r="I632" s="160"/>
      <c r="J632" s="160"/>
      <c r="K632" s="160"/>
      <c r="L632" s="160"/>
      <c r="M632" s="160"/>
      <c r="N632" s="160"/>
      <c r="O632" s="160"/>
      <c r="P632" s="160"/>
      <c r="Q632" s="160"/>
      <c r="R632" s="160"/>
      <c r="S632" s="160"/>
      <c r="T632" s="160"/>
      <c r="U632" s="160"/>
      <c r="V632" s="214"/>
      <c r="W632" s="214"/>
      <c r="X632" s="214"/>
      <c r="Y632" s="159" t="s">
        <v>164</v>
      </c>
      <c r="Z632" s="215">
        <f>Z633+Z636+Z639+Z642+Z646</f>
        <v>26381177.710000001</v>
      </c>
      <c r="AA632" s="215">
        <f>AA633+AA636+AA639+AA642+AA646</f>
        <v>27385927.699999999</v>
      </c>
      <c r="AB632" s="215">
        <f>AB633+AB636+AB639+AB642+AB646</f>
        <v>27909227.699999999</v>
      </c>
      <c r="AC632" s="292" t="s">
        <v>164</v>
      </c>
    </row>
    <row r="633" spans="1:29" ht="200.25" customHeight="1" x14ac:dyDescent="0.3">
      <c r="A633" s="286" t="s">
        <v>1382</v>
      </c>
      <c r="B633" s="161" t="s">
        <v>18</v>
      </c>
      <c r="C633" s="161" t="s">
        <v>143</v>
      </c>
      <c r="D633" s="161" t="s">
        <v>136</v>
      </c>
      <c r="E633" s="161" t="s">
        <v>914</v>
      </c>
      <c r="F633" s="161"/>
      <c r="G633" s="161"/>
      <c r="H633" s="161"/>
      <c r="I633" s="161"/>
      <c r="J633" s="161"/>
      <c r="K633" s="161"/>
      <c r="L633" s="161"/>
      <c r="M633" s="161"/>
      <c r="N633" s="161"/>
      <c r="O633" s="161"/>
      <c r="P633" s="161"/>
      <c r="Q633" s="161"/>
      <c r="R633" s="161"/>
      <c r="S633" s="161"/>
      <c r="T633" s="161"/>
      <c r="U633" s="161"/>
      <c r="V633" s="206"/>
      <c r="W633" s="206"/>
      <c r="X633" s="206"/>
      <c r="Y633" s="153" t="s">
        <v>471</v>
      </c>
      <c r="Z633" s="239">
        <f>Z635+Z634</f>
        <v>501735.91</v>
      </c>
      <c r="AA633" s="239">
        <f>AA635</f>
        <v>1046600</v>
      </c>
      <c r="AB633" s="239">
        <f>AB635</f>
        <v>1569900</v>
      </c>
      <c r="AC633" s="568" t="s">
        <v>471</v>
      </c>
    </row>
    <row r="634" spans="1:29" ht="52.5" hidden="1" customHeight="1" x14ac:dyDescent="0.3">
      <c r="A634" s="135" t="s">
        <v>565</v>
      </c>
      <c r="B634" s="136" t="s">
        <v>18</v>
      </c>
      <c r="C634" s="136" t="s">
        <v>143</v>
      </c>
      <c r="D634" s="136" t="s">
        <v>136</v>
      </c>
      <c r="E634" s="161" t="s">
        <v>914</v>
      </c>
      <c r="F634" s="136"/>
      <c r="G634" s="136"/>
      <c r="H634" s="136"/>
      <c r="I634" s="136"/>
      <c r="J634" s="136"/>
      <c r="K634" s="136"/>
      <c r="L634" s="136"/>
      <c r="M634" s="136"/>
      <c r="N634" s="136"/>
      <c r="O634" s="136"/>
      <c r="P634" s="136"/>
      <c r="Q634" s="136"/>
      <c r="R634" s="136"/>
      <c r="S634" s="136"/>
      <c r="T634" s="136" t="s">
        <v>275</v>
      </c>
      <c r="U634" s="161"/>
      <c r="V634" s="206"/>
      <c r="W634" s="206"/>
      <c r="X634" s="206"/>
      <c r="Y634" s="153"/>
      <c r="Z634" s="239">
        <v>0</v>
      </c>
      <c r="AA634" s="239">
        <v>0</v>
      </c>
      <c r="AB634" s="239">
        <v>0</v>
      </c>
      <c r="AC634" s="568"/>
    </row>
    <row r="635" spans="1:29" ht="44.25" customHeight="1" x14ac:dyDescent="0.3">
      <c r="A635" s="135" t="s">
        <v>730</v>
      </c>
      <c r="B635" s="136" t="s">
        <v>18</v>
      </c>
      <c r="C635" s="136" t="s">
        <v>143</v>
      </c>
      <c r="D635" s="136" t="s">
        <v>136</v>
      </c>
      <c r="E635" s="161" t="s">
        <v>914</v>
      </c>
      <c r="F635" s="136"/>
      <c r="G635" s="136"/>
      <c r="H635" s="136"/>
      <c r="I635" s="136"/>
      <c r="J635" s="136"/>
      <c r="K635" s="136"/>
      <c r="L635" s="136"/>
      <c r="M635" s="136"/>
      <c r="N635" s="136"/>
      <c r="O635" s="136"/>
      <c r="P635" s="136"/>
      <c r="Q635" s="136"/>
      <c r="R635" s="136"/>
      <c r="S635" s="136"/>
      <c r="T635" s="136" t="s">
        <v>393</v>
      </c>
      <c r="U635" s="136"/>
      <c r="V635" s="137"/>
      <c r="W635" s="137"/>
      <c r="X635" s="137"/>
      <c r="Y635" s="135" t="s">
        <v>472</v>
      </c>
      <c r="Z635" s="212">
        <f>501700+35.91</f>
        <v>501735.91</v>
      </c>
      <c r="AA635" s="212">
        <v>1046600</v>
      </c>
      <c r="AB635" s="212">
        <f>1032100+42.52+537757.48</f>
        <v>1569900</v>
      </c>
      <c r="AC635" s="213" t="s">
        <v>472</v>
      </c>
    </row>
    <row r="636" spans="1:29" ht="149.25" customHeight="1" x14ac:dyDescent="0.3">
      <c r="A636" s="295" t="s">
        <v>1288</v>
      </c>
      <c r="B636" s="161" t="s">
        <v>18</v>
      </c>
      <c r="C636" s="161" t="s">
        <v>143</v>
      </c>
      <c r="D636" s="161" t="s">
        <v>136</v>
      </c>
      <c r="E636" s="161" t="s">
        <v>915</v>
      </c>
      <c r="F636" s="161"/>
      <c r="G636" s="161"/>
      <c r="H636" s="161"/>
      <c r="I636" s="161"/>
      <c r="J636" s="161"/>
      <c r="K636" s="161"/>
      <c r="L636" s="161"/>
      <c r="M636" s="161"/>
      <c r="N636" s="161"/>
      <c r="O636" s="161"/>
      <c r="P636" s="161"/>
      <c r="Q636" s="161"/>
      <c r="R636" s="161"/>
      <c r="S636" s="161"/>
      <c r="T636" s="161"/>
      <c r="U636" s="161"/>
      <c r="V636" s="206"/>
      <c r="W636" s="206"/>
      <c r="X636" s="206"/>
      <c r="Y636" s="153" t="s">
        <v>473</v>
      </c>
      <c r="Z636" s="239">
        <f>Z638+Z637</f>
        <v>60777.96</v>
      </c>
      <c r="AA636" s="239">
        <f>AA638+AA637</f>
        <v>63100</v>
      </c>
      <c r="AB636" s="239">
        <f>AB638</f>
        <v>63100</v>
      </c>
      <c r="AC636" s="568" t="s">
        <v>473</v>
      </c>
    </row>
    <row r="637" spans="1:29" ht="59.25" customHeight="1" x14ac:dyDescent="0.3">
      <c r="A637" s="135" t="s">
        <v>565</v>
      </c>
      <c r="B637" s="161" t="s">
        <v>18</v>
      </c>
      <c r="C637" s="161" t="s">
        <v>143</v>
      </c>
      <c r="D637" s="161" t="s">
        <v>136</v>
      </c>
      <c r="E637" s="161" t="s">
        <v>915</v>
      </c>
      <c r="F637" s="161"/>
      <c r="G637" s="161"/>
      <c r="H637" s="161"/>
      <c r="I637" s="161"/>
      <c r="J637" s="161"/>
      <c r="K637" s="161"/>
      <c r="L637" s="161"/>
      <c r="M637" s="161"/>
      <c r="N637" s="161"/>
      <c r="O637" s="161"/>
      <c r="P637" s="161"/>
      <c r="Q637" s="161"/>
      <c r="R637" s="161"/>
      <c r="S637" s="161"/>
      <c r="T637" s="161" t="s">
        <v>275</v>
      </c>
      <c r="U637" s="161"/>
      <c r="V637" s="206"/>
      <c r="W637" s="206"/>
      <c r="X637" s="206"/>
      <c r="Y637" s="153"/>
      <c r="Z637" s="239">
        <f>1163.2+7337.15</f>
        <v>8500.35</v>
      </c>
      <c r="AA637" s="239">
        <v>8500.35</v>
      </c>
      <c r="AB637" s="239">
        <v>0</v>
      </c>
      <c r="AC637" s="568"/>
    </row>
    <row r="638" spans="1:29" ht="43.5" customHeight="1" x14ac:dyDescent="0.3">
      <c r="A638" s="135" t="s">
        <v>730</v>
      </c>
      <c r="B638" s="136" t="s">
        <v>18</v>
      </c>
      <c r="C638" s="136" t="s">
        <v>143</v>
      </c>
      <c r="D638" s="136" t="s">
        <v>136</v>
      </c>
      <c r="E638" s="161" t="s">
        <v>915</v>
      </c>
      <c r="F638" s="136"/>
      <c r="G638" s="136"/>
      <c r="H638" s="136"/>
      <c r="I638" s="136"/>
      <c r="J638" s="136"/>
      <c r="K638" s="136"/>
      <c r="L638" s="136"/>
      <c r="M638" s="136"/>
      <c r="N638" s="136"/>
      <c r="O638" s="136"/>
      <c r="P638" s="136"/>
      <c r="Q638" s="136"/>
      <c r="R638" s="136"/>
      <c r="S638" s="136"/>
      <c r="T638" s="136" t="s">
        <v>393</v>
      </c>
      <c r="U638" s="136"/>
      <c r="V638" s="137"/>
      <c r="W638" s="137"/>
      <c r="X638" s="137"/>
      <c r="Y638" s="135" t="s">
        <v>474</v>
      </c>
      <c r="Z638" s="212">
        <f>52199.65+77.96</f>
        <v>52277.61</v>
      </c>
      <c r="AA638" s="212">
        <f>108336.77-53737.12</f>
        <v>54599.65</v>
      </c>
      <c r="AB638" s="212">
        <f>120900+6.05-57806.05</f>
        <v>63100</v>
      </c>
      <c r="AC638" s="213" t="s">
        <v>474</v>
      </c>
    </row>
    <row r="639" spans="1:29" ht="163.5" customHeight="1" x14ac:dyDescent="0.3">
      <c r="A639" s="286" t="s">
        <v>1289</v>
      </c>
      <c r="B639" s="161" t="s">
        <v>18</v>
      </c>
      <c r="C639" s="161" t="s">
        <v>143</v>
      </c>
      <c r="D639" s="161" t="s">
        <v>136</v>
      </c>
      <c r="E639" s="161" t="s">
        <v>916</v>
      </c>
      <c r="F639" s="161"/>
      <c r="G639" s="161"/>
      <c r="H639" s="161"/>
      <c r="I639" s="161"/>
      <c r="J639" s="161"/>
      <c r="K639" s="161"/>
      <c r="L639" s="161"/>
      <c r="M639" s="161"/>
      <c r="N639" s="161"/>
      <c r="O639" s="161"/>
      <c r="P639" s="161"/>
      <c r="Q639" s="161"/>
      <c r="R639" s="161"/>
      <c r="S639" s="161"/>
      <c r="T639" s="161"/>
      <c r="U639" s="161"/>
      <c r="V639" s="206"/>
      <c r="W639" s="206"/>
      <c r="X639" s="206"/>
      <c r="Y639" s="153" t="s">
        <v>475</v>
      </c>
      <c r="Z639" s="239">
        <f>Z641+Z640</f>
        <v>13329236.140000001</v>
      </c>
      <c r="AA639" s="239">
        <f>AA641</f>
        <v>13786800</v>
      </c>
      <c r="AB639" s="239">
        <f>AB641</f>
        <v>13786800</v>
      </c>
      <c r="AC639" s="568" t="s">
        <v>475</v>
      </c>
    </row>
    <row r="640" spans="1:29" ht="0.75" hidden="1" customHeight="1" x14ac:dyDescent="0.3">
      <c r="A640" s="135" t="s">
        <v>783</v>
      </c>
      <c r="B640" s="136" t="s">
        <v>18</v>
      </c>
      <c r="C640" s="136" t="s">
        <v>143</v>
      </c>
      <c r="D640" s="136" t="s">
        <v>136</v>
      </c>
      <c r="E640" s="161" t="s">
        <v>916</v>
      </c>
      <c r="F640" s="161"/>
      <c r="G640" s="161"/>
      <c r="H640" s="161"/>
      <c r="I640" s="161"/>
      <c r="J640" s="161"/>
      <c r="K640" s="161"/>
      <c r="L640" s="161"/>
      <c r="M640" s="161"/>
      <c r="N640" s="161"/>
      <c r="O640" s="161"/>
      <c r="P640" s="161"/>
      <c r="Q640" s="161"/>
      <c r="R640" s="161"/>
      <c r="S640" s="161"/>
      <c r="T640" s="161" t="s">
        <v>275</v>
      </c>
      <c r="U640" s="161"/>
      <c r="V640" s="206"/>
      <c r="W640" s="206"/>
      <c r="X640" s="206"/>
      <c r="Y640" s="153"/>
      <c r="Z640" s="239">
        <v>0</v>
      </c>
      <c r="AA640" s="239">
        <v>0</v>
      </c>
      <c r="AB640" s="239">
        <v>0</v>
      </c>
      <c r="AC640" s="568"/>
    </row>
    <row r="641" spans="1:31" ht="53.25" customHeight="1" x14ac:dyDescent="0.3">
      <c r="A641" s="135" t="s">
        <v>730</v>
      </c>
      <c r="B641" s="136" t="s">
        <v>18</v>
      </c>
      <c r="C641" s="136" t="s">
        <v>143</v>
      </c>
      <c r="D641" s="136" t="s">
        <v>136</v>
      </c>
      <c r="E641" s="161" t="s">
        <v>916</v>
      </c>
      <c r="F641" s="136"/>
      <c r="G641" s="136"/>
      <c r="H641" s="136"/>
      <c r="I641" s="136"/>
      <c r="J641" s="136"/>
      <c r="K641" s="136"/>
      <c r="L641" s="136"/>
      <c r="M641" s="136"/>
      <c r="N641" s="136"/>
      <c r="O641" s="136"/>
      <c r="P641" s="136"/>
      <c r="Q641" s="136"/>
      <c r="R641" s="136"/>
      <c r="S641" s="136"/>
      <c r="T641" s="136" t="s">
        <v>393</v>
      </c>
      <c r="U641" s="136"/>
      <c r="V641" s="137"/>
      <c r="W641" s="137"/>
      <c r="X641" s="137"/>
      <c r="Y641" s="135" t="s">
        <v>476</v>
      </c>
      <c r="Z641" s="212">
        <f>13315800+36.49+13363.51+36.14</f>
        <v>13329236.140000001</v>
      </c>
      <c r="AA641" s="212">
        <f>13315836.49+470963.51</f>
        <v>13786800</v>
      </c>
      <c r="AB641" s="212">
        <f>13391400+395400</f>
        <v>13786800</v>
      </c>
      <c r="AC641" s="213" t="s">
        <v>476</v>
      </c>
    </row>
    <row r="642" spans="1:31" ht="163.5" customHeight="1" x14ac:dyDescent="0.3">
      <c r="A642" s="285" t="s">
        <v>1290</v>
      </c>
      <c r="B642" s="161" t="s">
        <v>18</v>
      </c>
      <c r="C642" s="161" t="s">
        <v>143</v>
      </c>
      <c r="D642" s="161" t="s">
        <v>136</v>
      </c>
      <c r="E642" s="161" t="s">
        <v>917</v>
      </c>
      <c r="F642" s="161"/>
      <c r="G642" s="161"/>
      <c r="H642" s="161"/>
      <c r="I642" s="161"/>
      <c r="J642" s="161"/>
      <c r="K642" s="161"/>
      <c r="L642" s="161"/>
      <c r="M642" s="161"/>
      <c r="N642" s="161"/>
      <c r="O642" s="161"/>
      <c r="P642" s="161"/>
      <c r="Q642" s="161"/>
      <c r="R642" s="161"/>
      <c r="S642" s="161"/>
      <c r="T642" s="161"/>
      <c r="U642" s="161"/>
      <c r="V642" s="206"/>
      <c r="W642" s="206"/>
      <c r="X642" s="206"/>
      <c r="Y642" s="155" t="s">
        <v>232</v>
      </c>
      <c r="Z642" s="239">
        <f>Z645+Z644+Z643</f>
        <v>12489427.699999999</v>
      </c>
      <c r="AA642" s="239">
        <f>AA644+AA645+AA643</f>
        <v>12489427.699999999</v>
      </c>
      <c r="AB642" s="239">
        <f>AB644+AB645+AB643</f>
        <v>12489427.699999999</v>
      </c>
      <c r="AC642" s="573" t="s">
        <v>232</v>
      </c>
    </row>
    <row r="643" spans="1:31" ht="51.75" customHeight="1" x14ac:dyDescent="0.3">
      <c r="A643" s="135" t="s">
        <v>783</v>
      </c>
      <c r="B643" s="136" t="s">
        <v>18</v>
      </c>
      <c r="C643" s="136" t="s">
        <v>143</v>
      </c>
      <c r="D643" s="136" t="s">
        <v>136</v>
      </c>
      <c r="E643" s="161" t="s">
        <v>917</v>
      </c>
      <c r="F643" s="161"/>
      <c r="G643" s="161"/>
      <c r="H643" s="161"/>
      <c r="I643" s="161"/>
      <c r="J643" s="161"/>
      <c r="K643" s="161"/>
      <c r="L643" s="161"/>
      <c r="M643" s="161"/>
      <c r="N643" s="161"/>
      <c r="O643" s="161"/>
      <c r="P643" s="161"/>
      <c r="Q643" s="161"/>
      <c r="R643" s="161"/>
      <c r="S643" s="161"/>
      <c r="T643" s="161" t="s">
        <v>275</v>
      </c>
      <c r="U643" s="161"/>
      <c r="V643" s="206"/>
      <c r="W643" s="206"/>
      <c r="X643" s="206"/>
      <c r="Y643" s="155"/>
      <c r="Z643" s="239">
        <v>30000</v>
      </c>
      <c r="AA643" s="239">
        <v>30000</v>
      </c>
      <c r="AB643" s="239">
        <v>30000</v>
      </c>
      <c r="AC643" s="573"/>
    </row>
    <row r="644" spans="1:31" ht="48.75" customHeight="1" x14ac:dyDescent="0.3">
      <c r="A644" s="154" t="s">
        <v>730</v>
      </c>
      <c r="B644" s="136" t="s">
        <v>18</v>
      </c>
      <c r="C644" s="136" t="s">
        <v>143</v>
      </c>
      <c r="D644" s="136" t="s">
        <v>136</v>
      </c>
      <c r="E644" s="161" t="s">
        <v>917</v>
      </c>
      <c r="F644" s="136"/>
      <c r="G644" s="136"/>
      <c r="H644" s="136"/>
      <c r="I644" s="136"/>
      <c r="J644" s="136"/>
      <c r="K644" s="136"/>
      <c r="L644" s="136"/>
      <c r="M644" s="136"/>
      <c r="N644" s="136"/>
      <c r="O644" s="136"/>
      <c r="P644" s="136"/>
      <c r="Q644" s="136"/>
      <c r="R644" s="136"/>
      <c r="S644" s="136"/>
      <c r="T644" s="136" t="s">
        <v>393</v>
      </c>
      <c r="U644" s="136"/>
      <c r="V644" s="137"/>
      <c r="W644" s="137"/>
      <c r="X644" s="137"/>
      <c r="Y644" s="154" t="s">
        <v>477</v>
      </c>
      <c r="Z644" s="212">
        <f>3249985-30000</f>
        <v>3219985</v>
      </c>
      <c r="AA644" s="212">
        <f>3249985-30000</f>
        <v>3219985</v>
      </c>
      <c r="AB644" s="212">
        <f>3249985-30000</f>
        <v>3219985</v>
      </c>
      <c r="AC644" s="569" t="s">
        <v>477</v>
      </c>
    </row>
    <row r="645" spans="1:31" ht="67.5" customHeight="1" x14ac:dyDescent="0.3">
      <c r="A645" s="135" t="s">
        <v>711</v>
      </c>
      <c r="B645" s="136" t="s">
        <v>18</v>
      </c>
      <c r="C645" s="136" t="s">
        <v>143</v>
      </c>
      <c r="D645" s="136" t="s">
        <v>136</v>
      </c>
      <c r="E645" s="161" t="s">
        <v>917</v>
      </c>
      <c r="F645" s="136"/>
      <c r="G645" s="136"/>
      <c r="H645" s="136"/>
      <c r="I645" s="136"/>
      <c r="J645" s="136"/>
      <c r="K645" s="136"/>
      <c r="L645" s="136"/>
      <c r="M645" s="136"/>
      <c r="N645" s="136"/>
      <c r="O645" s="136"/>
      <c r="P645" s="136"/>
      <c r="Q645" s="136"/>
      <c r="R645" s="136"/>
      <c r="S645" s="136"/>
      <c r="T645" s="136" t="s">
        <v>294</v>
      </c>
      <c r="U645" s="136"/>
      <c r="V645" s="137"/>
      <c r="W645" s="137"/>
      <c r="X645" s="137"/>
      <c r="Y645" s="154"/>
      <c r="Z645" s="212">
        <f>8778815-8.33+460608.33+27.7</f>
        <v>9239442.6999999993</v>
      </c>
      <c r="AA645" s="212">
        <f>8778815-8.33+460608.33+27.7</f>
        <v>9239442.6999999993</v>
      </c>
      <c r="AB645" s="212">
        <f>8778815-8.33+460608.33+27.7</f>
        <v>9239442.6999999993</v>
      </c>
      <c r="AC645" s="569"/>
    </row>
    <row r="646" spans="1:31" ht="159.75" hidden="1" customHeight="1" x14ac:dyDescent="0.3">
      <c r="A646" s="153"/>
      <c r="B646" s="161"/>
      <c r="C646" s="161"/>
      <c r="D646" s="161"/>
      <c r="E646" s="161"/>
      <c r="F646" s="161"/>
      <c r="G646" s="161"/>
      <c r="H646" s="161"/>
      <c r="I646" s="161"/>
      <c r="J646" s="161"/>
      <c r="K646" s="161"/>
      <c r="L646" s="161"/>
      <c r="M646" s="161"/>
      <c r="N646" s="161"/>
      <c r="O646" s="161"/>
      <c r="P646" s="161"/>
      <c r="Q646" s="161"/>
      <c r="R646" s="161"/>
      <c r="S646" s="161"/>
      <c r="T646" s="161"/>
      <c r="U646" s="136"/>
      <c r="V646" s="137"/>
      <c r="W646" s="137"/>
      <c r="X646" s="137"/>
      <c r="Y646" s="154"/>
      <c r="Z646" s="212"/>
      <c r="AA646" s="212"/>
      <c r="AB646" s="212"/>
      <c r="AC646" s="569"/>
    </row>
    <row r="647" spans="1:31" ht="112.5" hidden="1" customHeight="1" x14ac:dyDescent="0.3">
      <c r="A647" s="154"/>
      <c r="B647" s="136"/>
      <c r="C647" s="136"/>
      <c r="D647" s="136"/>
      <c r="E647" s="161"/>
      <c r="F647" s="136"/>
      <c r="G647" s="136"/>
      <c r="H647" s="136"/>
      <c r="I647" s="136"/>
      <c r="J647" s="136"/>
      <c r="K647" s="136"/>
      <c r="L647" s="136"/>
      <c r="M647" s="136"/>
      <c r="N647" s="136"/>
      <c r="O647" s="136"/>
      <c r="P647" s="136"/>
      <c r="Q647" s="136"/>
      <c r="R647" s="136"/>
      <c r="S647" s="136"/>
      <c r="T647" s="136"/>
      <c r="U647" s="136"/>
      <c r="V647" s="137"/>
      <c r="W647" s="137"/>
      <c r="X647" s="137"/>
      <c r="Y647" s="154"/>
      <c r="Z647" s="212"/>
      <c r="AA647" s="212"/>
      <c r="AB647" s="212"/>
      <c r="AC647" s="569"/>
    </row>
    <row r="648" spans="1:31" ht="69.75" hidden="1" customHeight="1" x14ac:dyDescent="0.3">
      <c r="A648" s="135"/>
      <c r="B648" s="136"/>
      <c r="C648" s="136"/>
      <c r="D648" s="136"/>
      <c r="E648" s="161"/>
      <c r="F648" s="136"/>
      <c r="G648" s="136"/>
      <c r="H648" s="136"/>
      <c r="I648" s="136"/>
      <c r="J648" s="136"/>
      <c r="K648" s="136"/>
      <c r="L648" s="136"/>
      <c r="M648" s="136"/>
      <c r="N648" s="136"/>
      <c r="O648" s="136"/>
      <c r="P648" s="136"/>
      <c r="Q648" s="136"/>
      <c r="R648" s="136"/>
      <c r="S648" s="136"/>
      <c r="T648" s="136"/>
      <c r="U648" s="136"/>
      <c r="V648" s="137"/>
      <c r="W648" s="137"/>
      <c r="X648" s="137"/>
      <c r="Y648" s="154"/>
      <c r="Z648" s="212"/>
      <c r="AA648" s="212"/>
      <c r="AB648" s="212"/>
      <c r="AC648" s="569"/>
    </row>
    <row r="649" spans="1:31" ht="45" customHeight="1" x14ac:dyDescent="0.3">
      <c r="A649" s="159" t="s">
        <v>756</v>
      </c>
      <c r="B649" s="160" t="s">
        <v>18</v>
      </c>
      <c r="C649" s="160" t="s">
        <v>143</v>
      </c>
      <c r="D649" s="160" t="s">
        <v>125</v>
      </c>
      <c r="E649" s="161"/>
      <c r="F649" s="136"/>
      <c r="G649" s="136"/>
      <c r="H649" s="136"/>
      <c r="I649" s="136"/>
      <c r="J649" s="136"/>
      <c r="K649" s="136"/>
      <c r="L649" s="136"/>
      <c r="M649" s="136"/>
      <c r="N649" s="136"/>
      <c r="O649" s="136"/>
      <c r="P649" s="136"/>
      <c r="Q649" s="136"/>
      <c r="R649" s="136"/>
      <c r="S649" s="136"/>
      <c r="T649" s="136"/>
      <c r="U649" s="136"/>
      <c r="V649" s="137"/>
      <c r="W649" s="137"/>
      <c r="X649" s="137"/>
      <c r="Y649" s="154"/>
      <c r="Z649" s="212">
        <f>Z650</f>
        <v>1832320.42</v>
      </c>
      <c r="AA649" s="212">
        <f>AA650</f>
        <v>1902682.98</v>
      </c>
      <c r="AB649" s="212">
        <f>AB650</f>
        <v>1970311.8600000003</v>
      </c>
      <c r="AC649" s="569"/>
    </row>
    <row r="650" spans="1:31" ht="145.5" customHeight="1" x14ac:dyDescent="0.3">
      <c r="A650" s="286" t="s">
        <v>1403</v>
      </c>
      <c r="B650" s="161" t="s">
        <v>18</v>
      </c>
      <c r="C650" s="161" t="s">
        <v>143</v>
      </c>
      <c r="D650" s="161" t="s">
        <v>125</v>
      </c>
      <c r="E650" s="161" t="s">
        <v>918</v>
      </c>
      <c r="F650" s="161"/>
      <c r="G650" s="161"/>
      <c r="H650" s="161"/>
      <c r="I650" s="161"/>
      <c r="J650" s="161"/>
      <c r="K650" s="161"/>
      <c r="L650" s="161"/>
      <c r="M650" s="161"/>
      <c r="N650" s="161"/>
      <c r="O650" s="161"/>
      <c r="P650" s="161"/>
      <c r="Q650" s="161"/>
      <c r="R650" s="161"/>
      <c r="S650" s="161"/>
      <c r="T650" s="161"/>
      <c r="U650" s="136"/>
      <c r="V650" s="137"/>
      <c r="W650" s="137"/>
      <c r="X650" s="137"/>
      <c r="Y650" s="154"/>
      <c r="Z650" s="212">
        <f>Z651+Z652</f>
        <v>1832320.42</v>
      </c>
      <c r="AA650" s="212">
        <f>AA651+AA652</f>
        <v>1902682.98</v>
      </c>
      <c r="AB650" s="212">
        <f>AB651+AB652</f>
        <v>1970311.8600000003</v>
      </c>
      <c r="AC650" s="569"/>
    </row>
    <row r="651" spans="1:31" ht="110.25" customHeight="1" x14ac:dyDescent="0.3">
      <c r="A651" s="154" t="s">
        <v>726</v>
      </c>
      <c r="B651" s="136" t="s">
        <v>18</v>
      </c>
      <c r="C651" s="136" t="s">
        <v>143</v>
      </c>
      <c r="D651" s="136" t="s">
        <v>125</v>
      </c>
      <c r="E651" s="161" t="s">
        <v>918</v>
      </c>
      <c r="F651" s="136"/>
      <c r="G651" s="136"/>
      <c r="H651" s="136"/>
      <c r="I651" s="136"/>
      <c r="J651" s="136"/>
      <c r="K651" s="136"/>
      <c r="L651" s="136"/>
      <c r="M651" s="136"/>
      <c r="N651" s="136"/>
      <c r="O651" s="136"/>
      <c r="P651" s="136"/>
      <c r="Q651" s="136"/>
      <c r="R651" s="136"/>
      <c r="S651" s="136"/>
      <c r="T651" s="136" t="s">
        <v>38</v>
      </c>
      <c r="U651" s="136"/>
      <c r="V651" s="137"/>
      <c r="W651" s="137"/>
      <c r="X651" s="137"/>
      <c r="Y651" s="154"/>
      <c r="Z651" s="212">
        <f>1455064+63801.73+56007.12-37700+20.42</f>
        <v>1537193.27</v>
      </c>
      <c r="AA651" s="212">
        <f>1518865.73+127807.12-39100-17.02</f>
        <v>1607555.83</v>
      </c>
      <c r="AB651" s="212">
        <f>1518865.73+254007.12-97700+11.86</f>
        <v>1675184.7100000002</v>
      </c>
      <c r="AC651" s="569"/>
    </row>
    <row r="652" spans="1:31" ht="63.75" customHeight="1" x14ac:dyDescent="0.3">
      <c r="A652" s="135" t="s">
        <v>565</v>
      </c>
      <c r="B652" s="136" t="s">
        <v>18</v>
      </c>
      <c r="C652" s="136" t="s">
        <v>143</v>
      </c>
      <c r="D652" s="136" t="s">
        <v>125</v>
      </c>
      <c r="E652" s="161" t="s">
        <v>918</v>
      </c>
      <c r="F652" s="136"/>
      <c r="G652" s="136"/>
      <c r="H652" s="136"/>
      <c r="I652" s="136"/>
      <c r="J652" s="136"/>
      <c r="K652" s="136"/>
      <c r="L652" s="136"/>
      <c r="M652" s="136"/>
      <c r="N652" s="136"/>
      <c r="O652" s="136"/>
      <c r="P652" s="136"/>
      <c r="Q652" s="136"/>
      <c r="R652" s="136"/>
      <c r="S652" s="136"/>
      <c r="T652" s="136" t="s">
        <v>275</v>
      </c>
      <c r="U652" s="136"/>
      <c r="V652" s="137"/>
      <c r="W652" s="137"/>
      <c r="X652" s="137"/>
      <c r="Y652" s="154"/>
      <c r="Z652" s="212">
        <f>295136-8.85</f>
        <v>295127.15000000002</v>
      </c>
      <c r="AA652" s="212">
        <f>295136-8.85</f>
        <v>295127.15000000002</v>
      </c>
      <c r="AB652" s="212">
        <f>295136-8.85</f>
        <v>295127.15000000002</v>
      </c>
      <c r="AC652" s="569"/>
    </row>
    <row r="653" spans="1:31" ht="37.15" customHeight="1" x14ac:dyDescent="0.3">
      <c r="A653" s="159" t="s">
        <v>478</v>
      </c>
      <c r="B653" s="160" t="s">
        <v>19</v>
      </c>
      <c r="C653" s="160"/>
      <c r="D653" s="160"/>
      <c r="E653" s="160"/>
      <c r="F653" s="160"/>
      <c r="G653" s="160"/>
      <c r="H653" s="160"/>
      <c r="I653" s="160"/>
      <c r="J653" s="160"/>
      <c r="K653" s="160"/>
      <c r="L653" s="160"/>
      <c r="M653" s="160"/>
      <c r="N653" s="160"/>
      <c r="O653" s="160"/>
      <c r="P653" s="160"/>
      <c r="Q653" s="160"/>
      <c r="R653" s="160"/>
      <c r="S653" s="160"/>
      <c r="T653" s="160"/>
      <c r="U653" s="160"/>
      <c r="V653" s="214"/>
      <c r="W653" s="214"/>
      <c r="X653" s="214"/>
      <c r="Y653" s="159" t="s">
        <v>478</v>
      </c>
      <c r="Z653" s="215">
        <f>Z654+Z665+Z671+Z682</f>
        <v>45663291.079999998</v>
      </c>
      <c r="AA653" s="215">
        <f>AA654+AA665+AA671+AA682</f>
        <v>42106303.659999996</v>
      </c>
      <c r="AB653" s="215">
        <f>AB654+AB665+AB671+AB682</f>
        <v>40896577.710000001</v>
      </c>
      <c r="AC653" s="292" t="s">
        <v>478</v>
      </c>
    </row>
    <row r="654" spans="1:31" ht="37.15" customHeight="1" x14ac:dyDescent="0.3">
      <c r="A654" s="159" t="s">
        <v>270</v>
      </c>
      <c r="B654" s="160" t="s">
        <v>19</v>
      </c>
      <c r="C654" s="160" t="s">
        <v>122</v>
      </c>
      <c r="D654" s="160" t="s">
        <v>133</v>
      </c>
      <c r="E654" s="160"/>
      <c r="F654" s="160"/>
      <c r="G654" s="160"/>
      <c r="H654" s="160"/>
      <c r="I654" s="160"/>
      <c r="J654" s="160"/>
      <c r="K654" s="160"/>
      <c r="L654" s="160"/>
      <c r="M654" s="160"/>
      <c r="N654" s="160"/>
      <c r="O654" s="160"/>
      <c r="P654" s="160"/>
      <c r="Q654" s="160"/>
      <c r="R654" s="160"/>
      <c r="S654" s="160"/>
      <c r="T654" s="160"/>
      <c r="U654" s="160"/>
      <c r="V654" s="214"/>
      <c r="W654" s="214"/>
      <c r="X654" s="214"/>
      <c r="Y654" s="159" t="s">
        <v>270</v>
      </c>
      <c r="Z654" s="215">
        <f>Z655</f>
        <v>11704113.039999999</v>
      </c>
      <c r="AA654" s="215">
        <f>AA655</f>
        <v>9520811.6199999992</v>
      </c>
      <c r="AB654" s="215">
        <f>AB655</f>
        <v>9366781.8100000005</v>
      </c>
      <c r="AC654" s="292" t="s">
        <v>270</v>
      </c>
    </row>
    <row r="655" spans="1:31" ht="37.15" customHeight="1" x14ac:dyDescent="0.3">
      <c r="A655" s="159" t="s">
        <v>141</v>
      </c>
      <c r="B655" s="160" t="s">
        <v>19</v>
      </c>
      <c r="C655" s="160" t="s">
        <v>122</v>
      </c>
      <c r="D655" s="160" t="s">
        <v>130</v>
      </c>
      <c r="E655" s="160"/>
      <c r="F655" s="160"/>
      <c r="G655" s="160"/>
      <c r="H655" s="160"/>
      <c r="I655" s="160"/>
      <c r="J655" s="160"/>
      <c r="K655" s="160"/>
      <c r="L655" s="160"/>
      <c r="M655" s="160"/>
      <c r="N655" s="160"/>
      <c r="O655" s="160"/>
      <c r="P655" s="160"/>
      <c r="Q655" s="160"/>
      <c r="R655" s="160"/>
      <c r="S655" s="160"/>
      <c r="T655" s="160"/>
      <c r="U655" s="160"/>
      <c r="V655" s="214"/>
      <c r="W655" s="214"/>
      <c r="X655" s="214"/>
      <c r="Y655" s="159" t="s">
        <v>141</v>
      </c>
      <c r="Z655" s="215">
        <f>Z656+Z660+Z663</f>
        <v>11704113.039999999</v>
      </c>
      <c r="AA655" s="215">
        <f>AA656+AA660+AA663</f>
        <v>9520811.6199999992</v>
      </c>
      <c r="AB655" s="215">
        <f>AB656+AB660+AB663</f>
        <v>9366781.8100000005</v>
      </c>
      <c r="AC655" s="292" t="s">
        <v>141</v>
      </c>
    </row>
    <row r="656" spans="1:31" ht="194.25" customHeight="1" x14ac:dyDescent="0.3">
      <c r="A656" s="153" t="s">
        <v>1240</v>
      </c>
      <c r="B656" s="161" t="s">
        <v>19</v>
      </c>
      <c r="C656" s="161" t="s">
        <v>122</v>
      </c>
      <c r="D656" s="161" t="s">
        <v>130</v>
      </c>
      <c r="E656" s="161" t="s">
        <v>641</v>
      </c>
      <c r="F656" s="161"/>
      <c r="G656" s="161"/>
      <c r="H656" s="161"/>
      <c r="I656" s="161"/>
      <c r="J656" s="161"/>
      <c r="K656" s="161"/>
      <c r="L656" s="161"/>
      <c r="M656" s="161"/>
      <c r="N656" s="161"/>
      <c r="O656" s="161"/>
      <c r="P656" s="161"/>
      <c r="Q656" s="161"/>
      <c r="R656" s="161"/>
      <c r="S656" s="161"/>
      <c r="T656" s="161"/>
      <c r="U656" s="161"/>
      <c r="V656" s="206"/>
      <c r="W656" s="206"/>
      <c r="X656" s="206"/>
      <c r="Y656" s="153" t="s">
        <v>479</v>
      </c>
      <c r="Z656" s="239">
        <f>Z657+Z658+Z659</f>
        <v>6827182.79</v>
      </c>
      <c r="AA656" s="239">
        <f>AA657+AA658+AA659</f>
        <v>5978822.0899999999</v>
      </c>
      <c r="AB656" s="239">
        <f>AB657+AB658+AB659</f>
        <v>5824792.2800000003</v>
      </c>
      <c r="AC656" s="568" t="s">
        <v>479</v>
      </c>
      <c r="AE656" s="127"/>
    </row>
    <row r="657" spans="1:29" ht="110.25" customHeight="1" x14ac:dyDescent="0.3">
      <c r="A657" s="911" t="s">
        <v>726</v>
      </c>
      <c r="B657" s="901" t="s">
        <v>19</v>
      </c>
      <c r="C657" s="901" t="s">
        <v>122</v>
      </c>
      <c r="D657" s="901" t="s">
        <v>130</v>
      </c>
      <c r="E657" s="880" t="s">
        <v>641</v>
      </c>
      <c r="F657" s="901"/>
      <c r="G657" s="901"/>
      <c r="H657" s="901"/>
      <c r="I657" s="901"/>
      <c r="J657" s="901"/>
      <c r="K657" s="901"/>
      <c r="L657" s="901"/>
      <c r="M657" s="901"/>
      <c r="N657" s="901"/>
      <c r="O657" s="901"/>
      <c r="P657" s="901"/>
      <c r="Q657" s="901"/>
      <c r="R657" s="901"/>
      <c r="S657" s="901"/>
      <c r="T657" s="901" t="s">
        <v>38</v>
      </c>
      <c r="U657" s="901"/>
      <c r="V657" s="902"/>
      <c r="W657" s="902"/>
      <c r="X657" s="902"/>
      <c r="Y657" s="911" t="s">
        <v>480</v>
      </c>
      <c r="Z657" s="907">
        <f>3819316.4+121599+1153433.56+272771.32+168523+50894+154029.81+848360.7-78000</f>
        <v>6510927.79</v>
      </c>
      <c r="AA657" s="212">
        <v>5740567.0899999999</v>
      </c>
      <c r="AB657" s="212">
        <v>5586537.2800000003</v>
      </c>
      <c r="AC657" s="569" t="s">
        <v>480</v>
      </c>
    </row>
    <row r="658" spans="1:29" ht="59.25" customHeight="1" x14ac:dyDescent="0.3">
      <c r="A658" s="900" t="s">
        <v>565</v>
      </c>
      <c r="B658" s="901" t="s">
        <v>19</v>
      </c>
      <c r="C658" s="901" t="s">
        <v>122</v>
      </c>
      <c r="D658" s="901" t="s">
        <v>130</v>
      </c>
      <c r="E658" s="880" t="s">
        <v>641</v>
      </c>
      <c r="F658" s="901"/>
      <c r="G658" s="901"/>
      <c r="H658" s="901"/>
      <c r="I658" s="901"/>
      <c r="J658" s="901"/>
      <c r="K658" s="901"/>
      <c r="L658" s="901"/>
      <c r="M658" s="901"/>
      <c r="N658" s="901"/>
      <c r="O658" s="901"/>
      <c r="P658" s="901"/>
      <c r="Q658" s="901"/>
      <c r="R658" s="901"/>
      <c r="S658" s="901"/>
      <c r="T658" s="901" t="s">
        <v>275</v>
      </c>
      <c r="U658" s="901"/>
      <c r="V658" s="902"/>
      <c r="W658" s="902"/>
      <c r="X658" s="902"/>
      <c r="Y658" s="900" t="s">
        <v>481</v>
      </c>
      <c r="Z658" s="907">
        <f>60000+18000+36256+5000+77244+38374+78000</f>
        <v>312874</v>
      </c>
      <c r="AA658" s="212">
        <f>60000+18000+36256+5000+77244+38374</f>
        <v>234874</v>
      </c>
      <c r="AB658" s="212">
        <f>60000+18000+36256+5000+77244+38374</f>
        <v>234874</v>
      </c>
      <c r="AC658" s="213" t="s">
        <v>481</v>
      </c>
    </row>
    <row r="659" spans="1:29" ht="34.5" customHeight="1" x14ac:dyDescent="0.3">
      <c r="A659" s="135" t="s">
        <v>763</v>
      </c>
      <c r="B659" s="136" t="s">
        <v>19</v>
      </c>
      <c r="C659" s="136" t="s">
        <v>122</v>
      </c>
      <c r="D659" s="136" t="s">
        <v>130</v>
      </c>
      <c r="E659" s="161" t="s">
        <v>641</v>
      </c>
      <c r="F659" s="136"/>
      <c r="G659" s="136"/>
      <c r="H659" s="136"/>
      <c r="I659" s="136"/>
      <c r="J659" s="136"/>
      <c r="K659" s="136"/>
      <c r="L659" s="136"/>
      <c r="M659" s="136"/>
      <c r="N659" s="136"/>
      <c r="O659" s="136"/>
      <c r="P659" s="136"/>
      <c r="Q659" s="136"/>
      <c r="R659" s="136"/>
      <c r="S659" s="136"/>
      <c r="T659" s="136" t="s">
        <v>243</v>
      </c>
      <c r="U659" s="136"/>
      <c r="V659" s="137"/>
      <c r="W659" s="137"/>
      <c r="X659" s="137"/>
      <c r="Y659" s="135" t="s">
        <v>482</v>
      </c>
      <c r="Z659" s="212">
        <f>381+3000</f>
        <v>3381</v>
      </c>
      <c r="AA659" s="212">
        <f>381+3000</f>
        <v>3381</v>
      </c>
      <c r="AB659" s="212">
        <f>381+3000</f>
        <v>3381</v>
      </c>
      <c r="AC659" s="213" t="s">
        <v>482</v>
      </c>
    </row>
    <row r="660" spans="1:29" ht="223.5" customHeight="1" x14ac:dyDescent="0.3">
      <c r="A660" s="153" t="s">
        <v>1241</v>
      </c>
      <c r="B660" s="161" t="s">
        <v>19</v>
      </c>
      <c r="C660" s="161" t="s">
        <v>122</v>
      </c>
      <c r="D660" s="161" t="s">
        <v>130</v>
      </c>
      <c r="E660" s="161" t="s">
        <v>642</v>
      </c>
      <c r="F660" s="161"/>
      <c r="G660" s="161"/>
      <c r="H660" s="161"/>
      <c r="I660" s="161"/>
      <c r="J660" s="161"/>
      <c r="K660" s="161"/>
      <c r="L660" s="161"/>
      <c r="M660" s="161"/>
      <c r="N660" s="161"/>
      <c r="O660" s="161"/>
      <c r="P660" s="161"/>
      <c r="Q660" s="161"/>
      <c r="R660" s="161"/>
      <c r="S660" s="161"/>
      <c r="T660" s="161"/>
      <c r="U660" s="161"/>
      <c r="V660" s="206"/>
      <c r="W660" s="206"/>
      <c r="X660" s="206"/>
      <c r="Y660" s="153" t="s">
        <v>483</v>
      </c>
      <c r="Z660" s="239">
        <f>Z661+Z662</f>
        <v>4876930.2499999991</v>
      </c>
      <c r="AA660" s="239">
        <f>AA661+AA662</f>
        <v>3541989.53</v>
      </c>
      <c r="AB660" s="239">
        <f>AB661+AB662</f>
        <v>3541989.53</v>
      </c>
      <c r="AC660" s="568" t="s">
        <v>483</v>
      </c>
    </row>
    <row r="661" spans="1:29" ht="60" customHeight="1" x14ac:dyDescent="0.3">
      <c r="A661" s="135" t="s">
        <v>565</v>
      </c>
      <c r="B661" s="136" t="s">
        <v>19</v>
      </c>
      <c r="C661" s="136" t="s">
        <v>122</v>
      </c>
      <c r="D661" s="136" t="s">
        <v>130</v>
      </c>
      <c r="E661" s="161" t="s">
        <v>642</v>
      </c>
      <c r="F661" s="136"/>
      <c r="G661" s="136"/>
      <c r="H661" s="136"/>
      <c r="I661" s="136"/>
      <c r="J661" s="136"/>
      <c r="K661" s="136"/>
      <c r="L661" s="136"/>
      <c r="M661" s="136"/>
      <c r="N661" s="136"/>
      <c r="O661" s="136"/>
      <c r="P661" s="136"/>
      <c r="Q661" s="136"/>
      <c r="R661" s="136"/>
      <c r="S661" s="136"/>
      <c r="T661" s="136" t="s">
        <v>275</v>
      </c>
      <c r="U661" s="136"/>
      <c r="V661" s="137"/>
      <c r="W661" s="137"/>
      <c r="X661" s="137"/>
      <c r="Y661" s="135" t="s">
        <v>484</v>
      </c>
      <c r="Z661" s="212">
        <f>3493863.53+5000000-1465059.28-500000-1500000-200000</f>
        <v>4828804.2499999991</v>
      </c>
      <c r="AA661" s="212">
        <v>3493863.53</v>
      </c>
      <c r="AB661" s="212">
        <v>3493863.53</v>
      </c>
      <c r="AC661" s="213" t="s">
        <v>484</v>
      </c>
    </row>
    <row r="662" spans="1:29" ht="36" customHeight="1" x14ac:dyDescent="0.3">
      <c r="A662" s="135" t="s">
        <v>763</v>
      </c>
      <c r="B662" s="136" t="s">
        <v>19</v>
      </c>
      <c r="C662" s="136" t="s">
        <v>122</v>
      </c>
      <c r="D662" s="136" t="s">
        <v>130</v>
      </c>
      <c r="E662" s="161" t="s">
        <v>642</v>
      </c>
      <c r="F662" s="136"/>
      <c r="G662" s="136"/>
      <c r="H662" s="136"/>
      <c r="I662" s="136"/>
      <c r="J662" s="136"/>
      <c r="K662" s="136"/>
      <c r="L662" s="136"/>
      <c r="M662" s="136"/>
      <c r="N662" s="136"/>
      <c r="O662" s="136"/>
      <c r="P662" s="136"/>
      <c r="Q662" s="136"/>
      <c r="R662" s="136"/>
      <c r="S662" s="136"/>
      <c r="T662" s="136" t="s">
        <v>243</v>
      </c>
      <c r="U662" s="136"/>
      <c r="V662" s="137"/>
      <c r="W662" s="137"/>
      <c r="X662" s="137"/>
      <c r="Y662" s="135"/>
      <c r="Z662" s="212">
        <v>48126</v>
      </c>
      <c r="AA662" s="212">
        <f>18126+30000</f>
        <v>48126</v>
      </c>
      <c r="AB662" s="212">
        <f>18126+30000</f>
        <v>48126</v>
      </c>
      <c r="AC662" s="213"/>
    </row>
    <row r="663" spans="1:29" ht="177.75" hidden="1" customHeight="1" x14ac:dyDescent="0.3">
      <c r="A663" s="492" t="s">
        <v>1003</v>
      </c>
      <c r="B663" s="136" t="s">
        <v>19</v>
      </c>
      <c r="C663" s="136" t="s">
        <v>122</v>
      </c>
      <c r="D663" s="136" t="s">
        <v>130</v>
      </c>
      <c r="E663" s="161" t="s">
        <v>771</v>
      </c>
      <c r="F663" s="136"/>
      <c r="G663" s="136"/>
      <c r="H663" s="136"/>
      <c r="I663" s="136"/>
      <c r="J663" s="136"/>
      <c r="K663" s="136"/>
      <c r="L663" s="136"/>
      <c r="M663" s="136"/>
      <c r="N663" s="136"/>
      <c r="O663" s="136"/>
      <c r="P663" s="136"/>
      <c r="Q663" s="136"/>
      <c r="R663" s="136"/>
      <c r="S663" s="136"/>
      <c r="T663" s="136"/>
      <c r="U663" s="136"/>
      <c r="V663" s="137"/>
      <c r="W663" s="137"/>
      <c r="X663" s="137"/>
      <c r="Y663" s="135"/>
      <c r="Z663" s="212">
        <f>Z664</f>
        <v>0</v>
      </c>
      <c r="AA663" s="212">
        <f>AA664</f>
        <v>0</v>
      </c>
      <c r="AB663" s="212">
        <f>AB664</f>
        <v>0</v>
      </c>
      <c r="AC663" s="213"/>
    </row>
    <row r="664" spans="1:29" ht="95.25" hidden="1" customHeight="1" x14ac:dyDescent="0.3">
      <c r="A664" s="135" t="s">
        <v>772</v>
      </c>
      <c r="B664" s="136" t="s">
        <v>19</v>
      </c>
      <c r="C664" s="136" t="s">
        <v>122</v>
      </c>
      <c r="D664" s="136" t="s">
        <v>130</v>
      </c>
      <c r="E664" s="161" t="s">
        <v>771</v>
      </c>
      <c r="F664" s="136"/>
      <c r="G664" s="136"/>
      <c r="H664" s="136"/>
      <c r="I664" s="136"/>
      <c r="J664" s="136"/>
      <c r="K664" s="136"/>
      <c r="L664" s="136"/>
      <c r="M664" s="136"/>
      <c r="N664" s="136"/>
      <c r="O664" s="136"/>
      <c r="P664" s="136"/>
      <c r="Q664" s="136"/>
      <c r="R664" s="136"/>
      <c r="S664" s="136"/>
      <c r="T664" s="136" t="s">
        <v>243</v>
      </c>
      <c r="U664" s="136"/>
      <c r="V664" s="137"/>
      <c r="W664" s="137"/>
      <c r="X664" s="137"/>
      <c r="Y664" s="135"/>
      <c r="Z664" s="212">
        <v>0</v>
      </c>
      <c r="AA664" s="212">
        <v>0</v>
      </c>
      <c r="AB664" s="212">
        <v>0</v>
      </c>
      <c r="AC664" s="213"/>
    </row>
    <row r="665" spans="1:29" ht="55.9" customHeight="1" x14ac:dyDescent="0.3">
      <c r="A665" s="159" t="s">
        <v>297</v>
      </c>
      <c r="B665" s="160" t="s">
        <v>19</v>
      </c>
      <c r="C665" s="160" t="s">
        <v>123</v>
      </c>
      <c r="D665" s="160" t="s">
        <v>133</v>
      </c>
      <c r="E665" s="160"/>
      <c r="F665" s="160"/>
      <c r="G665" s="160"/>
      <c r="H665" s="160"/>
      <c r="I665" s="160"/>
      <c r="J665" s="160"/>
      <c r="K665" s="160"/>
      <c r="L665" s="160"/>
      <c r="M665" s="160"/>
      <c r="N665" s="160"/>
      <c r="O665" s="160"/>
      <c r="P665" s="160"/>
      <c r="Q665" s="160"/>
      <c r="R665" s="160"/>
      <c r="S665" s="160"/>
      <c r="T665" s="160"/>
      <c r="U665" s="160"/>
      <c r="V665" s="214"/>
      <c r="W665" s="214"/>
      <c r="X665" s="214"/>
      <c r="Y665" s="159" t="s">
        <v>297</v>
      </c>
      <c r="Z665" s="215">
        <f t="shared" ref="Z665:AB669" si="22">Z666</f>
        <v>3696686.13</v>
      </c>
      <c r="AA665" s="215">
        <f t="shared" si="22"/>
        <v>3970036.13</v>
      </c>
      <c r="AB665" s="215">
        <f t="shared" si="22"/>
        <v>2914339.99</v>
      </c>
      <c r="AC665" s="292" t="s">
        <v>297</v>
      </c>
    </row>
    <row r="666" spans="1:29" ht="74.45" customHeight="1" x14ac:dyDescent="0.3">
      <c r="A666" s="159" t="s">
        <v>251</v>
      </c>
      <c r="B666" s="160" t="s">
        <v>19</v>
      </c>
      <c r="C666" s="160" t="s">
        <v>123</v>
      </c>
      <c r="D666" s="160" t="s">
        <v>127</v>
      </c>
      <c r="E666" s="160"/>
      <c r="F666" s="160"/>
      <c r="G666" s="160"/>
      <c r="H666" s="160"/>
      <c r="I666" s="160"/>
      <c r="J666" s="160"/>
      <c r="K666" s="160"/>
      <c r="L666" s="160"/>
      <c r="M666" s="160"/>
      <c r="N666" s="160"/>
      <c r="O666" s="160"/>
      <c r="P666" s="160"/>
      <c r="Q666" s="160"/>
      <c r="R666" s="160"/>
      <c r="S666" s="160"/>
      <c r="T666" s="160"/>
      <c r="U666" s="160"/>
      <c r="V666" s="214"/>
      <c r="W666" s="214"/>
      <c r="X666" s="214"/>
      <c r="Y666" s="159" t="s">
        <v>251</v>
      </c>
      <c r="Z666" s="215">
        <f>Z669+Z667</f>
        <v>3696686.13</v>
      </c>
      <c r="AA666" s="215">
        <f>AA669+AA667</f>
        <v>3970036.13</v>
      </c>
      <c r="AB666" s="215">
        <f>AB669+AB667</f>
        <v>2914339.99</v>
      </c>
      <c r="AC666" s="292" t="s">
        <v>251</v>
      </c>
    </row>
    <row r="667" spans="1:29" ht="215.25" customHeight="1" x14ac:dyDescent="0.3">
      <c r="A667" s="155" t="s">
        <v>1332</v>
      </c>
      <c r="B667" s="161" t="s">
        <v>19</v>
      </c>
      <c r="C667" s="161" t="s">
        <v>123</v>
      </c>
      <c r="D667" s="161" t="s">
        <v>127</v>
      </c>
      <c r="E667" s="161" t="s">
        <v>1120</v>
      </c>
      <c r="F667" s="160"/>
      <c r="G667" s="160"/>
      <c r="H667" s="160"/>
      <c r="I667" s="160"/>
      <c r="J667" s="160"/>
      <c r="K667" s="160"/>
      <c r="L667" s="160"/>
      <c r="M667" s="160"/>
      <c r="N667" s="160"/>
      <c r="O667" s="160"/>
      <c r="P667" s="160"/>
      <c r="Q667" s="160"/>
      <c r="R667" s="160"/>
      <c r="S667" s="160"/>
      <c r="T667" s="160"/>
      <c r="U667" s="160"/>
      <c r="V667" s="214"/>
      <c r="W667" s="214"/>
      <c r="X667" s="214"/>
      <c r="Y667" s="159"/>
      <c r="Z667" s="239">
        <f>Z668</f>
        <v>3696686.13</v>
      </c>
      <c r="AA667" s="239">
        <f>AA668</f>
        <v>3970036.13</v>
      </c>
      <c r="AB667" s="239">
        <f>AB668</f>
        <v>2914339.99</v>
      </c>
      <c r="AC667" s="292"/>
    </row>
    <row r="668" spans="1:29" ht="51.75" customHeight="1" x14ac:dyDescent="0.3">
      <c r="A668" s="135" t="s">
        <v>1115</v>
      </c>
      <c r="B668" s="136" t="s">
        <v>19</v>
      </c>
      <c r="C668" s="136" t="s">
        <v>123</v>
      </c>
      <c r="D668" s="136" t="s">
        <v>127</v>
      </c>
      <c r="E668" s="161" t="s">
        <v>1120</v>
      </c>
      <c r="F668" s="160"/>
      <c r="G668" s="160"/>
      <c r="H668" s="160"/>
      <c r="I668" s="160"/>
      <c r="J668" s="160"/>
      <c r="K668" s="160"/>
      <c r="L668" s="160"/>
      <c r="M668" s="160"/>
      <c r="N668" s="160"/>
      <c r="O668" s="160"/>
      <c r="P668" s="160"/>
      <c r="Q668" s="160"/>
      <c r="R668" s="160"/>
      <c r="S668" s="160"/>
      <c r="T668" s="161" t="s">
        <v>294</v>
      </c>
      <c r="U668" s="160"/>
      <c r="V668" s="214"/>
      <c r="W668" s="214"/>
      <c r="X668" s="214"/>
      <c r="Y668" s="159"/>
      <c r="Z668" s="239">
        <f>2700000+996686.13</f>
        <v>3696686.13</v>
      </c>
      <c r="AA668" s="239">
        <f>2700000+1270036.13</f>
        <v>3970036.13</v>
      </c>
      <c r="AB668" s="239">
        <f>2700000+214339.99</f>
        <v>2914339.99</v>
      </c>
      <c r="AC668" s="292"/>
    </row>
    <row r="669" spans="1:29" ht="0.75" hidden="1" customHeight="1" x14ac:dyDescent="0.3">
      <c r="A669" s="153" t="s">
        <v>643</v>
      </c>
      <c r="B669" s="161" t="s">
        <v>19</v>
      </c>
      <c r="C669" s="161" t="s">
        <v>123</v>
      </c>
      <c r="D669" s="161" t="s">
        <v>127</v>
      </c>
      <c r="E669" s="161" t="s">
        <v>1020</v>
      </c>
      <c r="F669" s="161"/>
      <c r="G669" s="161"/>
      <c r="H669" s="161"/>
      <c r="I669" s="161"/>
      <c r="J669" s="161"/>
      <c r="K669" s="161"/>
      <c r="L669" s="161"/>
      <c r="M669" s="161"/>
      <c r="N669" s="161"/>
      <c r="O669" s="161"/>
      <c r="P669" s="161"/>
      <c r="Q669" s="161"/>
      <c r="R669" s="161"/>
      <c r="S669" s="161"/>
      <c r="T669" s="161"/>
      <c r="U669" s="161"/>
      <c r="V669" s="206"/>
      <c r="W669" s="206"/>
      <c r="X669" s="206"/>
      <c r="Y669" s="153" t="s">
        <v>485</v>
      </c>
      <c r="Z669" s="239">
        <f t="shared" si="22"/>
        <v>0</v>
      </c>
      <c r="AA669" s="239">
        <f t="shared" si="22"/>
        <v>0</v>
      </c>
      <c r="AB669" s="239">
        <f t="shared" si="22"/>
        <v>0</v>
      </c>
      <c r="AC669" s="568" t="s">
        <v>485</v>
      </c>
    </row>
    <row r="670" spans="1:29" ht="1.5" hidden="1" customHeight="1" x14ac:dyDescent="0.3">
      <c r="A670" s="135" t="s">
        <v>486</v>
      </c>
      <c r="B670" s="136" t="s">
        <v>19</v>
      </c>
      <c r="C670" s="136" t="s">
        <v>123</v>
      </c>
      <c r="D670" s="136" t="s">
        <v>127</v>
      </c>
      <c r="E670" s="161" t="s">
        <v>1020</v>
      </c>
      <c r="F670" s="136"/>
      <c r="G670" s="136"/>
      <c r="H670" s="136"/>
      <c r="I670" s="136"/>
      <c r="J670" s="136"/>
      <c r="K670" s="136"/>
      <c r="L670" s="136"/>
      <c r="M670" s="136"/>
      <c r="N670" s="136"/>
      <c r="O670" s="136"/>
      <c r="P670" s="136"/>
      <c r="Q670" s="136"/>
      <c r="R670" s="136"/>
      <c r="S670" s="136"/>
      <c r="T670" s="136" t="s">
        <v>294</v>
      </c>
      <c r="U670" s="136"/>
      <c r="V670" s="137"/>
      <c r="W670" s="137"/>
      <c r="X670" s="137"/>
      <c r="Y670" s="135" t="s">
        <v>486</v>
      </c>
      <c r="Z670" s="212">
        <v>0</v>
      </c>
      <c r="AA670" s="212">
        <v>0</v>
      </c>
      <c r="AB670" s="212">
        <v>0</v>
      </c>
      <c r="AC670" s="213" t="s">
        <v>486</v>
      </c>
    </row>
    <row r="671" spans="1:29" ht="22.5" customHeight="1" x14ac:dyDescent="0.3">
      <c r="A671" s="159" t="s">
        <v>366</v>
      </c>
      <c r="B671" s="160" t="s">
        <v>19</v>
      </c>
      <c r="C671" s="160" t="s">
        <v>138</v>
      </c>
      <c r="D671" s="160" t="s">
        <v>133</v>
      </c>
      <c r="E671" s="160"/>
      <c r="F671" s="160"/>
      <c r="G671" s="160"/>
      <c r="H671" s="160"/>
      <c r="I671" s="160"/>
      <c r="J671" s="160"/>
      <c r="K671" s="160"/>
      <c r="L671" s="160"/>
      <c r="M671" s="160"/>
      <c r="N671" s="160"/>
      <c r="O671" s="160"/>
      <c r="P671" s="160"/>
      <c r="Q671" s="160"/>
      <c r="R671" s="160"/>
      <c r="S671" s="160"/>
      <c r="T671" s="160"/>
      <c r="U671" s="160"/>
      <c r="V671" s="214"/>
      <c r="W671" s="214"/>
      <c r="X671" s="214"/>
      <c r="Y671" s="159" t="s">
        <v>366</v>
      </c>
      <c r="Z671" s="215">
        <f>Z672+Z675</f>
        <v>9132871.4399999995</v>
      </c>
      <c r="AA671" s="215">
        <f>AA672+AA675</f>
        <v>8631387.4399999995</v>
      </c>
      <c r="AB671" s="215">
        <f>AB672+AB675</f>
        <v>8631387.4399999995</v>
      </c>
      <c r="AC671" s="292" t="s">
        <v>366</v>
      </c>
    </row>
    <row r="672" spans="1:29" ht="1.5" hidden="1" customHeight="1" x14ac:dyDescent="0.3">
      <c r="A672" s="159" t="s">
        <v>156</v>
      </c>
      <c r="B672" s="160" t="s">
        <v>19</v>
      </c>
      <c r="C672" s="160" t="s">
        <v>138</v>
      </c>
      <c r="D672" s="160" t="s">
        <v>132</v>
      </c>
      <c r="E672" s="160"/>
      <c r="F672" s="160"/>
      <c r="G672" s="160"/>
      <c r="H672" s="160"/>
      <c r="I672" s="160"/>
      <c r="J672" s="160"/>
      <c r="K672" s="160"/>
      <c r="L672" s="160"/>
      <c r="M672" s="160"/>
      <c r="N672" s="160"/>
      <c r="O672" s="160"/>
      <c r="P672" s="160"/>
      <c r="Q672" s="160"/>
      <c r="R672" s="160"/>
      <c r="S672" s="160"/>
      <c r="T672" s="160"/>
      <c r="U672" s="160"/>
      <c r="V672" s="214"/>
      <c r="W672" s="214"/>
      <c r="X672" s="214"/>
      <c r="Y672" s="159" t="s">
        <v>156</v>
      </c>
      <c r="Z672" s="215">
        <f t="shared" ref="Z672:AB673" si="23">Z673</f>
        <v>0</v>
      </c>
      <c r="AA672" s="215">
        <f t="shared" si="23"/>
        <v>0</v>
      </c>
      <c r="AB672" s="215">
        <f t="shared" si="23"/>
        <v>0</v>
      </c>
      <c r="AC672" s="292" t="s">
        <v>156</v>
      </c>
    </row>
    <row r="673" spans="1:29" ht="66.75" hidden="1" customHeight="1" x14ac:dyDescent="0.3">
      <c r="A673" s="153" t="s">
        <v>645</v>
      </c>
      <c r="B673" s="161" t="s">
        <v>19</v>
      </c>
      <c r="C673" s="161" t="s">
        <v>138</v>
      </c>
      <c r="D673" s="161" t="s">
        <v>132</v>
      </c>
      <c r="E673" s="161" t="s">
        <v>646</v>
      </c>
      <c r="F673" s="161"/>
      <c r="G673" s="161"/>
      <c r="H673" s="161"/>
      <c r="I673" s="161"/>
      <c r="J673" s="161"/>
      <c r="K673" s="161"/>
      <c r="L673" s="161"/>
      <c r="M673" s="161"/>
      <c r="N673" s="161"/>
      <c r="O673" s="161"/>
      <c r="P673" s="161"/>
      <c r="Q673" s="161"/>
      <c r="R673" s="161"/>
      <c r="S673" s="161"/>
      <c r="T673" s="161"/>
      <c r="U673" s="161"/>
      <c r="V673" s="206"/>
      <c r="W673" s="206"/>
      <c r="X673" s="206"/>
      <c r="Y673" s="153" t="s">
        <v>487</v>
      </c>
      <c r="Z673" s="239">
        <f t="shared" si="23"/>
        <v>0</v>
      </c>
      <c r="AA673" s="239">
        <f t="shared" si="23"/>
        <v>0</v>
      </c>
      <c r="AB673" s="239">
        <f t="shared" si="23"/>
        <v>0</v>
      </c>
      <c r="AC673" s="568" t="s">
        <v>487</v>
      </c>
    </row>
    <row r="674" spans="1:29" ht="73.5" hidden="1" customHeight="1" x14ac:dyDescent="0.3">
      <c r="A674" s="135" t="s">
        <v>488</v>
      </c>
      <c r="B674" s="136" t="s">
        <v>19</v>
      </c>
      <c r="C674" s="136" t="s">
        <v>138</v>
      </c>
      <c r="D674" s="136" t="s">
        <v>132</v>
      </c>
      <c r="E674" s="161" t="s">
        <v>646</v>
      </c>
      <c r="F674" s="136"/>
      <c r="G674" s="136"/>
      <c r="H674" s="136"/>
      <c r="I674" s="136"/>
      <c r="J674" s="136"/>
      <c r="K674" s="136"/>
      <c r="L674" s="136"/>
      <c r="M674" s="136"/>
      <c r="N674" s="136"/>
      <c r="O674" s="136"/>
      <c r="P674" s="136"/>
      <c r="Q674" s="136"/>
      <c r="R674" s="136"/>
      <c r="S674" s="136"/>
      <c r="T674" s="136" t="s">
        <v>294</v>
      </c>
      <c r="U674" s="136"/>
      <c r="V674" s="137"/>
      <c r="W674" s="137"/>
      <c r="X674" s="137"/>
      <c r="Y674" s="135" t="s">
        <v>488</v>
      </c>
      <c r="Z674" s="212">
        <f>7636834.56-2600000-5036834.56</f>
        <v>0</v>
      </c>
      <c r="AA674" s="212">
        <f>7636834.56-7636834.56</f>
        <v>0</v>
      </c>
      <c r="AB674" s="212">
        <f>7636834.56-7636834.56</f>
        <v>0</v>
      </c>
      <c r="AC674" s="213" t="s">
        <v>488</v>
      </c>
    </row>
    <row r="675" spans="1:29" ht="24" customHeight="1" x14ac:dyDescent="0.3">
      <c r="A675" s="159" t="s">
        <v>748</v>
      </c>
      <c r="B675" s="160" t="s">
        <v>19</v>
      </c>
      <c r="C675" s="160" t="s">
        <v>138</v>
      </c>
      <c r="D675" s="160" t="s">
        <v>123</v>
      </c>
      <c r="E675" s="161"/>
      <c r="F675" s="136"/>
      <c r="G675" s="136"/>
      <c r="H675" s="136"/>
      <c r="I675" s="136"/>
      <c r="J675" s="136"/>
      <c r="K675" s="136"/>
      <c r="L675" s="136"/>
      <c r="M675" s="136"/>
      <c r="N675" s="136"/>
      <c r="O675" s="136"/>
      <c r="P675" s="136"/>
      <c r="Q675" s="136"/>
      <c r="R675" s="136"/>
      <c r="S675" s="136"/>
      <c r="T675" s="136"/>
      <c r="U675" s="136"/>
      <c r="V675" s="137"/>
      <c r="W675" s="137"/>
      <c r="X675" s="137"/>
      <c r="Y675" s="135"/>
      <c r="Z675" s="212">
        <f>Z680+Z678+Z677</f>
        <v>9132871.4399999995</v>
      </c>
      <c r="AA675" s="212">
        <f>AA680+AA678</f>
        <v>8631387.4399999995</v>
      </c>
      <c r="AB675" s="212">
        <f>AB680+AB678</f>
        <v>8631387.4399999995</v>
      </c>
      <c r="AC675" s="213"/>
    </row>
    <row r="676" spans="1:29" ht="154.5" customHeight="1" x14ac:dyDescent="0.3">
      <c r="A676" s="153" t="s">
        <v>1353</v>
      </c>
      <c r="B676" s="161" t="s">
        <v>19</v>
      </c>
      <c r="C676" s="161" t="s">
        <v>138</v>
      </c>
      <c r="D676" s="161" t="s">
        <v>123</v>
      </c>
      <c r="E676" s="161" t="s">
        <v>646</v>
      </c>
      <c r="F676" s="161"/>
      <c r="G676" s="161"/>
      <c r="H676" s="161"/>
      <c r="I676" s="161"/>
      <c r="J676" s="161"/>
      <c r="K676" s="161"/>
      <c r="L676" s="161"/>
      <c r="M676" s="161"/>
      <c r="N676" s="161"/>
      <c r="O676" s="161"/>
      <c r="P676" s="161"/>
      <c r="Q676" s="161"/>
      <c r="R676" s="161"/>
      <c r="S676" s="161"/>
      <c r="T676" s="161"/>
      <c r="U676" s="136"/>
      <c r="V676" s="137"/>
      <c r="W676" s="137"/>
      <c r="X676" s="137"/>
      <c r="Y676" s="135"/>
      <c r="Z676" s="212">
        <f>Z677</f>
        <v>501484</v>
      </c>
      <c r="AA676" s="212">
        <v>0</v>
      </c>
      <c r="AB676" s="212">
        <v>0</v>
      </c>
      <c r="AC676" s="213"/>
    </row>
    <row r="677" spans="1:29" ht="63" customHeight="1" x14ac:dyDescent="0.3">
      <c r="A677" s="135" t="s">
        <v>711</v>
      </c>
      <c r="B677" s="136" t="s">
        <v>19</v>
      </c>
      <c r="C677" s="136" t="s">
        <v>138</v>
      </c>
      <c r="D677" s="136" t="s">
        <v>123</v>
      </c>
      <c r="E677" s="161" t="s">
        <v>646</v>
      </c>
      <c r="F677" s="136"/>
      <c r="G677" s="136"/>
      <c r="H677" s="136"/>
      <c r="I677" s="136"/>
      <c r="J677" s="136"/>
      <c r="K677" s="136"/>
      <c r="L677" s="136"/>
      <c r="M677" s="136"/>
      <c r="N677" s="136"/>
      <c r="O677" s="136"/>
      <c r="P677" s="136"/>
      <c r="Q677" s="136"/>
      <c r="R677" s="136"/>
      <c r="S677" s="136"/>
      <c r="T677" s="136" t="s">
        <v>294</v>
      </c>
      <c r="U677" s="136"/>
      <c r="V677" s="137"/>
      <c r="W677" s="137"/>
      <c r="X677" s="137"/>
      <c r="Y677" s="135"/>
      <c r="Z677" s="212">
        <v>501484</v>
      </c>
      <c r="AA677" s="212">
        <v>0</v>
      </c>
      <c r="AB677" s="212">
        <v>0</v>
      </c>
      <c r="AC677" s="213"/>
    </row>
    <row r="678" spans="1:29" ht="141.75" customHeight="1" x14ac:dyDescent="0.3">
      <c r="A678" s="155" t="s">
        <v>1344</v>
      </c>
      <c r="B678" s="161" t="s">
        <v>19</v>
      </c>
      <c r="C678" s="161" t="s">
        <v>138</v>
      </c>
      <c r="D678" s="161" t="s">
        <v>123</v>
      </c>
      <c r="E678" s="161" t="s">
        <v>1119</v>
      </c>
      <c r="F678" s="136"/>
      <c r="G678" s="136"/>
      <c r="H678" s="136"/>
      <c r="I678" s="136"/>
      <c r="J678" s="136"/>
      <c r="K678" s="136"/>
      <c r="L678" s="136"/>
      <c r="M678" s="136"/>
      <c r="N678" s="136"/>
      <c r="O678" s="136"/>
      <c r="P678" s="136"/>
      <c r="Q678" s="136"/>
      <c r="R678" s="136"/>
      <c r="S678" s="136"/>
      <c r="T678" s="136"/>
      <c r="U678" s="136"/>
      <c r="V678" s="137"/>
      <c r="W678" s="137"/>
      <c r="X678" s="137"/>
      <c r="Y678" s="135"/>
      <c r="Z678" s="212">
        <f>Z679</f>
        <v>8631387.4399999995</v>
      </c>
      <c r="AA678" s="212">
        <f>AA679</f>
        <v>8631387.4399999995</v>
      </c>
      <c r="AB678" s="212">
        <f>AB679</f>
        <v>8631387.4399999995</v>
      </c>
      <c r="AC678" s="213"/>
    </row>
    <row r="679" spans="1:29" ht="61.5" customHeight="1" x14ac:dyDescent="0.3">
      <c r="A679" s="135" t="s">
        <v>1115</v>
      </c>
      <c r="B679" s="161" t="s">
        <v>19</v>
      </c>
      <c r="C679" s="161" t="s">
        <v>138</v>
      </c>
      <c r="D679" s="161" t="s">
        <v>123</v>
      </c>
      <c r="E679" s="161" t="s">
        <v>1119</v>
      </c>
      <c r="F679" s="136"/>
      <c r="G679" s="136"/>
      <c r="H679" s="136"/>
      <c r="I679" s="136"/>
      <c r="J679" s="136"/>
      <c r="K679" s="136"/>
      <c r="L679" s="136"/>
      <c r="M679" s="136"/>
      <c r="N679" s="136"/>
      <c r="O679" s="136"/>
      <c r="P679" s="136"/>
      <c r="Q679" s="136"/>
      <c r="R679" s="136"/>
      <c r="S679" s="136"/>
      <c r="T679" s="136" t="s">
        <v>294</v>
      </c>
      <c r="U679" s="136"/>
      <c r="V679" s="137"/>
      <c r="W679" s="137"/>
      <c r="X679" s="137"/>
      <c r="Y679" s="135"/>
      <c r="Z679" s="212">
        <v>8631387.4399999995</v>
      </c>
      <c r="AA679" s="212">
        <v>8631387.4399999995</v>
      </c>
      <c r="AB679" s="212">
        <v>8631387.4399999995</v>
      </c>
      <c r="AC679" s="213"/>
    </row>
    <row r="680" spans="1:29" ht="150" hidden="1" customHeight="1" x14ac:dyDescent="0.3">
      <c r="A680" s="153" t="s">
        <v>645</v>
      </c>
      <c r="B680" s="161" t="s">
        <v>19</v>
      </c>
      <c r="C680" s="161" t="s">
        <v>138</v>
      </c>
      <c r="D680" s="161" t="s">
        <v>123</v>
      </c>
      <c r="E680" s="161" t="s">
        <v>646</v>
      </c>
      <c r="F680" s="161"/>
      <c r="G680" s="161"/>
      <c r="H680" s="161"/>
      <c r="I680" s="161"/>
      <c r="J680" s="161"/>
      <c r="K680" s="161"/>
      <c r="L680" s="161"/>
      <c r="M680" s="161"/>
      <c r="N680" s="161"/>
      <c r="O680" s="161"/>
      <c r="P680" s="161"/>
      <c r="Q680" s="161"/>
      <c r="R680" s="161"/>
      <c r="S680" s="161"/>
      <c r="T680" s="161"/>
      <c r="U680" s="136"/>
      <c r="V680" s="137"/>
      <c r="W680" s="137"/>
      <c r="X680" s="137"/>
      <c r="Y680" s="135"/>
      <c r="Z680" s="212">
        <f>Z681</f>
        <v>0</v>
      </c>
      <c r="AA680" s="212">
        <f t="shared" ref="AA680:AB680" si="24">AA681</f>
        <v>0</v>
      </c>
      <c r="AB680" s="212">
        <f t="shared" si="24"/>
        <v>0</v>
      </c>
      <c r="AC680" s="213"/>
    </row>
    <row r="681" spans="1:29" ht="0.75" customHeight="1" x14ac:dyDescent="0.3">
      <c r="A681" s="135" t="s">
        <v>488</v>
      </c>
      <c r="B681" s="136" t="s">
        <v>19</v>
      </c>
      <c r="C681" s="136" t="s">
        <v>138</v>
      </c>
      <c r="D681" s="136" t="s">
        <v>123</v>
      </c>
      <c r="E681" s="161" t="s">
        <v>646</v>
      </c>
      <c r="F681" s="136"/>
      <c r="G681" s="136"/>
      <c r="H681" s="136"/>
      <c r="I681" s="136"/>
      <c r="J681" s="136"/>
      <c r="K681" s="136"/>
      <c r="L681" s="136"/>
      <c r="M681" s="136"/>
      <c r="N681" s="136"/>
      <c r="O681" s="136"/>
      <c r="P681" s="136"/>
      <c r="Q681" s="136"/>
      <c r="R681" s="136"/>
      <c r="S681" s="136"/>
      <c r="T681" s="136" t="s">
        <v>294</v>
      </c>
      <c r="U681" s="136"/>
      <c r="V681" s="137"/>
      <c r="W681" s="137"/>
      <c r="X681" s="137"/>
      <c r="Y681" s="135"/>
      <c r="Z681" s="212">
        <v>0</v>
      </c>
      <c r="AA681" s="212">
        <v>0</v>
      </c>
      <c r="AB681" s="212">
        <v>0</v>
      </c>
      <c r="AC681" s="213"/>
    </row>
    <row r="682" spans="1:29" ht="18.600000000000001" customHeight="1" x14ac:dyDescent="0.3">
      <c r="A682" s="159" t="s">
        <v>379</v>
      </c>
      <c r="B682" s="160" t="s">
        <v>19</v>
      </c>
      <c r="C682" s="160" t="s">
        <v>126</v>
      </c>
      <c r="D682" s="160" t="s">
        <v>133</v>
      </c>
      <c r="E682" s="160"/>
      <c r="F682" s="160"/>
      <c r="G682" s="160"/>
      <c r="H682" s="160"/>
      <c r="I682" s="160"/>
      <c r="J682" s="160"/>
      <c r="K682" s="160"/>
      <c r="L682" s="160"/>
      <c r="M682" s="160"/>
      <c r="N682" s="160"/>
      <c r="O682" s="160"/>
      <c r="P682" s="160"/>
      <c r="Q682" s="160"/>
      <c r="R682" s="160"/>
      <c r="S682" s="160"/>
      <c r="T682" s="160"/>
      <c r="U682" s="160"/>
      <c r="V682" s="214"/>
      <c r="W682" s="214"/>
      <c r="X682" s="214"/>
      <c r="Y682" s="159" t="s">
        <v>379</v>
      </c>
      <c r="Z682" s="215">
        <f>Z683</f>
        <v>21129620.469999999</v>
      </c>
      <c r="AA682" s="215">
        <f>AA683</f>
        <v>19984068.469999999</v>
      </c>
      <c r="AB682" s="215">
        <f>AB683</f>
        <v>19984068.469999999</v>
      </c>
      <c r="AC682" s="292" t="s">
        <v>379</v>
      </c>
    </row>
    <row r="683" spans="1:29" ht="18.600000000000001" customHeight="1" x14ac:dyDescent="0.3">
      <c r="A683" s="159" t="s">
        <v>159</v>
      </c>
      <c r="B683" s="160" t="s">
        <v>19</v>
      </c>
      <c r="C683" s="160" t="s">
        <v>126</v>
      </c>
      <c r="D683" s="160" t="s">
        <v>122</v>
      </c>
      <c r="E683" s="160"/>
      <c r="F683" s="160"/>
      <c r="G683" s="160"/>
      <c r="H683" s="160"/>
      <c r="I683" s="160"/>
      <c r="J683" s="160"/>
      <c r="K683" s="160"/>
      <c r="L683" s="160"/>
      <c r="M683" s="160"/>
      <c r="N683" s="160"/>
      <c r="O683" s="160"/>
      <c r="P683" s="160"/>
      <c r="Q683" s="160"/>
      <c r="R683" s="160"/>
      <c r="S683" s="160"/>
      <c r="T683" s="160"/>
      <c r="U683" s="160"/>
      <c r="V683" s="214"/>
      <c r="W683" s="214"/>
      <c r="X683" s="214"/>
      <c r="Y683" s="159" t="s">
        <v>159</v>
      </c>
      <c r="Z683" s="215">
        <f>Z686+Z690+Z694+Z696+Z684+Z688+Z692</f>
        <v>21129620.469999999</v>
      </c>
      <c r="AA683" s="215">
        <f>AA686+AA690+AA694+AA696</f>
        <v>19984068.469999999</v>
      </c>
      <c r="AB683" s="215">
        <f>AB686+AB690+AB694+AB696</f>
        <v>19984068.469999999</v>
      </c>
      <c r="AC683" s="292" t="s">
        <v>159</v>
      </c>
    </row>
    <row r="684" spans="1:29" ht="112.5" customHeight="1" x14ac:dyDescent="0.3">
      <c r="A684" s="153" t="s">
        <v>1355</v>
      </c>
      <c r="B684" s="161" t="s">
        <v>19</v>
      </c>
      <c r="C684" s="161" t="s">
        <v>126</v>
      </c>
      <c r="D684" s="161" t="s">
        <v>122</v>
      </c>
      <c r="E684" s="161" t="s">
        <v>1354</v>
      </c>
      <c r="F684" s="161"/>
      <c r="G684" s="161"/>
      <c r="H684" s="161"/>
      <c r="I684" s="161"/>
      <c r="J684" s="161"/>
      <c r="K684" s="161"/>
      <c r="L684" s="161"/>
      <c r="M684" s="161"/>
      <c r="N684" s="161"/>
      <c r="O684" s="161"/>
      <c r="P684" s="161"/>
      <c r="Q684" s="161"/>
      <c r="R684" s="161"/>
      <c r="S684" s="161"/>
      <c r="T684" s="161"/>
      <c r="U684" s="160"/>
      <c r="V684" s="214"/>
      <c r="W684" s="214"/>
      <c r="X684" s="214"/>
      <c r="Y684" s="159"/>
      <c r="Z684" s="239">
        <f>Z685</f>
        <v>238657</v>
      </c>
      <c r="AA684" s="239">
        <v>0</v>
      </c>
      <c r="AB684" s="239">
        <v>0</v>
      </c>
      <c r="AC684" s="292"/>
    </row>
    <row r="685" spans="1:29" ht="60.75" customHeight="1" x14ac:dyDescent="0.3">
      <c r="A685" s="135" t="s">
        <v>711</v>
      </c>
      <c r="B685" s="136" t="s">
        <v>19</v>
      </c>
      <c r="C685" s="136" t="s">
        <v>126</v>
      </c>
      <c r="D685" s="136" t="s">
        <v>122</v>
      </c>
      <c r="E685" s="161" t="s">
        <v>1354</v>
      </c>
      <c r="F685" s="136"/>
      <c r="G685" s="136"/>
      <c r="H685" s="136"/>
      <c r="I685" s="136"/>
      <c r="J685" s="136"/>
      <c r="K685" s="136"/>
      <c r="L685" s="136"/>
      <c r="M685" s="136"/>
      <c r="N685" s="136"/>
      <c r="O685" s="136"/>
      <c r="P685" s="136"/>
      <c r="Q685" s="136"/>
      <c r="R685" s="136"/>
      <c r="S685" s="136"/>
      <c r="T685" s="136" t="s">
        <v>294</v>
      </c>
      <c r="U685" s="160"/>
      <c r="V685" s="214"/>
      <c r="W685" s="214"/>
      <c r="X685" s="214"/>
      <c r="Y685" s="159"/>
      <c r="Z685" s="239">
        <v>238657</v>
      </c>
      <c r="AA685" s="239">
        <v>0</v>
      </c>
      <c r="AB685" s="239">
        <v>0</v>
      </c>
      <c r="AC685" s="292"/>
    </row>
    <row r="686" spans="1:29" ht="147" customHeight="1" x14ac:dyDescent="0.3">
      <c r="A686" s="155" t="s">
        <v>1333</v>
      </c>
      <c r="B686" s="161" t="s">
        <v>19</v>
      </c>
      <c r="C686" s="161" t="s">
        <v>126</v>
      </c>
      <c r="D686" s="161" t="s">
        <v>122</v>
      </c>
      <c r="E686" s="161" t="s">
        <v>1339</v>
      </c>
      <c r="F686" s="161"/>
      <c r="G686" s="161"/>
      <c r="H686" s="161"/>
      <c r="I686" s="161"/>
      <c r="J686" s="161"/>
      <c r="K686" s="161"/>
      <c r="L686" s="161"/>
      <c r="M686" s="161"/>
      <c r="N686" s="161"/>
      <c r="O686" s="161"/>
      <c r="P686" s="161"/>
      <c r="Q686" s="161"/>
      <c r="R686" s="161"/>
      <c r="S686" s="161"/>
      <c r="T686" s="161"/>
      <c r="U686" s="161"/>
      <c r="V686" s="206"/>
      <c r="W686" s="206"/>
      <c r="X686" s="206"/>
      <c r="Y686" s="153" t="s">
        <v>489</v>
      </c>
      <c r="Z686" s="239">
        <f>Z687</f>
        <v>6836053.7699999996</v>
      </c>
      <c r="AA686" s="239">
        <f>AA687</f>
        <v>6836053.7699999996</v>
      </c>
      <c r="AB686" s="239">
        <f>AB687</f>
        <v>6836053.7699999996</v>
      </c>
      <c r="AC686" s="568" t="s">
        <v>489</v>
      </c>
    </row>
    <row r="687" spans="1:29" ht="62.25" customHeight="1" x14ac:dyDescent="0.3">
      <c r="A687" s="135" t="s">
        <v>1115</v>
      </c>
      <c r="B687" s="136" t="s">
        <v>19</v>
      </c>
      <c r="C687" s="136" t="s">
        <v>126</v>
      </c>
      <c r="D687" s="136" t="s">
        <v>122</v>
      </c>
      <c r="E687" s="161" t="s">
        <v>1339</v>
      </c>
      <c r="F687" s="136"/>
      <c r="G687" s="136"/>
      <c r="H687" s="136"/>
      <c r="I687" s="136"/>
      <c r="J687" s="136"/>
      <c r="K687" s="136"/>
      <c r="L687" s="136"/>
      <c r="M687" s="136"/>
      <c r="N687" s="136"/>
      <c r="O687" s="136"/>
      <c r="P687" s="136"/>
      <c r="Q687" s="136"/>
      <c r="R687" s="136"/>
      <c r="S687" s="136"/>
      <c r="T687" s="136" t="s">
        <v>294</v>
      </c>
      <c r="U687" s="136"/>
      <c r="V687" s="137"/>
      <c r="W687" s="137"/>
      <c r="X687" s="137"/>
      <c r="Y687" s="135" t="s">
        <v>490</v>
      </c>
      <c r="Z687" s="212">
        <v>6836053.7699999996</v>
      </c>
      <c r="AA687" s="212">
        <v>6836053.7699999996</v>
      </c>
      <c r="AB687" s="212">
        <v>6836053.7699999996</v>
      </c>
      <c r="AC687" s="213" t="s">
        <v>490</v>
      </c>
    </row>
    <row r="688" spans="1:29" ht="114" customHeight="1" x14ac:dyDescent="0.3">
      <c r="A688" s="153" t="s">
        <v>1357</v>
      </c>
      <c r="B688" s="161" t="s">
        <v>19</v>
      </c>
      <c r="C688" s="161" t="s">
        <v>126</v>
      </c>
      <c r="D688" s="161" t="s">
        <v>122</v>
      </c>
      <c r="E688" s="161" t="s">
        <v>1356</v>
      </c>
      <c r="F688" s="161"/>
      <c r="G688" s="161"/>
      <c r="H688" s="161"/>
      <c r="I688" s="161"/>
      <c r="J688" s="161"/>
      <c r="K688" s="161"/>
      <c r="L688" s="161"/>
      <c r="M688" s="161"/>
      <c r="N688" s="161"/>
      <c r="O688" s="161"/>
      <c r="P688" s="161"/>
      <c r="Q688" s="161"/>
      <c r="R688" s="161"/>
      <c r="S688" s="161"/>
      <c r="T688" s="161"/>
      <c r="U688" s="136"/>
      <c r="V688" s="137"/>
      <c r="W688" s="137"/>
      <c r="X688" s="137"/>
      <c r="Y688" s="135"/>
      <c r="Z688" s="212">
        <f>Z689</f>
        <v>286388</v>
      </c>
      <c r="AA688" s="212">
        <v>0</v>
      </c>
      <c r="AB688" s="212">
        <v>0</v>
      </c>
      <c r="AC688" s="213"/>
    </row>
    <row r="689" spans="1:31" ht="62.25" customHeight="1" x14ac:dyDescent="0.3">
      <c r="A689" s="135" t="s">
        <v>711</v>
      </c>
      <c r="B689" s="136" t="s">
        <v>19</v>
      </c>
      <c r="C689" s="136" t="s">
        <v>126</v>
      </c>
      <c r="D689" s="136" t="s">
        <v>122</v>
      </c>
      <c r="E689" s="161" t="s">
        <v>1356</v>
      </c>
      <c r="F689" s="136"/>
      <c r="G689" s="136"/>
      <c r="H689" s="136"/>
      <c r="I689" s="136"/>
      <c r="J689" s="136"/>
      <c r="K689" s="136"/>
      <c r="L689" s="136"/>
      <c r="M689" s="136"/>
      <c r="N689" s="136"/>
      <c r="O689" s="136"/>
      <c r="P689" s="136"/>
      <c r="Q689" s="136"/>
      <c r="R689" s="136"/>
      <c r="S689" s="136"/>
      <c r="T689" s="136" t="s">
        <v>294</v>
      </c>
      <c r="U689" s="136"/>
      <c r="V689" s="137"/>
      <c r="W689" s="137"/>
      <c r="X689" s="137"/>
      <c r="Y689" s="135"/>
      <c r="Z689" s="212">
        <v>286388</v>
      </c>
      <c r="AA689" s="212">
        <v>0</v>
      </c>
      <c r="AB689" s="212">
        <v>0</v>
      </c>
      <c r="AC689" s="213"/>
    </row>
    <row r="690" spans="1:31" ht="147" customHeight="1" x14ac:dyDescent="0.3">
      <c r="A690" s="155" t="s">
        <v>1334</v>
      </c>
      <c r="B690" s="161" t="s">
        <v>19</v>
      </c>
      <c r="C690" s="161" t="s">
        <v>126</v>
      </c>
      <c r="D690" s="161" t="s">
        <v>122</v>
      </c>
      <c r="E690" s="161" t="s">
        <v>1340</v>
      </c>
      <c r="F690" s="161"/>
      <c r="G690" s="161"/>
      <c r="H690" s="161"/>
      <c r="I690" s="161"/>
      <c r="J690" s="161"/>
      <c r="K690" s="161"/>
      <c r="L690" s="161"/>
      <c r="M690" s="161"/>
      <c r="N690" s="161"/>
      <c r="O690" s="161"/>
      <c r="P690" s="161"/>
      <c r="Q690" s="161"/>
      <c r="R690" s="161"/>
      <c r="S690" s="161"/>
      <c r="T690" s="161"/>
      <c r="U690" s="161"/>
      <c r="V690" s="206"/>
      <c r="W690" s="206"/>
      <c r="X690" s="206"/>
      <c r="Y690" s="153" t="s">
        <v>491</v>
      </c>
      <c r="Z690" s="239">
        <f>Z691</f>
        <v>5068123.9000000004</v>
      </c>
      <c r="AA690" s="239">
        <f>AA691</f>
        <v>5068123.9000000004</v>
      </c>
      <c r="AB690" s="239">
        <f>AB691</f>
        <v>5068123.9000000004</v>
      </c>
      <c r="AC690" s="568" t="s">
        <v>491</v>
      </c>
    </row>
    <row r="691" spans="1:31" ht="51.75" customHeight="1" x14ac:dyDescent="0.3">
      <c r="A691" s="135" t="s">
        <v>711</v>
      </c>
      <c r="B691" s="136" t="s">
        <v>19</v>
      </c>
      <c r="C691" s="136" t="s">
        <v>126</v>
      </c>
      <c r="D691" s="136" t="s">
        <v>122</v>
      </c>
      <c r="E691" s="161" t="s">
        <v>1340</v>
      </c>
      <c r="F691" s="136"/>
      <c r="G691" s="136"/>
      <c r="H691" s="136"/>
      <c r="I691" s="136"/>
      <c r="J691" s="136"/>
      <c r="K691" s="136"/>
      <c r="L691" s="136"/>
      <c r="M691" s="136"/>
      <c r="N691" s="136"/>
      <c r="O691" s="136"/>
      <c r="P691" s="136"/>
      <c r="Q691" s="136"/>
      <c r="R691" s="136"/>
      <c r="S691" s="136"/>
      <c r="T691" s="136" t="s">
        <v>294</v>
      </c>
      <c r="U691" s="136"/>
      <c r="V691" s="137"/>
      <c r="W691" s="137"/>
      <c r="X691" s="137"/>
      <c r="Y691" s="135" t="s">
        <v>492</v>
      </c>
      <c r="Z691" s="212">
        <v>5068123.9000000004</v>
      </c>
      <c r="AA691" s="212">
        <v>5068123.9000000004</v>
      </c>
      <c r="AB691" s="212">
        <v>5068123.9000000004</v>
      </c>
      <c r="AC691" s="213" t="s">
        <v>492</v>
      </c>
    </row>
    <row r="692" spans="1:31" ht="117" customHeight="1" x14ac:dyDescent="0.3">
      <c r="A692" s="153" t="s">
        <v>1359</v>
      </c>
      <c r="B692" s="161" t="s">
        <v>19</v>
      </c>
      <c r="C692" s="161" t="s">
        <v>126</v>
      </c>
      <c r="D692" s="161" t="s">
        <v>122</v>
      </c>
      <c r="E692" s="161" t="s">
        <v>1358</v>
      </c>
      <c r="F692" s="161"/>
      <c r="G692" s="161"/>
      <c r="H692" s="161"/>
      <c r="I692" s="161"/>
      <c r="J692" s="161"/>
      <c r="K692" s="161"/>
      <c r="L692" s="161"/>
      <c r="M692" s="161"/>
      <c r="N692" s="161"/>
      <c r="O692" s="161"/>
      <c r="P692" s="161"/>
      <c r="Q692" s="161"/>
      <c r="R692" s="161"/>
      <c r="S692" s="161"/>
      <c r="T692" s="161"/>
      <c r="U692" s="136"/>
      <c r="V692" s="137"/>
      <c r="W692" s="137"/>
      <c r="X692" s="137"/>
      <c r="Y692" s="135"/>
      <c r="Z692" s="212">
        <f>Z693</f>
        <v>620507</v>
      </c>
      <c r="AA692" s="212">
        <v>0</v>
      </c>
      <c r="AB692" s="212">
        <v>0</v>
      </c>
      <c r="AC692" s="213"/>
    </row>
    <row r="693" spans="1:31" ht="51.75" customHeight="1" x14ac:dyDescent="0.3">
      <c r="A693" s="135" t="s">
        <v>711</v>
      </c>
      <c r="B693" s="136" t="s">
        <v>19</v>
      </c>
      <c r="C693" s="136" t="s">
        <v>126</v>
      </c>
      <c r="D693" s="166" t="s">
        <v>122</v>
      </c>
      <c r="E693" s="161" t="s">
        <v>1358</v>
      </c>
      <c r="F693" s="136"/>
      <c r="G693" s="136"/>
      <c r="H693" s="136"/>
      <c r="I693" s="136"/>
      <c r="J693" s="136"/>
      <c r="K693" s="136"/>
      <c r="L693" s="136"/>
      <c r="M693" s="136"/>
      <c r="N693" s="136"/>
      <c r="O693" s="136"/>
      <c r="P693" s="136"/>
      <c r="Q693" s="136"/>
      <c r="R693" s="136"/>
      <c r="S693" s="136"/>
      <c r="T693" s="136" t="s">
        <v>294</v>
      </c>
      <c r="U693" s="136"/>
      <c r="V693" s="137"/>
      <c r="W693" s="137"/>
      <c r="X693" s="137"/>
      <c r="Y693" s="135"/>
      <c r="Z693" s="212">
        <f>620507</f>
        <v>620507</v>
      </c>
      <c r="AA693" s="212">
        <v>0</v>
      </c>
      <c r="AB693" s="212">
        <v>0</v>
      </c>
      <c r="AC693" s="213"/>
    </row>
    <row r="694" spans="1:31" ht="137.25" customHeight="1" x14ac:dyDescent="0.3">
      <c r="A694" s="155" t="s">
        <v>1335</v>
      </c>
      <c r="B694" s="161" t="s">
        <v>19</v>
      </c>
      <c r="C694" s="161" t="s">
        <v>126</v>
      </c>
      <c r="D694" s="161" t="s">
        <v>122</v>
      </c>
      <c r="E694" s="161" t="s">
        <v>1341</v>
      </c>
      <c r="F694" s="161"/>
      <c r="G694" s="161"/>
      <c r="H694" s="161"/>
      <c r="I694" s="161"/>
      <c r="J694" s="161"/>
      <c r="K694" s="161"/>
      <c r="L694" s="161"/>
      <c r="M694" s="161"/>
      <c r="N694" s="161"/>
      <c r="O694" s="161"/>
      <c r="P694" s="161"/>
      <c r="Q694" s="161"/>
      <c r="R694" s="161"/>
      <c r="S694" s="161"/>
      <c r="T694" s="161"/>
      <c r="U694" s="161"/>
      <c r="V694" s="206"/>
      <c r="W694" s="206"/>
      <c r="X694" s="206"/>
      <c r="Y694" s="153" t="s">
        <v>493</v>
      </c>
      <c r="Z694" s="239">
        <f>Z695</f>
        <v>8079890.7999999998</v>
      </c>
      <c r="AA694" s="239">
        <f>AA695</f>
        <v>8079890.7999999998</v>
      </c>
      <c r="AB694" s="239">
        <f>AB695</f>
        <v>8079890.7999999998</v>
      </c>
      <c r="AC694" s="568" t="s">
        <v>493</v>
      </c>
    </row>
    <row r="695" spans="1:31" ht="56.25" customHeight="1" x14ac:dyDescent="0.3">
      <c r="A695" s="135" t="s">
        <v>711</v>
      </c>
      <c r="B695" s="136" t="s">
        <v>19</v>
      </c>
      <c r="C695" s="136" t="s">
        <v>126</v>
      </c>
      <c r="D695" s="166" t="s">
        <v>122</v>
      </c>
      <c r="E695" s="161" t="s">
        <v>1341</v>
      </c>
      <c r="F695" s="136"/>
      <c r="G695" s="136"/>
      <c r="H695" s="136"/>
      <c r="I695" s="136"/>
      <c r="J695" s="136"/>
      <c r="K695" s="136"/>
      <c r="L695" s="136"/>
      <c r="M695" s="136"/>
      <c r="N695" s="136"/>
      <c r="O695" s="136"/>
      <c r="P695" s="136"/>
      <c r="Q695" s="136"/>
      <c r="R695" s="136"/>
      <c r="S695" s="136"/>
      <c r="T695" s="136" t="s">
        <v>294</v>
      </c>
      <c r="U695" s="136"/>
      <c r="V695" s="137"/>
      <c r="W695" s="137"/>
      <c r="X695" s="137"/>
      <c r="Y695" s="135" t="s">
        <v>494</v>
      </c>
      <c r="Z695" s="212">
        <v>8079890.7999999998</v>
      </c>
      <c r="AA695" s="212">
        <v>8079890.7999999998</v>
      </c>
      <c r="AB695" s="212">
        <v>8079890.7999999998</v>
      </c>
      <c r="AC695" s="213" t="s">
        <v>494</v>
      </c>
    </row>
    <row r="696" spans="1:31" ht="1.5" hidden="1" customHeight="1" x14ac:dyDescent="0.3">
      <c r="A696" s="155" t="s">
        <v>1114</v>
      </c>
      <c r="B696" s="136" t="s">
        <v>19</v>
      </c>
      <c r="C696" s="136" t="s">
        <v>126</v>
      </c>
      <c r="D696" s="166" t="s">
        <v>122</v>
      </c>
      <c r="E696" s="161" t="s">
        <v>1112</v>
      </c>
      <c r="F696" s="136"/>
      <c r="G696" s="136"/>
      <c r="H696" s="136"/>
      <c r="I696" s="136"/>
      <c r="J696" s="136"/>
      <c r="K696" s="136"/>
      <c r="L696" s="136"/>
      <c r="M696" s="136"/>
      <c r="N696" s="136"/>
      <c r="O696" s="136"/>
      <c r="P696" s="136"/>
      <c r="Q696" s="136"/>
      <c r="R696" s="136"/>
      <c r="S696" s="136"/>
      <c r="T696" s="136"/>
      <c r="U696" s="136"/>
      <c r="V696" s="137"/>
      <c r="W696" s="137"/>
      <c r="X696" s="137"/>
      <c r="Y696" s="135"/>
      <c r="Z696" s="212">
        <f>Z697</f>
        <v>0</v>
      </c>
      <c r="AA696" s="212">
        <f>AA697</f>
        <v>0</v>
      </c>
      <c r="AB696" s="212">
        <f>AB697</f>
        <v>0</v>
      </c>
      <c r="AC696" s="213"/>
    </row>
    <row r="697" spans="1:31" ht="58.5" hidden="1" customHeight="1" x14ac:dyDescent="0.3">
      <c r="A697" s="135" t="s">
        <v>711</v>
      </c>
      <c r="B697" s="136" t="s">
        <v>19</v>
      </c>
      <c r="C697" s="136" t="s">
        <v>126</v>
      </c>
      <c r="D697" s="166" t="s">
        <v>122</v>
      </c>
      <c r="E697" s="161" t="s">
        <v>1112</v>
      </c>
      <c r="F697" s="136"/>
      <c r="G697" s="136"/>
      <c r="H697" s="136"/>
      <c r="I697" s="136"/>
      <c r="J697" s="136"/>
      <c r="K697" s="136"/>
      <c r="L697" s="136"/>
      <c r="M697" s="136"/>
      <c r="N697" s="136"/>
      <c r="O697" s="136"/>
      <c r="P697" s="136"/>
      <c r="Q697" s="136"/>
      <c r="R697" s="136"/>
      <c r="S697" s="136"/>
      <c r="T697" s="136" t="s">
        <v>294</v>
      </c>
      <c r="U697" s="136"/>
      <c r="V697" s="137"/>
      <c r="W697" s="137"/>
      <c r="X697" s="137"/>
      <c r="Y697" s="135"/>
      <c r="Z697" s="212">
        <v>0</v>
      </c>
      <c r="AA697" s="212">
        <v>0</v>
      </c>
      <c r="AB697" s="212">
        <v>0</v>
      </c>
      <c r="AC697" s="213"/>
    </row>
    <row r="698" spans="1:31" ht="27" customHeight="1" x14ac:dyDescent="0.3">
      <c r="A698" s="209" t="s">
        <v>495</v>
      </c>
      <c r="B698" s="160"/>
      <c r="C698" s="160"/>
      <c r="D698" s="160"/>
      <c r="E698" s="160"/>
      <c r="F698" s="160"/>
      <c r="G698" s="160"/>
      <c r="H698" s="160"/>
      <c r="I698" s="160"/>
      <c r="J698" s="160"/>
      <c r="K698" s="160"/>
      <c r="L698" s="160"/>
      <c r="M698" s="160"/>
      <c r="N698" s="160"/>
      <c r="O698" s="160"/>
      <c r="P698" s="160"/>
      <c r="Q698" s="160"/>
      <c r="R698" s="160"/>
      <c r="S698" s="160"/>
      <c r="T698" s="160"/>
      <c r="U698" s="160"/>
      <c r="V698" s="214"/>
      <c r="W698" s="214"/>
      <c r="X698" s="214"/>
      <c r="Y698" s="209" t="s">
        <v>495</v>
      </c>
      <c r="Z698" s="215">
        <f>Z11+Z343+Z541+Z653</f>
        <v>911824309</v>
      </c>
      <c r="AA698" s="215">
        <f>AA11+AA343+AA541+AA653</f>
        <v>758786382.11999989</v>
      </c>
      <c r="AB698" s="215">
        <f>AB11+AB343+AB541+AB653</f>
        <v>782970362.54999995</v>
      </c>
      <c r="AC698" s="576" t="s">
        <v>495</v>
      </c>
      <c r="AE698" s="127"/>
    </row>
    <row r="699" spans="1:31" ht="51" customHeight="1" x14ac:dyDescent="0.3">
      <c r="A699" s="537"/>
      <c r="B699" s="537"/>
      <c r="C699" s="537"/>
      <c r="D699" s="537"/>
      <c r="E699" s="537"/>
      <c r="F699" s="537"/>
      <c r="G699" s="537"/>
      <c r="H699" s="537"/>
      <c r="I699" s="537"/>
      <c r="J699" s="537"/>
      <c r="K699" s="537"/>
      <c r="L699" s="537"/>
      <c r="M699" s="537"/>
      <c r="N699" s="537"/>
      <c r="O699" s="537"/>
      <c r="P699" s="537"/>
      <c r="Q699" s="537"/>
      <c r="R699" s="537"/>
      <c r="S699" s="537"/>
      <c r="T699" s="537"/>
      <c r="U699" s="537"/>
      <c r="V699" s="537"/>
      <c r="W699" s="537"/>
      <c r="X699" s="537"/>
      <c r="Y699" s="537"/>
      <c r="Z699" s="538"/>
      <c r="AA699" s="586"/>
      <c r="AB699" s="586"/>
      <c r="AC699" s="211"/>
    </row>
    <row r="700" spans="1:31" ht="51.75" customHeight="1" x14ac:dyDescent="0.3">
      <c r="A700" s="537"/>
      <c r="B700" s="537"/>
      <c r="C700" s="537"/>
      <c r="D700" s="537"/>
      <c r="E700" s="537"/>
      <c r="F700" s="537"/>
      <c r="G700" s="537"/>
      <c r="H700" s="537"/>
      <c r="I700" s="537"/>
      <c r="J700" s="537"/>
      <c r="K700" s="537"/>
      <c r="L700" s="537"/>
      <c r="M700" s="537"/>
      <c r="N700" s="537"/>
      <c r="O700" s="537"/>
      <c r="P700" s="537"/>
      <c r="Q700" s="537"/>
      <c r="R700" s="537"/>
      <c r="S700" s="537"/>
      <c r="T700" s="537"/>
      <c r="U700" s="537"/>
      <c r="V700" s="537"/>
      <c r="W700" s="537"/>
      <c r="X700" s="537"/>
      <c r="Y700" s="537"/>
      <c r="Z700" s="586">
        <f>П1ИВФ!C21+П2ДОХОДЫ!E170</f>
        <v>911824309</v>
      </c>
      <c r="AA700" s="586">
        <f>П1ИВФ!D21+П2ДОХОДЫ!F170</f>
        <v>758786382.11999989</v>
      </c>
      <c r="AB700" s="586">
        <f>П1ИВФ!E21+П2ДОХОДЫ!G170</f>
        <v>782970362.54999995</v>
      </c>
      <c r="AC700" s="211"/>
    </row>
    <row r="701" spans="1:31" ht="52.5" customHeight="1" x14ac:dyDescent="0.3">
      <c r="A701" s="537"/>
      <c r="B701" s="537"/>
      <c r="C701" s="537"/>
      <c r="D701" s="537"/>
      <c r="E701" s="537"/>
      <c r="F701" s="537"/>
      <c r="G701" s="537"/>
      <c r="H701" s="537"/>
      <c r="I701" s="537"/>
      <c r="J701" s="537"/>
      <c r="K701" s="537"/>
      <c r="L701" s="537"/>
      <c r="M701" s="537"/>
      <c r="N701" s="537"/>
      <c r="O701" s="537"/>
      <c r="P701" s="537"/>
      <c r="Q701" s="537"/>
      <c r="R701" s="537"/>
      <c r="S701" s="537"/>
      <c r="T701" s="537"/>
      <c r="U701" s="537"/>
      <c r="V701" s="537"/>
      <c r="W701" s="537"/>
      <c r="X701" s="537"/>
      <c r="Y701" s="537"/>
      <c r="Z701" s="586">
        <f>П1ИВФ!C21+П2ДОХОДЫ!E170</f>
        <v>911824309</v>
      </c>
      <c r="AA701" s="538"/>
      <c r="AB701" s="538"/>
      <c r="AC701" s="211"/>
    </row>
    <row r="702" spans="1:31" ht="52.5" customHeight="1" x14ac:dyDescent="0.3">
      <c r="A702" s="537"/>
      <c r="B702" s="537" t="s">
        <v>504</v>
      </c>
      <c r="C702" s="537"/>
      <c r="D702" s="537"/>
      <c r="E702" s="537"/>
      <c r="F702" s="537"/>
      <c r="G702" s="537"/>
      <c r="H702" s="537"/>
      <c r="I702" s="537"/>
      <c r="J702" s="537"/>
      <c r="K702" s="537"/>
      <c r="L702" s="537"/>
      <c r="M702" s="537"/>
      <c r="N702" s="537"/>
      <c r="O702" s="537"/>
      <c r="P702" s="537"/>
      <c r="Q702" s="537"/>
      <c r="R702" s="537"/>
      <c r="S702" s="537"/>
      <c r="T702" s="537"/>
      <c r="U702" s="537"/>
      <c r="V702" s="537"/>
      <c r="W702" s="537"/>
      <c r="X702" s="537"/>
      <c r="Y702" s="537"/>
      <c r="Z702" s="586">
        <f>Z13+Z16+Z33+Z39+Z88+Z100+Z294+Z303+Z305+Z318+Z321+Z591+Z556+Z593+Z629+Z85+Z31+Z361+Z275</f>
        <v>12636756.209999997</v>
      </c>
      <c r="AA702" s="586">
        <f>AA13+AA16+AA33+AA39+AA88+AA100+AA294+AA303+AA305+AA318+AA321+AA591+AA556+AA593+AA629+AA85+AA31+AA361+AA275</f>
        <v>8839927.1799999997</v>
      </c>
      <c r="AB702" s="586">
        <f>AB13+AB16+AB33+AB39+AB88+AB100+AB294+AB303+AB305+AB318+AB321+AB591+AB556+AB593+AB629+AB85+AB31+AB361+AB275</f>
        <v>8839927.1799999997</v>
      </c>
      <c r="AC702" s="211"/>
    </row>
    <row r="703" spans="1:31" ht="18.75" x14ac:dyDescent="0.3">
      <c r="A703" s="537"/>
      <c r="B703" s="537" t="s">
        <v>505</v>
      </c>
      <c r="C703" s="537"/>
      <c r="D703" s="537"/>
      <c r="E703" s="537"/>
      <c r="F703" s="537"/>
      <c r="G703" s="537"/>
      <c r="H703" s="537"/>
      <c r="I703" s="537"/>
      <c r="J703" s="537"/>
      <c r="K703" s="537"/>
      <c r="L703" s="537"/>
      <c r="M703" s="537"/>
      <c r="N703" s="537"/>
      <c r="O703" s="537"/>
      <c r="P703" s="537"/>
      <c r="Q703" s="537"/>
      <c r="R703" s="537"/>
      <c r="S703" s="537"/>
      <c r="T703" s="537"/>
      <c r="U703" s="537"/>
      <c r="V703" s="537"/>
      <c r="W703" s="537"/>
      <c r="X703" s="537"/>
      <c r="Y703" s="537"/>
      <c r="Z703" s="586">
        <f>Z82+Z224+Z296+Z323+Z554+Z583+Z633+Z636+Z639+Z642+Z646+Z129+Z604+Z649+Z217+Z601+Z312+Z150+Z76+Z79+Z579+Z38+Z178+Z581+Z254+Z313+Z310+Z255+Z180+Z283+Z257+Z540+Z356+Z163+Z314-1000000-73243.13-336726.78+Z316+Z214+Z212-5177262.72-62886.78+Z242-259567.29+Z574-170225.91-154925.78</f>
        <v>367439144.09000003</v>
      </c>
      <c r="AA703" s="586">
        <f>AA82+AA224+AA274+AA296+AA323+AA554+AA583+AA633+AA636+AA639+AA642+AA646+AA129+AA604+AA649+AA217+AA601+AA312+AA150+AA76+AA79+AA579+AA38+AA178+AA581+AA254+AA313+AA310+AA255+AA180+AA283+AA257+AA540+AA356+AA163+AA286+AA314</f>
        <v>339854561.22000003</v>
      </c>
      <c r="AB703" s="586">
        <f>AB82+AB224+AB274+AB296+AB323+AB554+AB583+AB633+AB636+AB639+AB642+AB646+AB129+AB604+AB649+AB217+AB601+AB312+AB150+AB76+AB79+AB579+AB38+AB178+AB581+AB254+AB313+AB310+AB255+AB180+AB283+AB257+AB540+AB356+AB163+AB286+AB314</f>
        <v>354405862.33999997</v>
      </c>
      <c r="AC703" s="211"/>
    </row>
    <row r="704" spans="1:31" ht="18.75" x14ac:dyDescent="0.3">
      <c r="A704" s="537"/>
      <c r="B704" s="537" t="s">
        <v>506</v>
      </c>
      <c r="C704" s="537"/>
      <c r="D704" s="537"/>
      <c r="E704" s="537"/>
      <c r="F704" s="537"/>
      <c r="G704" s="537"/>
      <c r="H704" s="537"/>
      <c r="I704" s="537"/>
      <c r="J704" s="537"/>
      <c r="K704" s="537"/>
      <c r="L704" s="537"/>
      <c r="M704" s="537"/>
      <c r="N704" s="537"/>
      <c r="O704" s="537"/>
      <c r="P704" s="537"/>
      <c r="Q704" s="537"/>
      <c r="R704" s="537"/>
      <c r="S704" s="537"/>
      <c r="T704" s="537"/>
      <c r="U704" s="537"/>
      <c r="V704" s="537"/>
      <c r="W704" s="537"/>
      <c r="X704" s="537"/>
      <c r="Y704" s="537"/>
      <c r="Z704" s="586">
        <f>П5МП!I56</f>
        <v>531748408.69999999</v>
      </c>
      <c r="AA704" s="586">
        <f>П5МП!J56</f>
        <v>405671881.21999997</v>
      </c>
      <c r="AB704" s="586">
        <f>П5МП!K56</f>
        <v>410630105.26999998</v>
      </c>
      <c r="AC704" s="211"/>
    </row>
    <row r="705" spans="1:29" ht="18.75" x14ac:dyDescent="0.3">
      <c r="A705" s="537"/>
      <c r="B705" s="537" t="s">
        <v>649</v>
      </c>
      <c r="C705" s="537"/>
      <c r="D705" s="537"/>
      <c r="E705" s="537"/>
      <c r="F705" s="537"/>
      <c r="G705" s="537"/>
      <c r="H705" s="537"/>
      <c r="I705" s="537"/>
      <c r="J705" s="537"/>
      <c r="K705" s="537"/>
      <c r="L705" s="537"/>
      <c r="M705" s="537"/>
      <c r="N705" s="537"/>
      <c r="O705" s="537"/>
      <c r="P705" s="537"/>
      <c r="Q705" s="537"/>
      <c r="R705" s="537"/>
      <c r="S705" s="537"/>
      <c r="T705" s="537"/>
      <c r="U705" s="537"/>
      <c r="V705" s="537"/>
      <c r="W705" s="537"/>
      <c r="X705" s="537"/>
      <c r="Y705" s="537"/>
      <c r="Z705" s="538"/>
      <c r="AA705" s="586">
        <f>AA344</f>
        <v>4420012.5</v>
      </c>
      <c r="AB705" s="586">
        <f>AB344</f>
        <v>9094467.7599999998</v>
      </c>
      <c r="AC705" s="211"/>
    </row>
    <row r="706" spans="1:29" ht="33.75" customHeight="1" x14ac:dyDescent="0.3">
      <c r="A706" s="537"/>
      <c r="B706" s="537"/>
      <c r="C706" s="537"/>
      <c r="D706" s="537"/>
      <c r="E706" s="537"/>
      <c r="F706" s="537"/>
      <c r="G706" s="537"/>
      <c r="H706" s="537"/>
      <c r="I706" s="537"/>
      <c r="J706" s="537"/>
      <c r="K706" s="537"/>
      <c r="L706" s="537"/>
      <c r="M706" s="537"/>
      <c r="N706" s="537"/>
      <c r="O706" s="537"/>
      <c r="P706" s="537"/>
      <c r="Q706" s="537"/>
      <c r="R706" s="537"/>
      <c r="S706" s="537"/>
      <c r="T706" s="537"/>
      <c r="U706" s="537"/>
      <c r="V706" s="537"/>
      <c r="W706" s="537"/>
      <c r="X706" s="537"/>
      <c r="Y706" s="537"/>
      <c r="Z706" s="669"/>
      <c r="AA706" s="669"/>
      <c r="AB706" s="669"/>
      <c r="AC706" s="211"/>
    </row>
    <row r="707" spans="1:29" ht="42" customHeight="1" x14ac:dyDescent="0.3">
      <c r="A707" s="537"/>
      <c r="B707" s="537"/>
      <c r="C707" s="537"/>
      <c r="D707" s="537"/>
      <c r="E707" s="537"/>
      <c r="F707" s="537"/>
      <c r="G707" s="537"/>
      <c r="H707" s="537"/>
      <c r="I707" s="537"/>
      <c r="J707" s="537"/>
      <c r="K707" s="537"/>
      <c r="L707" s="537"/>
      <c r="M707" s="537"/>
      <c r="N707" s="537"/>
      <c r="O707" s="537"/>
      <c r="P707" s="537"/>
      <c r="Q707" s="537"/>
      <c r="R707" s="537"/>
      <c r="S707" s="537"/>
      <c r="T707" s="537"/>
      <c r="U707" s="537"/>
      <c r="V707" s="537"/>
      <c r="W707" s="537"/>
      <c r="X707" s="537"/>
      <c r="Y707" s="537"/>
      <c r="Z707" s="670">
        <f>Z700-Z698</f>
        <v>0</v>
      </c>
      <c r="AA707" s="586">
        <f>AA700-AA698</f>
        <v>0</v>
      </c>
      <c r="AB707" s="586">
        <f>AB700-AB698</f>
        <v>0</v>
      </c>
      <c r="AC707" s="211"/>
    </row>
    <row r="708" spans="1:29" ht="40.5" customHeight="1" x14ac:dyDescent="0.3">
      <c r="A708" s="537"/>
      <c r="B708" s="537"/>
      <c r="C708" s="537"/>
      <c r="D708" s="537"/>
      <c r="E708" s="537"/>
      <c r="F708" s="537"/>
      <c r="G708" s="537"/>
      <c r="H708" s="537"/>
      <c r="I708" s="537"/>
      <c r="J708" s="537"/>
      <c r="K708" s="537"/>
      <c r="L708" s="537"/>
      <c r="M708" s="537"/>
      <c r="N708" s="537"/>
      <c r="O708" s="537"/>
      <c r="P708" s="537"/>
      <c r="Q708" s="537"/>
      <c r="R708" s="537"/>
      <c r="S708" s="537"/>
      <c r="T708" s="537"/>
      <c r="U708" s="537"/>
      <c r="V708" s="537"/>
      <c r="W708" s="537"/>
      <c r="X708" s="537"/>
      <c r="Y708" s="537"/>
      <c r="Z708" s="586"/>
      <c r="AA708" s="586"/>
      <c r="AB708" s="586"/>
      <c r="AC708" s="211"/>
    </row>
    <row r="709" spans="1:29" ht="47.25" customHeight="1" x14ac:dyDescent="0.3">
      <c r="A709" s="537"/>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86">
        <f>Z51+Z548+Z565+Z623+Z667+Z696+Z678+Z537+Z615+Z610+Z686+Z690+Z694+Z607</f>
        <v>227835810.41999999</v>
      </c>
      <c r="AA709" s="586">
        <f>AA51+AA548+AA565+AA623+AA667+AA696+AA678+AA537+AA615+AA610+AA215+AA686+AA690+AA694+AA607</f>
        <v>251545959.37000003</v>
      </c>
      <c r="AB709" s="586">
        <f>AB51+AB548+AB565+AB623+AB667+AB696+AB678+AB537+AB615+AB610+AB215+AB686+AB690+AB694+AB607</f>
        <v>256285671.87000003</v>
      </c>
      <c r="AC709" s="211"/>
    </row>
    <row r="710" spans="1:29" ht="24.75" customHeight="1" x14ac:dyDescent="0.3">
      <c r="A710" s="537"/>
      <c r="B710" s="537"/>
      <c r="C710" s="537"/>
      <c r="D710" s="537"/>
      <c r="E710" s="537"/>
      <c r="F710" s="537"/>
      <c r="G710" s="537"/>
      <c r="H710" s="537"/>
      <c r="I710" s="537"/>
      <c r="J710" s="537"/>
      <c r="K710" s="537"/>
      <c r="L710" s="537"/>
      <c r="M710" s="537"/>
      <c r="N710" s="537"/>
      <c r="O710" s="537"/>
      <c r="P710" s="537"/>
      <c r="Q710" s="537"/>
      <c r="R710" s="537"/>
      <c r="S710" s="537"/>
      <c r="T710" s="537"/>
      <c r="U710" s="537"/>
      <c r="V710" s="537"/>
      <c r="W710" s="537"/>
      <c r="X710" s="537"/>
      <c r="Y710" s="537"/>
      <c r="Z710" s="586"/>
      <c r="AA710" s="586"/>
      <c r="AB710" s="586"/>
      <c r="AC710" s="211"/>
    </row>
    <row r="711" spans="1:29" ht="22.5" customHeight="1" x14ac:dyDescent="0.25">
      <c r="A711" s="537"/>
      <c r="B711" s="537"/>
      <c r="C711" s="537"/>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671">
        <v>276413625</v>
      </c>
      <c r="AA711" s="671">
        <v>305635125</v>
      </c>
      <c r="AB711" s="671">
        <v>299298750</v>
      </c>
    </row>
    <row r="712" spans="1:29" ht="17.25" customHeight="1" x14ac:dyDescent="0.25">
      <c r="A712" s="537"/>
      <c r="B712" s="537"/>
      <c r="C712" s="537"/>
      <c r="D712" s="537"/>
      <c r="E712" s="537"/>
      <c r="F712" s="537"/>
      <c r="G712" s="537"/>
      <c r="H712" s="537"/>
      <c r="I712" s="537"/>
      <c r="J712" s="537"/>
      <c r="K712" s="537"/>
      <c r="L712" s="537"/>
      <c r="M712" s="537"/>
      <c r="N712" s="537"/>
      <c r="O712" s="537"/>
      <c r="P712" s="537"/>
      <c r="Q712" s="537"/>
      <c r="R712" s="537"/>
      <c r="S712" s="537"/>
      <c r="T712" s="537"/>
      <c r="U712" s="537"/>
      <c r="V712" s="537"/>
      <c r="W712" s="537"/>
      <c r="X712" s="537"/>
      <c r="Y712" s="537"/>
      <c r="Z712" s="671"/>
      <c r="AA712" s="671"/>
      <c r="AB712" s="671"/>
    </row>
    <row r="713" spans="1:29" ht="24.75" customHeight="1" x14ac:dyDescent="0.25">
      <c r="A713" s="537"/>
      <c r="B713" s="537"/>
      <c r="C713" s="537"/>
      <c r="D713" s="537"/>
      <c r="E713" s="537"/>
      <c r="F713" s="537"/>
      <c r="G713" s="537"/>
      <c r="H713" s="537"/>
      <c r="I713" s="537"/>
      <c r="J713" s="537"/>
      <c r="K713" s="537"/>
      <c r="L713" s="537"/>
      <c r="M713" s="537"/>
      <c r="N713" s="537"/>
      <c r="O713" s="537"/>
      <c r="P713" s="537"/>
      <c r="Q713" s="537"/>
      <c r="R713" s="537"/>
      <c r="S713" s="537"/>
      <c r="T713" s="537"/>
      <c r="U713" s="537"/>
      <c r="V713" s="537"/>
      <c r="W713" s="537"/>
      <c r="X713" s="537"/>
      <c r="Y713" s="537"/>
      <c r="Z713" s="671">
        <f>Z711-Z709</f>
        <v>48577814.580000013</v>
      </c>
      <c r="AA713" s="671">
        <f>AA711-AA709</f>
        <v>54089165.629999965</v>
      </c>
      <c r="AB713" s="671">
        <f>AB711-AB709</f>
        <v>43013078.129999965</v>
      </c>
    </row>
    <row r="714" spans="1:29" ht="27.75" customHeight="1" x14ac:dyDescent="0.25">
      <c r="Z714" s="127">
        <v>227835810.41999999</v>
      </c>
      <c r="AA714" s="127">
        <v>251545959.37</v>
      </c>
      <c r="AB714" s="127">
        <v>256285671.87</v>
      </c>
    </row>
    <row r="715" spans="1:29" x14ac:dyDescent="0.25">
      <c r="Z715" s="127">
        <v>218722378</v>
      </c>
      <c r="AA715" s="127">
        <v>241484121</v>
      </c>
      <c r="AB715" s="127">
        <v>246034245</v>
      </c>
    </row>
    <row r="716" spans="1:29" x14ac:dyDescent="0.25">
      <c r="Z716" s="127">
        <f>Z714-Z715</f>
        <v>9113432.4199999869</v>
      </c>
      <c r="AA716" s="127">
        <f>AA714-AA715</f>
        <v>10061838.370000005</v>
      </c>
      <c r="AB716" s="127">
        <f>AB714-AB715</f>
        <v>10251426.870000005</v>
      </c>
    </row>
    <row r="719" spans="1:29" x14ac:dyDescent="0.25">
      <c r="AA719" s="127"/>
      <c r="AB719" s="127"/>
    </row>
    <row r="720" spans="1:29" x14ac:dyDescent="0.25">
      <c r="Z720" s="127">
        <f>Z711-Z714</f>
        <v>48577814.580000013</v>
      </c>
      <c r="AA720" s="127">
        <f>AA711-AA714</f>
        <v>54089165.629999995</v>
      </c>
      <c r="AB720" s="127">
        <f>AB711-AB714</f>
        <v>43013078.129999995</v>
      </c>
    </row>
    <row r="721" spans="26:28" ht="0.75" customHeight="1" x14ac:dyDescent="0.25"/>
    <row r="722" spans="26:28" x14ac:dyDescent="0.25">
      <c r="Z722" s="127">
        <f>Z13+Z17+Z19+Z26+Z39+Z349+Z609+Z656</f>
        <v>62657871.130000003</v>
      </c>
      <c r="AA722" s="127">
        <f>AA13+AA17+AA19+AA26+AA39+AA349+AA609+AA656</f>
        <v>59586300.189999998</v>
      </c>
      <c r="AB722" s="127">
        <f>AB13+AB17+AB19+AB26+AB39+AB349+AB609+AB656</f>
        <v>59432270.380000003</v>
      </c>
    </row>
    <row r="724" spans="26:28" x14ac:dyDescent="0.25">
      <c r="Z724" s="127">
        <f>Z720-Z713</f>
        <v>0</v>
      </c>
      <c r="AA724" s="127">
        <f>AA720-AA713</f>
        <v>0</v>
      </c>
      <c r="AB724" s="127">
        <f>AB720-AB713</f>
        <v>0</v>
      </c>
    </row>
    <row r="725" spans="26:28" x14ac:dyDescent="0.25">
      <c r="Z725" s="127">
        <f>Z709-П2ДОХОДЫ!E150</f>
        <v>9113432.4199999869</v>
      </c>
      <c r="AA725" s="127">
        <f>AA709-П2ДОХОДЫ!F150</f>
        <v>10061838.370000035</v>
      </c>
      <c r="AB725" s="127">
        <f>AB709-П2ДОХОДЫ!G150</f>
        <v>10251426.870000035</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976" t="s">
        <v>104</v>
      </c>
      <c r="B1" s="976"/>
      <c r="C1" s="976"/>
      <c r="D1" s="976"/>
      <c r="E1" s="976"/>
      <c r="F1" s="976"/>
      <c r="G1" s="976"/>
    </row>
    <row r="2" spans="1:7" x14ac:dyDescent="0.25">
      <c r="A2" s="976" t="s">
        <v>30</v>
      </c>
      <c r="B2" s="976"/>
      <c r="C2" s="976"/>
      <c r="D2" s="976"/>
      <c r="E2" s="976"/>
      <c r="F2" s="976"/>
      <c r="G2" s="976"/>
    </row>
    <row r="3" spans="1:7" x14ac:dyDescent="0.25">
      <c r="A3" s="976" t="s">
        <v>32</v>
      </c>
      <c r="B3" s="976"/>
      <c r="C3" s="976"/>
      <c r="D3" s="976"/>
      <c r="E3" s="976"/>
      <c r="F3" s="976"/>
      <c r="G3" s="976"/>
    </row>
    <row r="4" spans="1:7" x14ac:dyDescent="0.25">
      <c r="A4" s="976" t="s">
        <v>29</v>
      </c>
      <c r="B4" s="976"/>
      <c r="C4" s="976"/>
      <c r="D4" s="976"/>
      <c r="E4" s="976"/>
      <c r="F4" s="976"/>
      <c r="G4" s="976"/>
    </row>
    <row r="5" spans="1:7" x14ac:dyDescent="0.25">
      <c r="A5" s="4" t="s">
        <v>33</v>
      </c>
      <c r="B5" s="1"/>
      <c r="C5" s="5"/>
    </row>
    <row r="6" spans="1:7" x14ac:dyDescent="0.25">
      <c r="A6" s="934" t="s">
        <v>50</v>
      </c>
      <c r="B6" s="934"/>
      <c r="C6" s="934"/>
      <c r="D6" s="934"/>
      <c r="E6" s="934"/>
      <c r="F6" s="934"/>
      <c r="G6" s="934"/>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973" t="s">
        <v>103</v>
      </c>
      <c r="B40" s="974"/>
      <c r="C40" s="974"/>
      <c r="D40" s="975"/>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4"/>
  <sheetViews>
    <sheetView workbookViewId="0">
      <selection activeCell="K5" sqref="K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13.5703125" style="31" bestFit="1" customWidth="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1000" t="s">
        <v>1433</v>
      </c>
      <c r="L1" s="1000"/>
      <c r="M1" s="1000"/>
    </row>
    <row r="2" spans="1:17" x14ac:dyDescent="0.25">
      <c r="K2" s="1000" t="s">
        <v>30</v>
      </c>
      <c r="L2" s="1000"/>
      <c r="M2" s="1000"/>
    </row>
    <row r="3" spans="1:17" x14ac:dyDescent="0.25">
      <c r="K3" s="1000" t="s">
        <v>0</v>
      </c>
      <c r="L3" s="1000"/>
      <c r="M3" s="1000"/>
    </row>
    <row r="4" spans="1:17" x14ac:dyDescent="0.25">
      <c r="K4" s="1000" t="s">
        <v>1541</v>
      </c>
      <c r="L4" s="1000"/>
      <c r="M4" s="1000"/>
    </row>
    <row r="6" spans="1:17" x14ac:dyDescent="0.25">
      <c r="A6" s="1001" t="s">
        <v>1103</v>
      </c>
      <c r="B6" s="1001"/>
      <c r="C6" s="1001"/>
      <c r="D6" s="1001"/>
      <c r="E6" s="1001"/>
      <c r="F6" s="1001"/>
      <c r="G6" s="1001"/>
      <c r="H6" s="1001"/>
      <c r="I6" s="1001"/>
      <c r="J6" s="1001"/>
      <c r="K6" s="1001"/>
      <c r="L6" s="1001"/>
      <c r="M6" s="1001"/>
    </row>
    <row r="7" spans="1:17" x14ac:dyDescent="0.25">
      <c r="M7" s="34" t="s">
        <v>937</v>
      </c>
    </row>
    <row r="8" spans="1:17" x14ac:dyDescent="0.25">
      <c r="A8" s="989"/>
      <c r="B8" s="1002" t="s">
        <v>188</v>
      </c>
      <c r="C8" s="1005" t="s">
        <v>189</v>
      </c>
      <c r="D8" s="1005"/>
      <c r="E8" s="1005"/>
      <c r="F8" s="1006" t="s">
        <v>190</v>
      </c>
      <c r="G8" s="1007"/>
      <c r="H8" s="1007"/>
      <c r="I8" s="1007"/>
      <c r="J8" s="1007"/>
      <c r="K8" s="1007"/>
      <c r="L8" s="1008" t="s">
        <v>191</v>
      </c>
      <c r="M8" s="1008"/>
    </row>
    <row r="9" spans="1:17" x14ac:dyDescent="0.25">
      <c r="A9" s="990"/>
      <c r="B9" s="1003"/>
      <c r="C9" s="1005" t="s">
        <v>192</v>
      </c>
      <c r="D9" s="1005" t="s">
        <v>193</v>
      </c>
      <c r="E9" s="1005" t="s">
        <v>1</v>
      </c>
      <c r="F9" s="920" t="s">
        <v>194</v>
      </c>
      <c r="G9" s="921"/>
      <c r="H9" s="922"/>
      <c r="I9" s="1009" t="s">
        <v>195</v>
      </c>
      <c r="J9" s="1009"/>
      <c r="K9" s="1009"/>
      <c r="L9" s="1009" t="s">
        <v>196</v>
      </c>
      <c r="M9" s="997" t="s">
        <v>197</v>
      </c>
    </row>
    <row r="10" spans="1:17" ht="15" customHeight="1" x14ac:dyDescent="0.25">
      <c r="A10" s="991"/>
      <c r="B10" s="1004"/>
      <c r="C10" s="1005"/>
      <c r="D10" s="1005"/>
      <c r="E10" s="1005"/>
      <c r="F10" s="35">
        <v>2014</v>
      </c>
      <c r="G10" s="36">
        <v>2015</v>
      </c>
      <c r="H10" s="36">
        <v>2016</v>
      </c>
      <c r="I10" s="35">
        <v>2019</v>
      </c>
      <c r="J10" s="36">
        <v>2020</v>
      </c>
      <c r="K10" s="36">
        <v>2021</v>
      </c>
      <c r="L10" s="1009"/>
      <c r="M10" s="999"/>
    </row>
    <row r="11" spans="1:17" ht="81.75" hidden="1" customHeight="1" x14ac:dyDescent="0.25">
      <c r="A11" s="281"/>
      <c r="B11" s="979" t="s">
        <v>1315</v>
      </c>
      <c r="C11" s="280"/>
      <c r="D11" s="280"/>
      <c r="E11" s="280"/>
      <c r="F11" s="35"/>
      <c r="G11" s="36"/>
      <c r="H11" s="36"/>
      <c r="I11" s="282">
        <f>П4ВСР!Z408</f>
        <v>0</v>
      </c>
      <c r="J11" s="282">
        <f>П4ВСР!AA408</f>
        <v>0</v>
      </c>
      <c r="K11" s="282">
        <f>П4ВСР!AB408</f>
        <v>0</v>
      </c>
      <c r="L11" s="43" t="s">
        <v>31</v>
      </c>
      <c r="M11" s="979" t="s">
        <v>507</v>
      </c>
      <c r="O11" s="246"/>
    </row>
    <row r="12" spans="1:17" ht="54.75" customHeight="1" x14ac:dyDescent="0.25">
      <c r="A12" s="37"/>
      <c r="B12" s="981"/>
      <c r="C12" s="39">
        <v>41537</v>
      </c>
      <c r="D12" s="40">
        <v>1159</v>
      </c>
      <c r="E12" s="40" t="s">
        <v>198</v>
      </c>
      <c r="F12" s="41">
        <v>3500000</v>
      </c>
      <c r="G12" s="41">
        <v>4500000</v>
      </c>
      <c r="H12" s="41">
        <v>6000000</v>
      </c>
      <c r="I12" s="41">
        <f>П4ВСР!Z113+П4ВСР!Z115+П4ВСР!Z125+П4ВСР!Z131+П4ВСР!Z109</f>
        <v>443000</v>
      </c>
      <c r="J12" s="41">
        <f>П4ВСР!AA113+П4ВСР!AA115+П4ВСР!AA125+П4ВСР!AA131+П4ВСР!AA109</f>
        <v>225000</v>
      </c>
      <c r="K12" s="41">
        <f>П4ВСР!AB113+П4ВСР!AB115+П4ВСР!AB125+П4ВСР!AB131+П4ВСР!AB109</f>
        <v>225000</v>
      </c>
      <c r="L12" s="43" t="s">
        <v>28</v>
      </c>
      <c r="M12" s="980"/>
      <c r="N12" s="246"/>
      <c r="O12" s="246"/>
      <c r="P12" s="246"/>
      <c r="Q12" s="246"/>
    </row>
    <row r="13" spans="1:17" x14ac:dyDescent="0.25">
      <c r="A13" s="37">
        <v>1</v>
      </c>
      <c r="B13" s="44" t="s">
        <v>199</v>
      </c>
      <c r="C13" s="44"/>
      <c r="D13" s="44"/>
      <c r="E13" s="45"/>
      <c r="F13" s="46">
        <f>SUM(F12:F12)</f>
        <v>3500000</v>
      </c>
      <c r="G13" s="46">
        <f>SUM(G12:G12)</f>
        <v>4500000</v>
      </c>
      <c r="H13" s="46">
        <f>H12</f>
        <v>6000000</v>
      </c>
      <c r="I13" s="46">
        <f>I12+I11</f>
        <v>443000</v>
      </c>
      <c r="J13" s="46">
        <f>J12</f>
        <v>225000</v>
      </c>
      <c r="K13" s="46">
        <f>SUM(K12:K12)</f>
        <v>225000</v>
      </c>
      <c r="L13" s="47"/>
      <c r="M13" s="981"/>
      <c r="O13" s="246"/>
      <c r="P13" s="246"/>
      <c r="Q13" s="246"/>
    </row>
    <row r="14" spans="1:17" ht="47.25" x14ac:dyDescent="0.25">
      <c r="A14" s="35"/>
      <c r="B14" s="38" t="s">
        <v>1316</v>
      </c>
      <c r="C14" s="48">
        <v>40533</v>
      </c>
      <c r="D14" s="38">
        <v>1496</v>
      </c>
      <c r="E14" s="40" t="s">
        <v>198</v>
      </c>
      <c r="F14" s="41">
        <v>1142460</v>
      </c>
      <c r="G14" s="41">
        <v>0</v>
      </c>
      <c r="H14" s="41">
        <v>0</v>
      </c>
      <c r="I14" s="42">
        <f>П4ВСР!Z308</f>
        <v>0</v>
      </c>
      <c r="J14" s="42">
        <f>П4ВСР!AA308</f>
        <v>50000</v>
      </c>
      <c r="K14" s="42">
        <f>П4ВСР!AB308</f>
        <v>50000</v>
      </c>
      <c r="L14" s="43" t="s">
        <v>28</v>
      </c>
      <c r="M14" s="979" t="s">
        <v>508</v>
      </c>
      <c r="N14" s="246"/>
      <c r="O14" s="246"/>
      <c r="P14" s="246"/>
      <c r="Q14" s="246"/>
    </row>
    <row r="15" spans="1:17" x14ac:dyDescent="0.25">
      <c r="A15" s="35">
        <v>2</v>
      </c>
      <c r="B15" s="44" t="s">
        <v>199</v>
      </c>
      <c r="C15" s="44"/>
      <c r="D15" s="44"/>
      <c r="E15" s="45"/>
      <c r="F15" s="46">
        <f t="shared" ref="F15:K15" si="0">SUM(F14:F14)</f>
        <v>1142460</v>
      </c>
      <c r="G15" s="46">
        <f t="shared" si="0"/>
        <v>0</v>
      </c>
      <c r="H15" s="46">
        <f t="shared" si="0"/>
        <v>0</v>
      </c>
      <c r="I15" s="46">
        <f t="shared" si="0"/>
        <v>0</v>
      </c>
      <c r="J15" s="46">
        <f t="shared" si="0"/>
        <v>50000</v>
      </c>
      <c r="K15" s="46">
        <f t="shared" si="0"/>
        <v>50000</v>
      </c>
      <c r="L15" s="47"/>
      <c r="M15" s="981"/>
      <c r="O15" s="246"/>
      <c r="P15" s="246"/>
      <c r="Q15" s="246"/>
    </row>
    <row r="16" spans="1:17" ht="63" x14ac:dyDescent="0.25">
      <c r="A16" s="35"/>
      <c r="B16" s="979" t="s">
        <v>1317</v>
      </c>
      <c r="C16" s="173"/>
      <c r="D16" s="173"/>
      <c r="E16" s="174"/>
      <c r="F16" s="46"/>
      <c r="G16" s="46"/>
      <c r="H16" s="46"/>
      <c r="I16" s="41">
        <f>П4ВСР!Z686+П4ВСР!Z690+П4ВСР!Z694+П4ВСР!Z684+П4ВСР!Z688+П4ВСР!Z692</f>
        <v>21129620.469999999</v>
      </c>
      <c r="J16" s="41">
        <f>П4ВСР!AA686+П4ВСР!AA690+П4ВСР!AA694+П4ВСР!AA684+П4ВСР!AA688+П4ВСР!AA692</f>
        <v>19984068.469999999</v>
      </c>
      <c r="K16" s="41">
        <f>П4ВСР!AB686+П4ВСР!AB690+П4ВСР!AB694+П4ВСР!AB684+П4ВСР!AB688+П4ВСР!AB692</f>
        <v>19984068.469999999</v>
      </c>
      <c r="L16" s="43" t="s">
        <v>503</v>
      </c>
      <c r="M16" s="979" t="s">
        <v>509</v>
      </c>
      <c r="N16" s="246"/>
      <c r="O16" s="246"/>
    </row>
    <row r="17" spans="1:15" ht="80.25" customHeight="1" x14ac:dyDescent="0.25">
      <c r="A17" s="35"/>
      <c r="B17" s="980"/>
      <c r="C17" s="173"/>
      <c r="D17" s="173"/>
      <c r="E17" s="174"/>
      <c r="F17" s="46"/>
      <c r="G17" s="46"/>
      <c r="H17" s="46"/>
      <c r="I17" s="41">
        <f>П4ВСР!Z519</f>
        <v>3607391.34</v>
      </c>
      <c r="J17" s="41">
        <v>0</v>
      </c>
      <c r="K17" s="41">
        <v>0</v>
      </c>
      <c r="L17" s="43" t="s">
        <v>31</v>
      </c>
      <c r="M17" s="980"/>
      <c r="N17" s="246"/>
      <c r="O17" s="246"/>
    </row>
    <row r="18" spans="1:15" ht="47.25" x14ac:dyDescent="0.25">
      <c r="A18" s="37"/>
      <c r="B18" s="981"/>
      <c r="C18" s="39">
        <v>41537</v>
      </c>
      <c r="D18" s="40">
        <v>1161</v>
      </c>
      <c r="E18" s="40" t="s">
        <v>198</v>
      </c>
      <c r="F18" s="41">
        <v>5000000</v>
      </c>
      <c r="G18" s="41">
        <v>7000000</v>
      </c>
      <c r="H18" s="41">
        <v>9000000</v>
      </c>
      <c r="I18" s="41">
        <f>П4ВСР!Z24+П4ВСР!Z280+П4ВСР!Z284+П4ВСР!Z288+П4ВСР!Z290+П4ВСР!Z286</f>
        <v>7033183.6899999995</v>
      </c>
      <c r="J18" s="41">
        <f>П4ВСР!AA24+П4ВСР!AA280+П4ВСР!AA284+П4ВСР!AA288+П4ВСР!AA290</f>
        <v>150000</v>
      </c>
      <c r="K18" s="41">
        <f>П4ВСР!AB24+П4ВСР!AB280+П4ВСР!AB284+П4ВСР!AB288+П4ВСР!AB290</f>
        <v>150000</v>
      </c>
      <c r="L18" s="43" t="s">
        <v>28</v>
      </c>
      <c r="M18" s="980"/>
      <c r="O18" s="246"/>
    </row>
    <row r="19" spans="1:15" x14ac:dyDescent="0.25">
      <c r="A19" s="37">
        <v>3</v>
      </c>
      <c r="B19" s="44" t="s">
        <v>199</v>
      </c>
      <c r="C19" s="44"/>
      <c r="D19" s="44"/>
      <c r="E19" s="45"/>
      <c r="F19" s="46">
        <f t="shared" ref="F19:H19" si="1">SUM(F18:F18)</f>
        <v>5000000</v>
      </c>
      <c r="G19" s="46">
        <f t="shared" si="1"/>
        <v>7000000</v>
      </c>
      <c r="H19" s="46">
        <f t="shared" si="1"/>
        <v>9000000</v>
      </c>
      <c r="I19" s="46">
        <f>I16+I18+I17</f>
        <v>31770195.499999996</v>
      </c>
      <c r="J19" s="46">
        <f>J16+J18</f>
        <v>20134068.469999999</v>
      </c>
      <c r="K19" s="46">
        <f>K16+K18</f>
        <v>20134068.469999999</v>
      </c>
      <c r="L19" s="47"/>
      <c r="M19" s="294"/>
    </row>
    <row r="20" spans="1:15" ht="78.75" x14ac:dyDescent="0.25">
      <c r="A20" s="37"/>
      <c r="B20" s="997" t="s">
        <v>1318</v>
      </c>
      <c r="C20" s="44"/>
      <c r="D20" s="44"/>
      <c r="E20" s="174"/>
      <c r="F20" s="46"/>
      <c r="G20" s="46"/>
      <c r="H20" s="46"/>
      <c r="I20" s="41">
        <f>П4ВСР!Z479+П4ВСР!Z466+П4ВСР!Z393+П4ВСР!Z412</f>
        <v>1602000</v>
      </c>
      <c r="J20" s="41">
        <v>0</v>
      </c>
      <c r="K20" s="41">
        <v>0</v>
      </c>
      <c r="L20" s="43" t="s">
        <v>31</v>
      </c>
      <c r="M20" s="997" t="s">
        <v>510</v>
      </c>
    </row>
    <row r="21" spans="1:15" ht="45.75" customHeight="1" x14ac:dyDescent="0.25">
      <c r="A21" s="37"/>
      <c r="B21" s="998"/>
      <c r="C21" s="49">
        <v>41540</v>
      </c>
      <c r="D21" s="36">
        <v>1181</v>
      </c>
      <c r="E21" s="40" t="s">
        <v>198</v>
      </c>
      <c r="F21" s="41">
        <v>100000</v>
      </c>
      <c r="G21" s="41">
        <v>100000</v>
      </c>
      <c r="H21" s="41">
        <v>100000</v>
      </c>
      <c r="I21" s="42">
        <f>П4ВСР!Z103+П4ВСР!Z138+П4ВСР!Z142+П4ВСР!Z227+П4ВСР!Z229+П4ВСР!Z231+П4ВСР!Z92</f>
        <v>500000</v>
      </c>
      <c r="J21" s="42">
        <f>П4ВСР!AA103+П4ВСР!AA138+П4ВСР!AA142+П4ВСР!AA227+П4ВСР!AA229+П4ВСР!AA231+П4ВСР!AA92</f>
        <v>400000</v>
      </c>
      <c r="K21" s="42">
        <f>П4ВСР!AB103+П4ВСР!AB138+П4ВСР!AB142+П4ВСР!AB227+П4ВСР!AB229+П4ВСР!AB231+П4ВСР!AB92</f>
        <v>400000</v>
      </c>
      <c r="L21" s="43" t="s">
        <v>28</v>
      </c>
      <c r="M21" s="998"/>
      <c r="O21" s="246"/>
    </row>
    <row r="22" spans="1:15" ht="78" hidden="1" customHeight="1" x14ac:dyDescent="0.25">
      <c r="A22" s="50"/>
      <c r="B22" s="999"/>
      <c r="C22" s="49"/>
      <c r="D22" s="36"/>
      <c r="E22" s="255"/>
      <c r="F22" s="41"/>
      <c r="G22" s="41"/>
      <c r="H22" s="41"/>
      <c r="I22" s="42">
        <v>0</v>
      </c>
      <c r="J22" s="42">
        <f>П4ВСР!AA467+П4ВСР!AA478</f>
        <v>0</v>
      </c>
      <c r="K22" s="42">
        <f>П4ВСР!AB467+П4ВСР!AB478</f>
        <v>0</v>
      </c>
      <c r="L22" s="43" t="s">
        <v>31</v>
      </c>
      <c r="M22" s="998"/>
      <c r="O22" s="246"/>
    </row>
    <row r="23" spans="1:15" x14ac:dyDescent="0.25">
      <c r="A23" s="50">
        <v>4</v>
      </c>
      <c r="B23" s="44" t="s">
        <v>199</v>
      </c>
      <c r="C23" s="36"/>
      <c r="D23" s="36"/>
      <c r="E23" s="40"/>
      <c r="F23" s="46">
        <f t="shared" ref="F23:K23" si="2">SUM(F21)</f>
        <v>100000</v>
      </c>
      <c r="G23" s="46">
        <f t="shared" si="2"/>
        <v>100000</v>
      </c>
      <c r="H23" s="46">
        <f t="shared" si="2"/>
        <v>100000</v>
      </c>
      <c r="I23" s="46">
        <f>SUM(I21)+I22+I20</f>
        <v>2102000</v>
      </c>
      <c r="J23" s="46">
        <f t="shared" si="2"/>
        <v>400000</v>
      </c>
      <c r="K23" s="46">
        <f t="shared" si="2"/>
        <v>400000</v>
      </c>
      <c r="L23" s="51"/>
      <c r="M23" s="998"/>
    </row>
    <row r="24" spans="1:15" ht="47.25" customHeight="1" x14ac:dyDescent="0.25">
      <c r="A24" s="50"/>
      <c r="B24" s="977" t="s">
        <v>1319</v>
      </c>
      <c r="C24" s="36"/>
      <c r="D24" s="36"/>
      <c r="E24" s="172"/>
      <c r="F24" s="46"/>
      <c r="G24" s="46"/>
      <c r="H24" s="46"/>
      <c r="I24" s="41">
        <f>П4ВСР!Z222+П4ВСР!Z206+П4ВСР!Z207</f>
        <v>4327752.7300000004</v>
      </c>
      <c r="J24" s="41">
        <f>П4ВСР!AA222+П4ВСР!AA206</f>
        <v>1718956.1900000004</v>
      </c>
      <c r="K24" s="41">
        <f>П4ВСР!AB222+П4ВСР!AB206</f>
        <v>1718956.1900000004</v>
      </c>
      <c r="L24" s="43" t="s">
        <v>28</v>
      </c>
      <c r="M24" s="980" t="s">
        <v>511</v>
      </c>
    </row>
    <row r="25" spans="1:15" ht="78.75" x14ac:dyDescent="0.25">
      <c r="A25" s="52"/>
      <c r="B25" s="988"/>
      <c r="C25" s="49">
        <v>40564</v>
      </c>
      <c r="D25" s="36">
        <v>75</v>
      </c>
      <c r="E25" s="53" t="s">
        <v>198</v>
      </c>
      <c r="F25" s="41">
        <v>2674000</v>
      </c>
      <c r="G25" s="41">
        <v>2684000</v>
      </c>
      <c r="H25" s="41">
        <v>0</v>
      </c>
      <c r="I25" s="42">
        <f>П4ВСР!Z544+П4ВСР!Z559+П4ВСР!Z546+П4ВСР!Z561</f>
        <v>3300000</v>
      </c>
      <c r="J25" s="42">
        <f>П4ВСР!AA544+П4ВСР!AA559+П4ВСР!AA546+П4ВСР!AA561</f>
        <v>600000</v>
      </c>
      <c r="K25" s="42">
        <f>П4ВСР!AB544+П4ВСР!AB559+П4ВСР!AB546+П4ВСР!AB561</f>
        <v>600000</v>
      </c>
      <c r="L25" s="54" t="s">
        <v>720</v>
      </c>
      <c r="M25" s="980"/>
    </row>
    <row r="26" spans="1:15" ht="78" customHeight="1" x14ac:dyDescent="0.25">
      <c r="A26" s="242"/>
      <c r="B26" s="978"/>
      <c r="C26" s="49"/>
      <c r="D26" s="36"/>
      <c r="E26" s="243"/>
      <c r="F26" s="41"/>
      <c r="G26" s="41"/>
      <c r="H26" s="41"/>
      <c r="I26" s="41">
        <f>П4ВСР!Z446+П4ВСР!Z457+П4ВСР!Z461+П4ВСР!Z435</f>
        <v>8713555.959999999</v>
      </c>
      <c r="J26" s="42">
        <f>П4ВСР!AA446</f>
        <v>0</v>
      </c>
      <c r="K26" s="42">
        <f>П4ВСР!AB446</f>
        <v>0</v>
      </c>
      <c r="L26" s="43" t="s">
        <v>31</v>
      </c>
      <c r="M26" s="980"/>
    </row>
    <row r="27" spans="1:15" x14ac:dyDescent="0.25">
      <c r="A27" s="35">
        <v>5</v>
      </c>
      <c r="B27" s="44" t="s">
        <v>199</v>
      </c>
      <c r="C27" s="44"/>
      <c r="D27" s="44"/>
      <c r="E27" s="45"/>
      <c r="F27" s="46">
        <f t="shared" ref="F27:H27" si="3">SUM(F25)</f>
        <v>2674000</v>
      </c>
      <c r="G27" s="46">
        <f t="shared" si="3"/>
        <v>2684000</v>
      </c>
      <c r="H27" s="46">
        <f t="shared" si="3"/>
        <v>0</v>
      </c>
      <c r="I27" s="46">
        <f>I24+I25+I26</f>
        <v>16341308.689999999</v>
      </c>
      <c r="J27" s="46">
        <f>J24+J25</f>
        <v>2318956.1900000004</v>
      </c>
      <c r="K27" s="46">
        <f>K24+K25</f>
        <v>2318956.1900000004</v>
      </c>
      <c r="L27" s="47"/>
      <c r="M27" s="981"/>
    </row>
    <row r="28" spans="1:15" ht="47.25" x14ac:dyDescent="0.25">
      <c r="A28" s="52"/>
      <c r="B28" s="36" t="s">
        <v>1460</v>
      </c>
      <c r="C28" s="49">
        <v>39800</v>
      </c>
      <c r="D28" s="36">
        <v>978</v>
      </c>
      <c r="E28" s="53" t="s">
        <v>200</v>
      </c>
      <c r="F28" s="41">
        <v>23996000</v>
      </c>
      <c r="G28" s="41">
        <v>22033000</v>
      </c>
      <c r="H28" s="41">
        <v>0</v>
      </c>
      <c r="I28" s="41">
        <f>П4ВСР!Z260</f>
        <v>50000</v>
      </c>
      <c r="J28" s="41">
        <f>П4ВСР!AA260</f>
        <v>50000</v>
      </c>
      <c r="K28" s="41">
        <f>П4ВСР!AB260</f>
        <v>50000</v>
      </c>
      <c r="L28" s="54" t="s">
        <v>28</v>
      </c>
      <c r="M28" s="979" t="s">
        <v>512</v>
      </c>
    </row>
    <row r="29" spans="1:15" x14ac:dyDescent="0.25">
      <c r="A29" s="35">
        <v>6</v>
      </c>
      <c r="B29" s="44" t="s">
        <v>199</v>
      </c>
      <c r="C29" s="44"/>
      <c r="D29" s="44"/>
      <c r="E29" s="45"/>
      <c r="F29" s="46">
        <f t="shared" ref="F29:K29" si="4">F28</f>
        <v>23996000</v>
      </c>
      <c r="G29" s="46">
        <f t="shared" si="4"/>
        <v>22033000</v>
      </c>
      <c r="H29" s="46">
        <f t="shared" si="4"/>
        <v>0</v>
      </c>
      <c r="I29" s="46">
        <f t="shared" si="4"/>
        <v>50000</v>
      </c>
      <c r="J29" s="46">
        <f t="shared" si="4"/>
        <v>50000</v>
      </c>
      <c r="K29" s="46">
        <f t="shared" si="4"/>
        <v>50000</v>
      </c>
      <c r="L29" s="55"/>
      <c r="M29" s="981"/>
    </row>
    <row r="30" spans="1:15" ht="47.25" x14ac:dyDescent="0.25">
      <c r="A30" s="35"/>
      <c r="B30" s="36" t="s">
        <v>1321</v>
      </c>
      <c r="C30" s="49">
        <v>41176</v>
      </c>
      <c r="D30" s="56">
        <v>1127</v>
      </c>
      <c r="E30" s="57" t="s">
        <v>198</v>
      </c>
      <c r="F30" s="41">
        <v>1033000</v>
      </c>
      <c r="G30" s="41">
        <v>1083000</v>
      </c>
      <c r="H30" s="41">
        <v>1133000</v>
      </c>
      <c r="I30" s="41">
        <f>П4ВСР!Z209+П4ВСР!Z314+П4ВСР!Z310+П4ВСР!Z211-1355000-24+П4ВСР!Z316-7133935.3</f>
        <v>6576876.2800000003</v>
      </c>
      <c r="J30" s="41">
        <f>П4ВСР!AA207+П4ВСР!AA209+П4ВСР!AA314+П4ВСР!AA310+П4ВСР!AA211++П4ВСР!AA215</f>
        <v>10000000</v>
      </c>
      <c r="K30" s="41">
        <f>П4ВСР!AB207+П4ВСР!AB209+П4ВСР!AB314+П4ВСР!AB310+П4ВСР!AB211++П4ВСР!AB215</f>
        <v>10000000</v>
      </c>
      <c r="L30" s="43" t="s">
        <v>28</v>
      </c>
      <c r="M30" s="979" t="s">
        <v>513</v>
      </c>
    </row>
    <row r="31" spans="1:15" x14ac:dyDescent="0.25">
      <c r="A31" s="35">
        <v>7</v>
      </c>
      <c r="B31" s="44" t="s">
        <v>199</v>
      </c>
      <c r="C31" s="44"/>
      <c r="D31" s="44"/>
      <c r="E31" s="53"/>
      <c r="F31" s="46">
        <f t="shared" ref="F31:K31" si="5">SUM(F30)</f>
        <v>1033000</v>
      </c>
      <c r="G31" s="46">
        <f t="shared" si="5"/>
        <v>1083000</v>
      </c>
      <c r="H31" s="46">
        <f t="shared" si="5"/>
        <v>1133000</v>
      </c>
      <c r="I31" s="46">
        <f t="shared" si="5"/>
        <v>6576876.2800000003</v>
      </c>
      <c r="J31" s="46">
        <f t="shared" si="5"/>
        <v>10000000</v>
      </c>
      <c r="K31" s="46">
        <f t="shared" si="5"/>
        <v>10000000</v>
      </c>
      <c r="L31" s="47"/>
      <c r="M31" s="981"/>
    </row>
    <row r="32" spans="1:15" ht="47.25" x14ac:dyDescent="0.25">
      <c r="A32" s="35"/>
      <c r="B32" s="36" t="s">
        <v>1322</v>
      </c>
      <c r="C32" s="49">
        <v>41540</v>
      </c>
      <c r="D32" s="36">
        <v>1188</v>
      </c>
      <c r="E32" s="53" t="s">
        <v>198</v>
      </c>
      <c r="F32" s="41">
        <v>500000</v>
      </c>
      <c r="G32" s="41">
        <v>600000</v>
      </c>
      <c r="H32" s="41">
        <v>800000</v>
      </c>
      <c r="I32" s="41">
        <f>П4ВСР!Z133+П4ВСР!Z135+П4ВСР!Z183+П4ВСР!Z185+П4ВСР!Z187+П4ВСР!Z189+П4ВСР!Z201+П4ВСР!Z199+П4ВСР!Z197+П4ВСР!Z195+П4ВСР!Z193+П4ВСР!Z191</f>
        <v>1010000</v>
      </c>
      <c r="J32" s="41">
        <f>П4ВСР!AA133+П4ВСР!AA135+П4ВСР!AA183+П4ВСР!AA185+П4ВСР!AA187+П4ВСР!AA189</f>
        <v>200000</v>
      </c>
      <c r="K32" s="41">
        <f>П4ВСР!AB133+П4ВСР!AB135+П4ВСР!AB183+П4ВСР!AB185+П4ВСР!AB187+П4ВСР!AB189</f>
        <v>200000</v>
      </c>
      <c r="L32" s="43" t="s">
        <v>28</v>
      </c>
      <c r="M32" s="979" t="s">
        <v>514</v>
      </c>
    </row>
    <row r="33" spans="1:13" x14ac:dyDescent="0.25">
      <c r="A33" s="35">
        <v>8</v>
      </c>
      <c r="B33" s="44" t="s">
        <v>199</v>
      </c>
      <c r="C33" s="44"/>
      <c r="D33" s="44"/>
      <c r="E33" s="53"/>
      <c r="F33" s="46">
        <f t="shared" ref="F33:K33" si="6">SUM(F32)</f>
        <v>500000</v>
      </c>
      <c r="G33" s="46">
        <f t="shared" si="6"/>
        <v>600000</v>
      </c>
      <c r="H33" s="46">
        <f t="shared" si="6"/>
        <v>800000</v>
      </c>
      <c r="I33" s="46">
        <f t="shared" si="6"/>
        <v>1010000</v>
      </c>
      <c r="J33" s="46">
        <f t="shared" si="6"/>
        <v>200000</v>
      </c>
      <c r="K33" s="46">
        <f t="shared" si="6"/>
        <v>200000</v>
      </c>
      <c r="L33" s="47"/>
      <c r="M33" s="981"/>
    </row>
    <row r="34" spans="1:13" ht="78.75" x14ac:dyDescent="0.25">
      <c r="A34" s="35"/>
      <c r="B34" s="977" t="s">
        <v>1323</v>
      </c>
      <c r="C34" s="173"/>
      <c r="D34" s="173"/>
      <c r="E34" s="816"/>
      <c r="F34" s="46"/>
      <c r="G34" s="46"/>
      <c r="H34" s="46"/>
      <c r="I34" s="41">
        <f>П4ВСР!Z530</f>
        <v>284671.56</v>
      </c>
      <c r="J34" s="41">
        <v>0</v>
      </c>
      <c r="K34" s="41">
        <v>0</v>
      </c>
      <c r="L34" s="43" t="s">
        <v>31</v>
      </c>
      <c r="M34" s="997" t="s">
        <v>515</v>
      </c>
    </row>
    <row r="35" spans="1:13" ht="47.25" x14ac:dyDescent="0.25">
      <c r="A35" s="35"/>
      <c r="B35" s="978"/>
      <c r="C35" s="39">
        <v>41537</v>
      </c>
      <c r="D35" s="40">
        <v>1167</v>
      </c>
      <c r="E35" s="40" t="s">
        <v>200</v>
      </c>
      <c r="F35" s="41">
        <v>50000</v>
      </c>
      <c r="G35" s="41">
        <v>100000</v>
      </c>
      <c r="H35" s="41">
        <v>150000</v>
      </c>
      <c r="I35" s="41">
        <f>П4ВСР!Z330+П4ВСР!Z332+П4ВСР!Z334+П4ВСР!Z337+П4ВСР!Z339</f>
        <v>2983328.44</v>
      </c>
      <c r="J35" s="41">
        <f>П4ВСР!AA330+П4ВСР!AA332+П4ВСР!AA334+П4ВСР!AA337+П4ВСР!AA339</f>
        <v>250000</v>
      </c>
      <c r="K35" s="41">
        <f>П4ВСР!AB330+П4ВСР!AB332+П4ВСР!AB334+П4ВСР!AB337+П4ВСР!AB339</f>
        <v>250000</v>
      </c>
      <c r="L35" s="43" t="s">
        <v>28</v>
      </c>
      <c r="M35" s="998"/>
    </row>
    <row r="36" spans="1:13" x14ac:dyDescent="0.25">
      <c r="A36" s="35">
        <v>9</v>
      </c>
      <c r="B36" s="44" t="s">
        <v>199</v>
      </c>
      <c r="C36" s="44"/>
      <c r="D36" s="44"/>
      <c r="E36" s="53"/>
      <c r="F36" s="46">
        <f t="shared" ref="F36:K36" si="7">SUM(F35:F35)</f>
        <v>50000</v>
      </c>
      <c r="G36" s="46">
        <f t="shared" si="7"/>
        <v>100000</v>
      </c>
      <c r="H36" s="46">
        <f t="shared" si="7"/>
        <v>150000</v>
      </c>
      <c r="I36" s="46">
        <f>SUM(I35:I35)+I34</f>
        <v>3268000</v>
      </c>
      <c r="J36" s="46">
        <f t="shared" si="7"/>
        <v>250000</v>
      </c>
      <c r="K36" s="46">
        <f t="shared" si="7"/>
        <v>250000</v>
      </c>
      <c r="L36" s="47"/>
      <c r="M36" s="999"/>
    </row>
    <row r="37" spans="1:13" ht="47.25" x14ac:dyDescent="0.25">
      <c r="A37" s="989"/>
      <c r="B37" s="979" t="s">
        <v>1324</v>
      </c>
      <c r="C37" s="992">
        <v>41537</v>
      </c>
      <c r="D37" s="995">
        <v>1165</v>
      </c>
      <c r="E37" s="997" t="s">
        <v>200</v>
      </c>
      <c r="F37" s="41">
        <v>2000000</v>
      </c>
      <c r="G37" s="41">
        <v>2700000</v>
      </c>
      <c r="H37" s="41">
        <v>3000000</v>
      </c>
      <c r="I37" s="41">
        <f>П4ВСР!Z26+П4ВСР!Z43+П4ВСР!Z46+П4ВСР!Z51+П4ВСР!Z59+П4ВСР!Z61+П4ВСР!Z64+П4ВСР!Z74+П4ВСР!Z53+П4ВСР!Z67+П4ВСР!Z73+П4ВСР!Z69</f>
        <v>92789908.600000009</v>
      </c>
      <c r="J37" s="41">
        <f>П4ВСР!AA26+П4ВСР!AA43+П4ВСР!AA46+П4ВСР!AA51+П4ВСР!AA59+П4ВСР!AA61+П4ВСР!AA64</f>
        <v>70338247.460000008</v>
      </c>
      <c r="K37" s="41">
        <f>П4ВСР!AB26+П4ВСР!AB43+П4ВСР!AB46+П4ВСР!AB51+П4ВСР!AB59+П4ВСР!AB61+П4ВСР!AB64</f>
        <v>70338247.460000008</v>
      </c>
      <c r="L37" s="58" t="s">
        <v>28</v>
      </c>
      <c r="M37" s="979" t="s">
        <v>516</v>
      </c>
    </row>
    <row r="38" spans="1:13" ht="63" x14ac:dyDescent="0.25">
      <c r="A38" s="990"/>
      <c r="B38" s="980"/>
      <c r="C38" s="993"/>
      <c r="D38" s="996"/>
      <c r="E38" s="998"/>
      <c r="F38" s="41"/>
      <c r="G38" s="41"/>
      <c r="H38" s="41"/>
      <c r="I38" s="41">
        <f>П4ВСР!Z656+П4ВСР!Z660+П4ВСР!Z663</f>
        <v>11704113.039999999</v>
      </c>
      <c r="J38" s="41">
        <f>П4ВСР!AA656+П4ВСР!AA660+П4ВСР!AA663</f>
        <v>9520811.6199999992</v>
      </c>
      <c r="K38" s="41">
        <f>П4ВСР!AB656+П4ВСР!AB660+П4ВСР!AB663</f>
        <v>9366781.8100000005</v>
      </c>
      <c r="L38" s="43" t="s">
        <v>503</v>
      </c>
      <c r="M38" s="980"/>
    </row>
    <row r="39" spans="1:13" ht="78.75" x14ac:dyDescent="0.25">
      <c r="A39" s="991"/>
      <c r="B39" s="981"/>
      <c r="C39" s="994"/>
      <c r="D39" s="994"/>
      <c r="E39" s="999"/>
      <c r="F39" s="41">
        <v>15000</v>
      </c>
      <c r="G39" s="41">
        <v>15000</v>
      </c>
      <c r="H39" s="41">
        <v>15000</v>
      </c>
      <c r="I39" s="41">
        <f>П4ВСР!Z349+П4ВСР!Z357+П4ВСР!Z537+П4ВСР!Z372+П4ВСР!Z377+П4ВСР!Z385+П4ВСР!Z381+П4ВСР!Z353+П4ВСР!Z365+П4ВСР!Z368</f>
        <v>39262812.149999999</v>
      </c>
      <c r="J39" s="41">
        <f>П4ВСР!AA349+П4ВСР!AA357+П4ВСР!AA537</f>
        <v>32133451.77</v>
      </c>
      <c r="K39" s="41">
        <f>П4ВСР!AB349+П4ВСР!AB357+П4ВСР!AB537</f>
        <v>32133451.77</v>
      </c>
      <c r="L39" s="43" t="s">
        <v>31</v>
      </c>
      <c r="M39" s="980"/>
    </row>
    <row r="40" spans="1:13" x14ac:dyDescent="0.25">
      <c r="A40" s="35">
        <v>10</v>
      </c>
      <c r="B40" s="44" t="s">
        <v>199</v>
      </c>
      <c r="C40" s="44"/>
      <c r="D40" s="44"/>
      <c r="E40" s="53"/>
      <c r="F40" s="46">
        <f t="shared" ref="F40:K40" si="8">SUM(F37:F39)</f>
        <v>2015000</v>
      </c>
      <c r="G40" s="46">
        <f t="shared" si="8"/>
        <v>2715000</v>
      </c>
      <c r="H40" s="46">
        <f t="shared" si="8"/>
        <v>3015000</v>
      </c>
      <c r="I40" s="46">
        <f t="shared" si="8"/>
        <v>143756833.79000002</v>
      </c>
      <c r="J40" s="46">
        <f t="shared" si="8"/>
        <v>111992510.85000001</v>
      </c>
      <c r="K40" s="46">
        <f t="shared" si="8"/>
        <v>111838481.04000001</v>
      </c>
      <c r="L40" s="47"/>
      <c r="M40" s="294"/>
    </row>
    <row r="41" spans="1:13" ht="63" x14ac:dyDescent="0.25">
      <c r="A41" s="35"/>
      <c r="B41" s="977" t="s">
        <v>1325</v>
      </c>
      <c r="C41" s="44"/>
      <c r="D41" s="44"/>
      <c r="E41" s="131"/>
      <c r="F41" s="46"/>
      <c r="G41" s="46"/>
      <c r="H41" s="46"/>
      <c r="I41" s="41">
        <f>П4ВСР!Z667</f>
        <v>3696686.13</v>
      </c>
      <c r="J41" s="41">
        <f>П4ВСР!AA667</f>
        <v>3970036.13</v>
      </c>
      <c r="K41" s="41">
        <f>П4ВСР!AB667</f>
        <v>2914339.99</v>
      </c>
      <c r="L41" s="43" t="s">
        <v>503</v>
      </c>
      <c r="M41" s="979" t="s">
        <v>517</v>
      </c>
    </row>
    <row r="42" spans="1:13" ht="81" customHeight="1" x14ac:dyDescent="0.25">
      <c r="A42" s="35"/>
      <c r="B42" s="988"/>
      <c r="C42" s="44"/>
      <c r="D42" s="44"/>
      <c r="E42" s="130"/>
      <c r="F42" s="46"/>
      <c r="G42" s="46"/>
      <c r="H42" s="46"/>
      <c r="I42" s="41">
        <f>П4ВСР!Z563</f>
        <v>200000</v>
      </c>
      <c r="J42" s="41">
        <f>П4ВСР!AA563</f>
        <v>100000</v>
      </c>
      <c r="K42" s="41">
        <f>П4ВСР!AB563</f>
        <v>100000</v>
      </c>
      <c r="L42" s="43" t="s">
        <v>720</v>
      </c>
      <c r="M42" s="980"/>
    </row>
    <row r="43" spans="1:13" ht="47.25" x14ac:dyDescent="0.25">
      <c r="A43" s="35"/>
      <c r="B43" s="978"/>
      <c r="C43" s="49">
        <v>41176</v>
      </c>
      <c r="D43" s="56">
        <v>1126</v>
      </c>
      <c r="E43" s="49" t="s">
        <v>198</v>
      </c>
      <c r="F43" s="41">
        <v>2670405</v>
      </c>
      <c r="G43" s="41">
        <v>0</v>
      </c>
      <c r="H43" s="41">
        <v>0</v>
      </c>
      <c r="I43" s="41">
        <f>П4ВСР!Z94+П4ВСР!Z98+П4ВСР!Z262+П4ВСР!Z264+П4ВСР!Z266+П4ВСР!Z96+П4ВСР!Z268</f>
        <v>1058000</v>
      </c>
      <c r="J43" s="41">
        <f>П4ВСР!AA94+П4ВСР!AA98+П4ВСР!AA262+П4ВСР!AA264+П4ВСР!AA266+П4ВСР!AA96+П4ВСР!AA268</f>
        <v>653000</v>
      </c>
      <c r="K43" s="41">
        <f>П4ВСР!AB94+П4ВСР!AB98+П4ВСР!AB262+П4ВСР!AB264+П4ВСР!AB266+П4ВСР!AB96+П4ВСР!AB268</f>
        <v>653000</v>
      </c>
      <c r="L43" s="43" t="s">
        <v>28</v>
      </c>
      <c r="M43" s="980"/>
    </row>
    <row r="44" spans="1:13" x14ac:dyDescent="0.25">
      <c r="A44" s="35">
        <v>11</v>
      </c>
      <c r="B44" s="44" t="s">
        <v>199</v>
      </c>
      <c r="C44" s="44"/>
      <c r="D44" s="44"/>
      <c r="E44" s="53"/>
      <c r="F44" s="46">
        <f>SUM(F43)</f>
        <v>2670405</v>
      </c>
      <c r="G44" s="46">
        <f>SUM(G43)</f>
        <v>0</v>
      </c>
      <c r="H44" s="46">
        <f>SUM(H43)</f>
        <v>0</v>
      </c>
      <c r="I44" s="46">
        <f>I41+I42+I43</f>
        <v>4954686.13</v>
      </c>
      <c r="J44" s="46">
        <f>J41+J42+J43</f>
        <v>4723036.13</v>
      </c>
      <c r="K44" s="46">
        <f>K41+K42+K43</f>
        <v>3667339.99</v>
      </c>
      <c r="L44" s="47"/>
      <c r="M44" s="294"/>
    </row>
    <row r="45" spans="1:13" ht="85.5" customHeight="1" x14ac:dyDescent="0.25">
      <c r="A45" s="35"/>
      <c r="B45" s="977" t="s">
        <v>1326</v>
      </c>
      <c r="C45" s="44"/>
      <c r="D45" s="44"/>
      <c r="E45" s="129"/>
      <c r="F45" s="46"/>
      <c r="G45" s="46"/>
      <c r="H45" s="46"/>
      <c r="I45" s="41">
        <f>П4ВСР!Z548+П4ВСР!Z552+П4ВСР!Z565+П4ВСР!Z571+П4ВСР!Z575+П4ВСР!Z577+П4ВСР!Z596+П4ВСР!Z609+П4ВСР!Z615+П4ВСР!Z623+П4ВСР!Z607+П4ВСР!Z619+П4ВСР!Z567-659188.21+П4ВСР!Z550+П4ВСР!Z573+П4ВСР!Z579-3234292.31+П4ВСР!Z601-1394332.02</f>
        <v>247922387.68000001</v>
      </c>
      <c r="J45" s="41">
        <f>П4ВСР!AA548+П4ВСР!AA552+П4ВСР!AA565+П4ВСР!AA571+П4ВСР!AA575+П4ВСР!AA577+П4ВСР!AA596+П4ВСР!AA609+П4ВСР!AA615+П4ВСР!AA623+П4ВСР!AA607+П4ВСР!AA619+П4ВСР!AA567</f>
        <v>220625141.46999997</v>
      </c>
      <c r="K45" s="41">
        <f>П4ВСР!AB548+П4ВСР!AB552+П4ВСР!AB565+П4ВСР!AB571+П4ВСР!AB575+П4ВСР!AB577+П4ВСР!AB596+П4ВСР!AB609+П4ВСР!AB615+П4ВСР!AB623+П4ВСР!AB607+П4ВСР!AB619+П4ВСР!AB567</f>
        <v>230610827.93000001</v>
      </c>
      <c r="L45" s="43" t="s">
        <v>720</v>
      </c>
      <c r="M45" s="979" t="s">
        <v>518</v>
      </c>
    </row>
    <row r="46" spans="1:13" ht="63" x14ac:dyDescent="0.25">
      <c r="A46" s="35"/>
      <c r="B46" s="988"/>
      <c r="C46" s="44"/>
      <c r="D46" s="44"/>
      <c r="E46" s="130"/>
      <c r="F46" s="46"/>
      <c r="G46" s="46"/>
      <c r="H46" s="46"/>
      <c r="I46" s="41">
        <f>П4ВСР!Z678+П4ВСР!Z676</f>
        <v>9132871.4399999995</v>
      </c>
      <c r="J46" s="41">
        <f>П4ВСР!AA678</f>
        <v>8631387.4399999995</v>
      </c>
      <c r="K46" s="41">
        <f>П4ВСР!AB678</f>
        <v>8631387.4399999995</v>
      </c>
      <c r="L46" s="59" t="s">
        <v>503</v>
      </c>
      <c r="M46" s="980"/>
    </row>
    <row r="47" spans="1:13" ht="47.25" x14ac:dyDescent="0.25">
      <c r="A47" s="35"/>
      <c r="B47" s="978"/>
      <c r="C47" s="57">
        <v>40869</v>
      </c>
      <c r="D47" s="53">
        <v>1218</v>
      </c>
      <c r="E47" s="53" t="s">
        <v>198</v>
      </c>
      <c r="F47" s="41">
        <v>100000</v>
      </c>
      <c r="G47" s="41">
        <v>0</v>
      </c>
      <c r="H47" s="41">
        <v>0</v>
      </c>
      <c r="I47" s="41">
        <f>П4ВСР!Z270+П4ВСР!Z272</f>
        <v>380000</v>
      </c>
      <c r="J47" s="41">
        <f>П4ВСР!AA270+П4ВСР!AA272</f>
        <v>50000</v>
      </c>
      <c r="K47" s="41">
        <f>П4ВСР!AB270+П4ВСР!AB272</f>
        <v>50000</v>
      </c>
      <c r="L47" s="59" t="s">
        <v>28</v>
      </c>
      <c r="M47" s="980"/>
    </row>
    <row r="48" spans="1:13" ht="14.25" customHeight="1" x14ac:dyDescent="0.25">
      <c r="A48" s="35">
        <v>12</v>
      </c>
      <c r="B48" s="44" t="s">
        <v>199</v>
      </c>
      <c r="C48" s="44"/>
      <c r="D48" s="44"/>
      <c r="E48" s="53"/>
      <c r="F48" s="46">
        <f>F47</f>
        <v>100000</v>
      </c>
      <c r="G48" s="46">
        <f>G47</f>
        <v>0</v>
      </c>
      <c r="H48" s="46">
        <f>H47</f>
        <v>0</v>
      </c>
      <c r="I48" s="46">
        <f>I45+I46+I47</f>
        <v>257435259.12</v>
      </c>
      <c r="J48" s="46">
        <f>J45+J46+J47</f>
        <v>229306528.90999997</v>
      </c>
      <c r="K48" s="46">
        <f>K45+K46+K47</f>
        <v>239292215.37</v>
      </c>
      <c r="L48" s="47"/>
      <c r="M48" s="294"/>
    </row>
    <row r="49" spans="1:13" ht="87" customHeight="1" x14ac:dyDescent="0.25">
      <c r="A49" s="35"/>
      <c r="B49" s="977" t="s">
        <v>1327</v>
      </c>
      <c r="C49" s="44"/>
      <c r="D49" s="44"/>
      <c r="E49" s="132"/>
      <c r="F49" s="46"/>
      <c r="G49" s="46"/>
      <c r="H49" s="46"/>
      <c r="I49" s="41">
        <f>П4ВСР!Z417</f>
        <v>14547000</v>
      </c>
      <c r="J49" s="41">
        <v>0</v>
      </c>
      <c r="K49" s="41">
        <v>0</v>
      </c>
      <c r="L49" s="43" t="s">
        <v>31</v>
      </c>
      <c r="M49" s="979" t="s">
        <v>519</v>
      </c>
    </row>
    <row r="50" spans="1:13" ht="78.75" x14ac:dyDescent="0.25">
      <c r="A50" s="35"/>
      <c r="B50" s="988"/>
      <c r="C50" s="44"/>
      <c r="D50" s="44"/>
      <c r="E50" s="175"/>
      <c r="F50" s="46"/>
      <c r="G50" s="46"/>
      <c r="H50" s="46"/>
      <c r="I50" s="41">
        <f>П4ВСР!Z585+П4ВСР!Z587+П4ВСР!Z589</f>
        <v>150000</v>
      </c>
      <c r="J50" s="41">
        <f>П4ВСР!AA585+П4ВСР!AA587+П4ВСР!AA589</f>
        <v>110000</v>
      </c>
      <c r="K50" s="41">
        <f>П4ВСР!AB585+П4ВСР!AB587+П4ВСР!AB589</f>
        <v>110000</v>
      </c>
      <c r="L50" s="43" t="s">
        <v>720</v>
      </c>
      <c r="M50" s="980"/>
    </row>
    <row r="51" spans="1:13" ht="47.25" x14ac:dyDescent="0.25">
      <c r="A51" s="35"/>
      <c r="B51" s="978"/>
      <c r="C51" s="49">
        <v>40192</v>
      </c>
      <c r="D51" s="60">
        <v>12</v>
      </c>
      <c r="E51" s="49" t="s">
        <v>198</v>
      </c>
      <c r="F51" s="41">
        <v>100000</v>
      </c>
      <c r="G51" s="41">
        <v>0</v>
      </c>
      <c r="H51" s="41">
        <v>0</v>
      </c>
      <c r="I51" s="41">
        <f>П4ВСР!Z145+П4ВСР!Z147+П4ВСР!Z151+П4ВСР!Z153+П4ВСР!Z155+П4ВСР!Z157+П4ВСР!Z161+П4ВСР!Z165+П4ВСР!Z170+П4ВСР!Z172+П4ВСР!Z175+П4ВСР!Z167+П4ВСР!Z159+П4ВСР!Z150+П4ВСР!Z176</f>
        <v>37702854.230000004</v>
      </c>
      <c r="J51" s="41">
        <f>П4ВСР!AA145+П4ВСР!AA147+П4ВСР!AA151+П4ВСР!AA153+П4ВСР!AA155+П4ВСР!AA157+П4ВСР!AA161+П4ВСР!AA165+П4ВСР!AA170+П4ВСР!AA172+П4ВСР!AA175+П4ВСР!AA167+П4ВСР!AA159+П4ВСР!AA150</f>
        <v>25761780.670000002</v>
      </c>
      <c r="K51" s="41">
        <f>П4ВСР!AB145+П4ВСР!AB147+П4ВСР!AB151+П4ВСР!AB153+П4ВСР!AB155+П4ВСР!AB157+П4ВСР!AB161+П4ВСР!AB165+П4ВСР!AB170+П4ВСР!AB172+П4ВСР!AB175+П4ВСР!AB167+П4ВСР!AB159+П4ВСР!AB150</f>
        <v>21944044.210000001</v>
      </c>
      <c r="L51" s="59" t="s">
        <v>28</v>
      </c>
      <c r="M51" s="980"/>
    </row>
    <row r="52" spans="1:13" ht="15" customHeight="1" x14ac:dyDescent="0.25">
      <c r="A52" s="35">
        <v>13</v>
      </c>
      <c r="B52" s="44" t="s">
        <v>199</v>
      </c>
      <c r="C52" s="44"/>
      <c r="D52" s="44"/>
      <c r="E52" s="53"/>
      <c r="F52" s="46">
        <f>F51</f>
        <v>100000</v>
      </c>
      <c r="G52" s="46">
        <f>G51</f>
        <v>0</v>
      </c>
      <c r="H52" s="46">
        <f>H51</f>
        <v>0</v>
      </c>
      <c r="I52" s="46">
        <f>I49+I51+I50</f>
        <v>52399854.230000004</v>
      </c>
      <c r="J52" s="46">
        <f>J49+J51+J50</f>
        <v>25871780.670000002</v>
      </c>
      <c r="K52" s="46">
        <f>K49+K51+K50</f>
        <v>22054044.210000001</v>
      </c>
      <c r="L52" s="47"/>
      <c r="M52" s="294"/>
    </row>
    <row r="53" spans="1:13" ht="81.75" customHeight="1" x14ac:dyDescent="0.25">
      <c r="A53" s="35"/>
      <c r="B53" s="977" t="s">
        <v>1328</v>
      </c>
      <c r="C53" s="44"/>
      <c r="D53" s="44"/>
      <c r="E53" s="276"/>
      <c r="F53" s="46"/>
      <c r="G53" s="46"/>
      <c r="H53" s="46"/>
      <c r="I53" s="41">
        <f>П4ВСР!Z509+П4ВСР!Z496+П4ВСР!Z499+П4ВСР!Z505</f>
        <v>5730351.7400000002</v>
      </c>
      <c r="J53" s="41">
        <v>0</v>
      </c>
      <c r="K53" s="41">
        <v>0</v>
      </c>
      <c r="L53" s="43" t="s">
        <v>31</v>
      </c>
      <c r="M53" s="979" t="s">
        <v>520</v>
      </c>
    </row>
    <row r="54" spans="1:13" ht="51" customHeight="1" x14ac:dyDescent="0.25">
      <c r="A54" s="35"/>
      <c r="B54" s="978"/>
      <c r="C54" s="49">
        <v>41108</v>
      </c>
      <c r="D54" s="36">
        <v>814</v>
      </c>
      <c r="E54" s="53" t="s">
        <v>198</v>
      </c>
      <c r="F54" s="41">
        <v>150000</v>
      </c>
      <c r="G54" s="41">
        <v>150000</v>
      </c>
      <c r="H54" s="41">
        <v>150000</v>
      </c>
      <c r="I54" s="41">
        <f>П4ВСР!Z233+П4ВСР!Z235+П4ВСР!Z237+П4ВСР!Z243+П4ВСР!Z245+П4ВСР!Z239+П4ВСР!Z247+П4ВСР!Z241-2595672.91</f>
        <v>5910043.2199999988</v>
      </c>
      <c r="J54" s="41">
        <f>П4ВСР!AA233+П4ВСР!AA235+П4ВСР!AA237+П4ВСР!AA243+П4ВСР!AA245</f>
        <v>150000</v>
      </c>
      <c r="K54" s="41">
        <f>П4ВСР!AB233+П4ВСР!AB235+П4ВСР!AB237+П4ВСР!AB243+П4ВСР!AB245</f>
        <v>150000</v>
      </c>
      <c r="L54" s="59" t="s">
        <v>28</v>
      </c>
      <c r="M54" s="980"/>
    </row>
    <row r="55" spans="1:13" x14ac:dyDescent="0.25">
      <c r="A55" s="35">
        <v>14</v>
      </c>
      <c r="B55" s="44" t="s">
        <v>199</v>
      </c>
      <c r="C55" s="44"/>
      <c r="D55" s="44"/>
      <c r="E55" s="53"/>
      <c r="F55" s="46">
        <f t="shared" ref="F55:K55" si="9">F54</f>
        <v>150000</v>
      </c>
      <c r="G55" s="46">
        <f t="shared" si="9"/>
        <v>150000</v>
      </c>
      <c r="H55" s="46">
        <f t="shared" si="9"/>
        <v>150000</v>
      </c>
      <c r="I55" s="46">
        <f>I54+I53</f>
        <v>11640394.959999999</v>
      </c>
      <c r="J55" s="46">
        <f t="shared" si="9"/>
        <v>150000</v>
      </c>
      <c r="K55" s="46">
        <f t="shared" si="9"/>
        <v>150000</v>
      </c>
      <c r="L55" s="61"/>
      <c r="M55" s="981"/>
    </row>
    <row r="56" spans="1:13" x14ac:dyDescent="0.25">
      <c r="A56" s="37"/>
      <c r="B56" s="44" t="s">
        <v>201</v>
      </c>
      <c r="C56" s="44"/>
      <c r="D56" s="44"/>
      <c r="E56" s="45"/>
      <c r="F56" s="46" t="e">
        <f>F13+F15+F19+F27+F29+F31+F33+F36+F40+F44+F48+F52+F55+#REF!+#REF!+#REF!+#REF!+#REF!+#REF!+#REF!+F23+#REF!+#REF!</f>
        <v>#REF!</v>
      </c>
      <c r="G56" s="46" t="e">
        <f>G13+G15+G19+G27+G29+G31+G33+G36+G40+G44+G48+G52+G55+#REF!+#REF!+#REF!+#REF!+#REF!+#REF!+#REF!+G23+#REF!+#REF!</f>
        <v>#REF!</v>
      </c>
      <c r="H56" s="46" t="e">
        <f>H13+H15+H19+H27+H29+H31+H33+H36+H40+H44+H48+H52+H55+#REF!+#REF!+#REF!+#REF!+#REF!+#REF!+#REF!+H23+#REF!+#REF!</f>
        <v>#REF!</v>
      </c>
      <c r="I56" s="46">
        <f>I13+I15+I19+I23+I27+I29+I31+I33+I36+I40+I44+I48+I52+I55</f>
        <v>531748408.69999999</v>
      </c>
      <c r="J56" s="46">
        <f>J13+J15+J19+J23+J27+J29+J31+J33+J36+J40+J44+J48+J52+J55</f>
        <v>405671881.21999997</v>
      </c>
      <c r="K56" s="46">
        <f>K13+K15+K19+K23+K27+K29+K31+K33+K36+K40+K44+K48+K52+K55</f>
        <v>410630105.26999998</v>
      </c>
      <c r="L56" s="46"/>
      <c r="M56" s="63"/>
    </row>
    <row r="57" spans="1:13" x14ac:dyDescent="0.25">
      <c r="L57" s="32" t="s">
        <v>202</v>
      </c>
    </row>
    <row r="58" spans="1:13" x14ac:dyDescent="0.25">
      <c r="F58" s="64"/>
      <c r="G58" s="64"/>
      <c r="H58" s="64"/>
    </row>
    <row r="65" spans="1:13" x14ac:dyDescent="0.25">
      <c r="E65" s="65"/>
      <c r="F65" s="66"/>
      <c r="G65" s="66"/>
      <c r="H65" s="66"/>
      <c r="I65" s="66"/>
      <c r="J65" s="66"/>
      <c r="K65" s="67"/>
      <c r="L65" s="67"/>
    </row>
    <row r="79" spans="1:13" x14ac:dyDescent="0.25">
      <c r="A79" s="66"/>
      <c r="B79" s="68"/>
      <c r="C79" s="68"/>
      <c r="D79" s="68"/>
      <c r="E79" s="65"/>
      <c r="F79" s="66"/>
      <c r="G79" s="66"/>
      <c r="H79" s="66"/>
      <c r="I79" s="66"/>
      <c r="J79" s="66"/>
      <c r="K79" s="67"/>
      <c r="L79" s="67"/>
      <c r="M79" s="69"/>
    </row>
    <row r="80" spans="1:13" x14ac:dyDescent="0.25">
      <c r="A80" s="66"/>
      <c r="B80" s="68"/>
      <c r="C80" s="68"/>
      <c r="D80" s="68"/>
      <c r="E80" s="65"/>
      <c r="F80" s="66"/>
      <c r="G80" s="66"/>
      <c r="H80" s="66"/>
      <c r="I80" s="66"/>
      <c r="J80" s="66"/>
      <c r="K80" s="67"/>
      <c r="L80" s="67"/>
      <c r="M80" s="69"/>
    </row>
    <row r="81" spans="1:13" x14ac:dyDescent="0.25">
      <c r="A81" s="66"/>
      <c r="B81" s="68"/>
      <c r="C81" s="68"/>
      <c r="D81" s="68"/>
      <c r="E81" s="65"/>
      <c r="F81" s="66"/>
      <c r="G81" s="66"/>
      <c r="H81" s="66"/>
      <c r="I81" s="66"/>
      <c r="J81" s="66"/>
      <c r="K81" s="67"/>
      <c r="L81" s="67"/>
      <c r="M81" s="69"/>
    </row>
    <row r="82" spans="1:13" x14ac:dyDescent="0.25">
      <c r="A82" s="66"/>
      <c r="B82" s="68"/>
      <c r="C82" s="68"/>
      <c r="D82" s="68"/>
      <c r="E82" s="65"/>
      <c r="F82" s="66"/>
      <c r="G82" s="66"/>
      <c r="H82" s="66"/>
      <c r="I82" s="66"/>
      <c r="J82" s="66"/>
      <c r="K82" s="67"/>
      <c r="L82" s="67"/>
      <c r="M82" s="69"/>
    </row>
    <row r="83" spans="1:13" x14ac:dyDescent="0.25">
      <c r="A83" s="66"/>
      <c r="B83" s="68"/>
      <c r="C83" s="68"/>
      <c r="D83" s="68"/>
      <c r="E83" s="65"/>
      <c r="F83" s="66"/>
      <c r="G83" s="66"/>
      <c r="H83" s="66"/>
      <c r="I83" s="66"/>
      <c r="J83" s="66"/>
      <c r="K83" s="67"/>
      <c r="L83" s="67"/>
      <c r="M83" s="69"/>
    </row>
    <row r="84" spans="1:13" x14ac:dyDescent="0.25">
      <c r="A84" s="66"/>
      <c r="B84" s="983"/>
      <c r="C84" s="983"/>
      <c r="D84" s="983"/>
      <c r="E84" s="983"/>
      <c r="F84" s="983"/>
      <c r="G84" s="983"/>
      <c r="H84" s="983"/>
      <c r="I84" s="983"/>
      <c r="J84" s="983"/>
      <c r="K84" s="983"/>
      <c r="L84" s="65"/>
      <c r="M84" s="69"/>
    </row>
    <row r="85" spans="1:13" x14ac:dyDescent="0.25">
      <c r="A85" s="66"/>
      <c r="B85" s="68"/>
      <c r="C85" s="68"/>
      <c r="D85" s="68"/>
      <c r="E85" s="65"/>
      <c r="F85" s="66"/>
      <c r="G85" s="66"/>
      <c r="H85" s="66"/>
      <c r="I85" s="66"/>
      <c r="J85" s="66"/>
      <c r="K85" s="67"/>
      <c r="L85" s="67"/>
      <c r="M85" s="69"/>
    </row>
    <row r="86" spans="1:13" x14ac:dyDescent="0.25">
      <c r="A86" s="66"/>
      <c r="B86" s="984"/>
      <c r="C86" s="984"/>
      <c r="D86" s="984"/>
      <c r="E86" s="984"/>
      <c r="F86" s="983"/>
      <c r="G86" s="983"/>
      <c r="H86" s="983"/>
      <c r="I86" s="983"/>
      <c r="J86" s="983"/>
      <c r="K86" s="70"/>
      <c r="L86" s="70"/>
      <c r="M86" s="985"/>
    </row>
    <row r="87" spans="1:13" x14ac:dyDescent="0.25">
      <c r="A87" s="66"/>
      <c r="B87" s="984"/>
      <c r="C87" s="984"/>
      <c r="D87" s="984"/>
      <c r="E87" s="984"/>
      <c r="F87" s="986"/>
      <c r="G87" s="986"/>
      <c r="H87" s="986"/>
      <c r="I87" s="986"/>
      <c r="J87" s="66"/>
      <c r="K87" s="67"/>
      <c r="L87" s="67"/>
      <c r="M87" s="985"/>
    </row>
    <row r="88" spans="1:13" x14ac:dyDescent="0.25">
      <c r="A88" s="66"/>
      <c r="B88" s="984"/>
      <c r="C88" s="984"/>
      <c r="D88" s="984"/>
      <c r="E88" s="984"/>
      <c r="F88" s="66"/>
      <c r="G88" s="66"/>
      <c r="H88" s="66"/>
      <c r="I88" s="66"/>
      <c r="J88" s="66"/>
      <c r="K88" s="67"/>
      <c r="L88" s="67"/>
      <c r="M88" s="985"/>
    </row>
    <row r="89" spans="1:13" x14ac:dyDescent="0.25">
      <c r="A89" s="66"/>
      <c r="B89" s="984"/>
      <c r="C89" s="984"/>
      <c r="D89" s="984"/>
      <c r="E89" s="984"/>
      <c r="F89" s="71"/>
      <c r="G89" s="71"/>
      <c r="H89" s="71"/>
      <c r="I89" s="67"/>
      <c r="J89" s="71"/>
      <c r="K89" s="67"/>
      <c r="L89" s="67"/>
      <c r="M89" s="987"/>
    </row>
    <row r="90" spans="1:13" x14ac:dyDescent="0.25">
      <c r="A90" s="66"/>
      <c r="B90" s="984"/>
      <c r="C90" s="984"/>
      <c r="D90" s="984"/>
      <c r="E90" s="984"/>
      <c r="F90" s="71"/>
      <c r="G90" s="71"/>
      <c r="H90" s="71"/>
      <c r="I90" s="67"/>
      <c r="J90" s="71"/>
      <c r="K90" s="67"/>
      <c r="L90" s="67"/>
      <c r="M90" s="987"/>
    </row>
    <row r="91" spans="1:13" x14ac:dyDescent="0.25">
      <c r="A91" s="66"/>
      <c r="B91" s="984"/>
      <c r="C91" s="984"/>
      <c r="D91" s="984"/>
      <c r="E91" s="984"/>
      <c r="F91" s="71"/>
      <c r="G91" s="71"/>
      <c r="H91" s="71"/>
      <c r="I91" s="67"/>
      <c r="J91" s="71"/>
      <c r="K91" s="67"/>
      <c r="L91" s="67"/>
      <c r="M91" s="987"/>
    </row>
    <row r="92" spans="1:13" x14ac:dyDescent="0.25">
      <c r="A92" s="66"/>
      <c r="B92" s="984"/>
      <c r="C92" s="984"/>
      <c r="D92" s="984"/>
      <c r="E92" s="984"/>
      <c r="F92" s="71"/>
      <c r="G92" s="71"/>
      <c r="H92" s="71"/>
      <c r="I92" s="67"/>
      <c r="J92" s="71"/>
      <c r="K92" s="67"/>
      <c r="L92" s="67"/>
      <c r="M92" s="987"/>
    </row>
    <row r="93" spans="1:13" x14ac:dyDescent="0.25">
      <c r="A93" s="66"/>
      <c r="B93" s="984"/>
      <c r="C93" s="984"/>
      <c r="D93" s="984"/>
      <c r="E93" s="984"/>
      <c r="F93" s="71"/>
      <c r="G93" s="71"/>
      <c r="H93" s="71"/>
      <c r="I93" s="67"/>
      <c r="J93" s="71"/>
      <c r="K93" s="67"/>
      <c r="L93" s="67"/>
      <c r="M93" s="987"/>
    </row>
    <row r="94" spans="1:13" x14ac:dyDescent="0.25">
      <c r="A94" s="66"/>
      <c r="B94" s="984"/>
      <c r="C94" s="984"/>
      <c r="D94" s="984"/>
      <c r="E94" s="984"/>
      <c r="F94" s="71"/>
      <c r="G94" s="71"/>
      <c r="H94" s="71"/>
      <c r="I94" s="67"/>
      <c r="J94" s="71"/>
      <c r="K94" s="67"/>
      <c r="L94" s="67"/>
      <c r="M94" s="987"/>
    </row>
    <row r="95" spans="1:13" x14ac:dyDescent="0.25">
      <c r="A95" s="66"/>
      <c r="B95" s="982"/>
      <c r="C95" s="982"/>
      <c r="D95" s="982"/>
      <c r="E95" s="982"/>
      <c r="F95" s="72"/>
      <c r="G95" s="72"/>
      <c r="H95" s="72"/>
      <c r="I95" s="73"/>
      <c r="J95" s="72"/>
      <c r="K95" s="73"/>
      <c r="L95" s="73"/>
      <c r="M95" s="74"/>
    </row>
    <row r="684" spans="26:26" x14ac:dyDescent="0.25">
      <c r="Z684" s="31" t="e">
        <f>Z82+Z224+Z296+Z323+Z535+Z564+Z614+Z617+Z620+Z623+Z627+Z129+Z585+Z630+Z217+Z582+Z312+Z150+Z76+Z79+Z560+Z38+Z178+Z562+Z254+Z313+Z310+Z255+Z180+Z283+Z257+Z521+П5МП!I45Z356+Z163+Z314-1000000-73243.13-336726.78+Z316+Z214+Z212-5177262.72-62886.78+Z242-259567.29</f>
        <v>#NAME?</v>
      </c>
    </row>
  </sheetData>
  <mergeCells count="58">
    <mergeCell ref="B49:B51"/>
    <mergeCell ref="M49:M51"/>
    <mergeCell ref="A8:A10"/>
    <mergeCell ref="B8:B10"/>
    <mergeCell ref="C8:E8"/>
    <mergeCell ref="F8:K8"/>
    <mergeCell ref="L8:M8"/>
    <mergeCell ref="C9:C10"/>
    <mergeCell ref="D9:D10"/>
    <mergeCell ref="E9:E10"/>
    <mergeCell ref="F9:H9"/>
    <mergeCell ref="I9:K9"/>
    <mergeCell ref="L9:L10"/>
    <mergeCell ref="M9:M10"/>
    <mergeCell ref="M14:M15"/>
    <mergeCell ref="B11:B12"/>
    <mergeCell ref="K1:M1"/>
    <mergeCell ref="K2:M2"/>
    <mergeCell ref="K3:M3"/>
    <mergeCell ref="K4:M4"/>
    <mergeCell ref="A6:M6"/>
    <mergeCell ref="M11:M13"/>
    <mergeCell ref="A37:A39"/>
    <mergeCell ref="B37:B39"/>
    <mergeCell ref="C37:C39"/>
    <mergeCell ref="D37:D39"/>
    <mergeCell ref="E37:E39"/>
    <mergeCell ref="M34:M36"/>
    <mergeCell ref="B20:B22"/>
    <mergeCell ref="M20:M23"/>
    <mergeCell ref="B45:B47"/>
    <mergeCell ref="M45:M47"/>
    <mergeCell ref="B16:B18"/>
    <mergeCell ref="M16:M18"/>
    <mergeCell ref="M24:M27"/>
    <mergeCell ref="B24:B26"/>
    <mergeCell ref="M28:M29"/>
    <mergeCell ref="M30:M31"/>
    <mergeCell ref="M32:M33"/>
    <mergeCell ref="M37:M39"/>
    <mergeCell ref="M41:M43"/>
    <mergeCell ref="B41:B43"/>
    <mergeCell ref="B34:B35"/>
    <mergeCell ref="B53:B54"/>
    <mergeCell ref="M53:M55"/>
    <mergeCell ref="B95:E95"/>
    <mergeCell ref="B84:K84"/>
    <mergeCell ref="B86:E88"/>
    <mergeCell ref="F86:J86"/>
    <mergeCell ref="M86:M88"/>
    <mergeCell ref="F87:I87"/>
    <mergeCell ref="B89:E89"/>
    <mergeCell ref="M89:M94"/>
    <mergeCell ref="B90:E90"/>
    <mergeCell ref="B91:E91"/>
    <mergeCell ref="B92:E92"/>
    <mergeCell ref="B93:E93"/>
    <mergeCell ref="B94:E94"/>
  </mergeCells>
  <pageMargins left="0.70866141732283472" right="0.70866141732283472" top="0.74803149606299213" bottom="0.74803149606299213"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topLeftCell="A10" workbookViewId="0">
      <selection activeCell="G22" sqref="G22"/>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7" max="7" width="22.85546875" customWidth="1"/>
    <col min="8" max="8" width="39.140625" customWidth="1"/>
    <col min="10" max="10" width="21.71093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8" s="92" customFormat="1" ht="15.75" x14ac:dyDescent="0.25">
      <c r="A1" s="1"/>
      <c r="B1" s="1"/>
      <c r="C1" s="1010" t="s">
        <v>1126</v>
      </c>
      <c r="D1" s="1010"/>
      <c r="E1" s="1010"/>
      <c r="F1" s="1010"/>
    </row>
    <row r="2" spans="1:8" s="92" customFormat="1" ht="15.75" customHeight="1" x14ac:dyDescent="0.25">
      <c r="A2" s="1"/>
      <c r="B2" s="1"/>
      <c r="C2" s="1010" t="s">
        <v>244</v>
      </c>
      <c r="D2" s="1010"/>
      <c r="E2" s="1010"/>
      <c r="F2" s="1010"/>
    </row>
    <row r="3" spans="1:8" s="92" customFormat="1" ht="15.75" x14ac:dyDescent="0.25">
      <c r="A3" s="1"/>
      <c r="B3" s="1"/>
      <c r="C3" s="1010" t="s">
        <v>245</v>
      </c>
      <c r="D3" s="1010"/>
      <c r="E3" s="1010"/>
      <c r="F3" s="1010"/>
    </row>
    <row r="4" spans="1:8" s="92" customFormat="1" ht="15.75" x14ac:dyDescent="0.25">
      <c r="A4" s="1"/>
      <c r="B4" s="1"/>
      <c r="C4" s="1010" t="s">
        <v>1407</v>
      </c>
      <c r="D4" s="1010"/>
      <c r="E4" s="1010"/>
      <c r="F4" s="1010"/>
    </row>
    <row r="5" spans="1:8" s="92" customFormat="1" ht="15.75" x14ac:dyDescent="0.25">
      <c r="A5" s="1"/>
      <c r="B5" s="1"/>
      <c r="C5" s="676"/>
      <c r="D5" s="674"/>
    </row>
    <row r="6" spans="1:8" ht="15.75" x14ac:dyDescent="0.25">
      <c r="A6" s="1"/>
      <c r="B6" s="1"/>
      <c r="C6" s="676"/>
      <c r="D6" s="674"/>
    </row>
    <row r="7" spans="1:8" ht="40.5" customHeight="1" x14ac:dyDescent="0.25">
      <c r="A7" s="915" t="s">
        <v>1106</v>
      </c>
      <c r="B7" s="915"/>
      <c r="C7" s="915"/>
      <c r="D7" s="915"/>
      <c r="E7" s="915"/>
      <c r="F7" s="915"/>
    </row>
    <row r="8" spans="1:8" ht="16.5" thickBot="1" x14ac:dyDescent="0.3">
      <c r="A8" s="1"/>
      <c r="B8" s="1"/>
      <c r="C8" s="673"/>
      <c r="F8" s="674" t="s">
        <v>187</v>
      </c>
    </row>
    <row r="9" spans="1:8" ht="15.75" x14ac:dyDescent="0.25">
      <c r="A9" s="916" t="s">
        <v>134</v>
      </c>
      <c r="B9" s="916" t="s">
        <v>135</v>
      </c>
      <c r="C9" s="918" t="s">
        <v>1</v>
      </c>
      <c r="D9" s="920" t="s">
        <v>246</v>
      </c>
      <c r="E9" s="921"/>
      <c r="F9" s="921"/>
      <c r="G9" s="681" t="s">
        <v>1410</v>
      </c>
      <c r="H9" s="682" t="s">
        <v>1411</v>
      </c>
    </row>
    <row r="10" spans="1:8" ht="16.5" x14ac:dyDescent="0.3">
      <c r="A10" s="917"/>
      <c r="B10" s="917"/>
      <c r="C10" s="919"/>
      <c r="D10" s="675">
        <v>2019</v>
      </c>
      <c r="E10" s="96">
        <v>2020</v>
      </c>
      <c r="F10" s="678">
        <v>2021</v>
      </c>
      <c r="G10" s="683"/>
      <c r="H10" s="684"/>
    </row>
    <row r="11" spans="1:8" ht="15.75" x14ac:dyDescent="0.25">
      <c r="A11" s="97" t="s">
        <v>122</v>
      </c>
      <c r="B11" s="97" t="s">
        <v>133</v>
      </c>
      <c r="C11" s="44" t="s">
        <v>111</v>
      </c>
      <c r="D11" s="46">
        <f>D12+D13+D14+D16+D18+D19+D15+D17</f>
        <v>128691247.58</v>
      </c>
      <c r="E11" s="46">
        <f>E12+E13+E14+E16+E18+E19+E15+E17</f>
        <v>99198129.629999995</v>
      </c>
      <c r="F11" s="679">
        <f>F12+F13+F14+F16+F18+F19+F15+F17</f>
        <v>99113714.700000003</v>
      </c>
      <c r="G11" s="685">
        <v>5268459.8</v>
      </c>
      <c r="H11" s="684" t="s">
        <v>1408</v>
      </c>
    </row>
    <row r="12" spans="1:8" ht="60" x14ac:dyDescent="0.25">
      <c r="A12" s="98" t="s">
        <v>122</v>
      </c>
      <c r="B12" s="98" t="s">
        <v>132</v>
      </c>
      <c r="C12" s="36" t="s">
        <v>247</v>
      </c>
      <c r="D12" s="41">
        <f>П4ВСР!Z13</f>
        <v>2316632.7599999998</v>
      </c>
      <c r="E12" s="41">
        <f>П4ВСР!AA13</f>
        <v>1554484</v>
      </c>
      <c r="F12" s="680">
        <f>П4ВСР!AB13</f>
        <v>1554484</v>
      </c>
      <c r="G12" s="685">
        <v>94715406.849999994</v>
      </c>
      <c r="H12" s="686" t="s">
        <v>1324</v>
      </c>
    </row>
    <row r="13" spans="1:8" ht="47.25" x14ac:dyDescent="0.25">
      <c r="A13" s="98" t="s">
        <v>122</v>
      </c>
      <c r="B13" s="98" t="s">
        <v>123</v>
      </c>
      <c r="C13" s="36" t="s">
        <v>248</v>
      </c>
      <c r="D13" s="41">
        <f>П4ВСР!Z16</f>
        <v>3605818.53</v>
      </c>
      <c r="E13" s="41">
        <f>П4ВСР!AA16</f>
        <v>2993545.12</v>
      </c>
      <c r="F13" s="680">
        <f>П4ВСР!AB16</f>
        <v>2993545.12</v>
      </c>
      <c r="G13" s="685">
        <v>1837200</v>
      </c>
      <c r="H13" s="684" t="s">
        <v>1409</v>
      </c>
    </row>
    <row r="14" spans="1:8" ht="62.25" customHeight="1" x14ac:dyDescent="0.25">
      <c r="A14" s="98" t="s">
        <v>122</v>
      </c>
      <c r="B14" s="98" t="s">
        <v>136</v>
      </c>
      <c r="C14" s="36" t="s">
        <v>249</v>
      </c>
      <c r="D14" s="41">
        <f>П4ВСР!Z23</f>
        <v>29492830.620000005</v>
      </c>
      <c r="E14" s="41">
        <f>П4ВСР!AA23</f>
        <v>30947252.790000003</v>
      </c>
      <c r="F14" s="680">
        <f>П4ВСР!AB23</f>
        <v>30947252.790000003</v>
      </c>
      <c r="G14" s="683"/>
      <c r="H14" s="684"/>
    </row>
    <row r="15" spans="1:8" ht="15.75" hidden="1" x14ac:dyDescent="0.25">
      <c r="A15" s="98" t="s">
        <v>122</v>
      </c>
      <c r="B15" s="98" t="s">
        <v>124</v>
      </c>
      <c r="C15" s="21" t="s">
        <v>137</v>
      </c>
      <c r="D15" s="41">
        <f>П4ВСР!Z36</f>
        <v>27892</v>
      </c>
      <c r="E15" s="41">
        <f>П4ВСР!AA36</f>
        <v>29405</v>
      </c>
      <c r="F15" s="680">
        <f>П4ВСР!AB36</f>
        <v>31153</v>
      </c>
      <c r="G15" s="683"/>
      <c r="H15" s="684"/>
    </row>
    <row r="16" spans="1:8" ht="46.5" customHeight="1" x14ac:dyDescent="0.25">
      <c r="A16" s="98" t="s">
        <v>122</v>
      </c>
      <c r="B16" s="98" t="s">
        <v>125</v>
      </c>
      <c r="C16" s="36" t="s">
        <v>250</v>
      </c>
      <c r="D16" s="41">
        <f>П4ВСР!Z39+П4ВСР!Z348</f>
        <v>14313577.32</v>
      </c>
      <c r="E16" s="41">
        <f>П4ВСР!AA39+П4ВСР!AA348</f>
        <v>12727969.449999999</v>
      </c>
      <c r="F16" s="680">
        <f>П4ВСР!AB39+П4ВСР!AB348</f>
        <v>12728207.449999999</v>
      </c>
      <c r="G16" s="683"/>
      <c r="H16" s="684"/>
    </row>
    <row r="17" spans="1:8" ht="15.75" x14ac:dyDescent="0.25">
      <c r="A17" s="98" t="s">
        <v>122</v>
      </c>
      <c r="B17" s="98" t="s">
        <v>138</v>
      </c>
      <c r="C17" s="36" t="s">
        <v>139</v>
      </c>
      <c r="D17" s="41">
        <f>П4ВСР!Z44</f>
        <v>2646000</v>
      </c>
      <c r="E17" s="41">
        <f>П4ВСР!AA43</f>
        <v>0</v>
      </c>
      <c r="F17" s="680">
        <f>П4ВСР!AB43</f>
        <v>0</v>
      </c>
      <c r="G17" s="683"/>
      <c r="H17" s="684"/>
    </row>
    <row r="18" spans="1:8" ht="15.75" x14ac:dyDescent="0.25">
      <c r="A18" s="98" t="s">
        <v>122</v>
      </c>
      <c r="B18" s="98" t="s">
        <v>128</v>
      </c>
      <c r="C18" s="36" t="s">
        <v>140</v>
      </c>
      <c r="D18" s="41">
        <f>П4ВСР!Z45</f>
        <v>351931</v>
      </c>
      <c r="E18" s="41">
        <f>П4ВСР!AA45</f>
        <v>351931</v>
      </c>
      <c r="F18" s="680">
        <f>П4ВСР!AB45</f>
        <v>351931</v>
      </c>
      <c r="G18" s="683"/>
      <c r="H18" s="684"/>
    </row>
    <row r="19" spans="1:8" ht="16.5" thickBot="1" x14ac:dyDescent="0.3">
      <c r="A19" s="98" t="s">
        <v>122</v>
      </c>
      <c r="B19" s="98" t="s">
        <v>130</v>
      </c>
      <c r="C19" s="36" t="s">
        <v>141</v>
      </c>
      <c r="D19" s="41">
        <f>П4ВСР!Z48+П4ВСР!Z655+П4ВСР!Z362</f>
        <v>75936565.349999994</v>
      </c>
      <c r="E19" s="41">
        <f>П4ВСР!AA48+П4ВСР!AA655</f>
        <v>50593542.270000003</v>
      </c>
      <c r="F19" s="680">
        <f>П4ВСР!AB48+П4ВСР!AB655</f>
        <v>50507141.340000004</v>
      </c>
      <c r="G19" s="687"/>
      <c r="H19" s="688"/>
    </row>
    <row r="20" spans="1:8" ht="31.5" x14ac:dyDescent="0.25">
      <c r="A20" s="97" t="s">
        <v>123</v>
      </c>
      <c r="B20" s="97" t="s">
        <v>133</v>
      </c>
      <c r="C20" s="44" t="s">
        <v>112</v>
      </c>
      <c r="D20" s="46">
        <f>D22+D23</f>
        <v>4746686.13</v>
      </c>
      <c r="E20" s="46">
        <f>E22+E23</f>
        <v>4570036.13</v>
      </c>
      <c r="F20" s="679">
        <f>F22+F23</f>
        <v>3514339.99</v>
      </c>
      <c r="G20" s="690">
        <v>100000</v>
      </c>
      <c r="H20" s="691" t="s">
        <v>1318</v>
      </c>
    </row>
    <row r="21" spans="1:8" ht="15.75" hidden="1" x14ac:dyDescent="0.25">
      <c r="A21" s="98" t="s">
        <v>123</v>
      </c>
      <c r="B21" s="98" t="s">
        <v>132</v>
      </c>
      <c r="C21" s="36" t="s">
        <v>142</v>
      </c>
      <c r="D21" s="41">
        <v>0</v>
      </c>
      <c r="E21" s="41">
        <v>0</v>
      </c>
      <c r="F21" s="680">
        <v>0</v>
      </c>
      <c r="G21" s="685"/>
      <c r="H21" s="684"/>
    </row>
    <row r="22" spans="1:8" ht="57.75" customHeight="1" x14ac:dyDescent="0.25">
      <c r="A22" s="98" t="s">
        <v>123</v>
      </c>
      <c r="B22" s="98" t="s">
        <v>127</v>
      </c>
      <c r="C22" s="36" t="s">
        <v>251</v>
      </c>
      <c r="D22" s="41">
        <f>П4ВСР!Z91+П4ВСР!Z666+П4ВСР!Z393</f>
        <v>4746686.13</v>
      </c>
      <c r="E22" s="41">
        <f>П4ВСР!AA91+П4ВСР!AA666</f>
        <v>4570036.13</v>
      </c>
      <c r="F22" s="680">
        <f>П4ВСР!AB91+П4ВСР!AB666</f>
        <v>3514339.99</v>
      </c>
      <c r="G22" s="685">
        <v>3696686.13</v>
      </c>
      <c r="H22" s="686" t="s">
        <v>1324</v>
      </c>
    </row>
    <row r="23" spans="1:8" ht="73.5" customHeight="1" thickBot="1" x14ac:dyDescent="0.3">
      <c r="A23" s="98"/>
      <c r="B23" s="98"/>
      <c r="C23" s="36"/>
      <c r="D23" s="41"/>
      <c r="E23" s="84"/>
      <c r="F23" s="689"/>
      <c r="G23" s="692">
        <v>450000</v>
      </c>
      <c r="H23" s="693" t="s">
        <v>1325</v>
      </c>
    </row>
    <row r="24" spans="1:8" ht="14.25" hidden="1" customHeight="1" x14ac:dyDescent="0.25">
      <c r="A24" s="98" t="s">
        <v>123</v>
      </c>
      <c r="B24" s="98" t="s">
        <v>131</v>
      </c>
      <c r="C24" s="36" t="s">
        <v>145</v>
      </c>
      <c r="D24" s="41">
        <v>0</v>
      </c>
      <c r="E24" s="99">
        <v>0</v>
      </c>
      <c r="F24" s="99">
        <v>0</v>
      </c>
    </row>
    <row r="25" spans="1:8" ht="15.75" x14ac:dyDescent="0.25">
      <c r="A25" s="97" t="s">
        <v>136</v>
      </c>
      <c r="B25" s="97" t="s">
        <v>133</v>
      </c>
      <c r="C25" s="44" t="s">
        <v>113</v>
      </c>
      <c r="D25" s="46">
        <f>D26+D27+D28+D29+D30+D31</f>
        <v>39242175.660000004</v>
      </c>
      <c r="E25" s="46">
        <f>E26+E27+E28+E29+E30+E31</f>
        <v>26209102.100000001</v>
      </c>
      <c r="F25" s="679">
        <f>F26+F27+F28+F29+F30+F31</f>
        <v>22391365.640000001</v>
      </c>
      <c r="G25" s="681"/>
      <c r="H25" s="682"/>
    </row>
    <row r="26" spans="1:8" ht="15.75" hidden="1" x14ac:dyDescent="0.25">
      <c r="A26" s="98" t="s">
        <v>136</v>
      </c>
      <c r="B26" s="98" t="s">
        <v>122</v>
      </c>
      <c r="C26" s="36" t="s">
        <v>146</v>
      </c>
      <c r="D26" s="41">
        <v>0</v>
      </c>
      <c r="E26" s="41">
        <v>0</v>
      </c>
      <c r="F26" s="680">
        <v>0</v>
      </c>
      <c r="G26" s="683"/>
      <c r="H26" s="684"/>
    </row>
    <row r="27" spans="1:8" ht="37.5" customHeight="1" x14ac:dyDescent="0.25">
      <c r="A27" s="98" t="s">
        <v>136</v>
      </c>
      <c r="B27" s="98" t="s">
        <v>124</v>
      </c>
      <c r="C27" s="36" t="s">
        <v>147</v>
      </c>
      <c r="D27" s="41">
        <f>П4ВСР!Z106</f>
        <v>465321.43</v>
      </c>
      <c r="E27" s="41">
        <f>П4ВСР!AA106</f>
        <v>247321.43</v>
      </c>
      <c r="F27" s="680">
        <f>П4ВСР!AB106</f>
        <v>247321.43</v>
      </c>
      <c r="G27" s="685">
        <v>595000</v>
      </c>
      <c r="H27" s="694" t="s">
        <v>1315</v>
      </c>
    </row>
    <row r="28" spans="1:8" ht="15.75" hidden="1" x14ac:dyDescent="0.25">
      <c r="A28" s="98" t="s">
        <v>136</v>
      </c>
      <c r="B28" s="98" t="s">
        <v>125</v>
      </c>
      <c r="C28" s="100" t="s">
        <v>252</v>
      </c>
      <c r="D28" s="41">
        <f>П4ВСР!Z137</f>
        <v>0</v>
      </c>
      <c r="E28" s="41">
        <f>П4ВСР!AA137</f>
        <v>0</v>
      </c>
      <c r="F28" s="680">
        <f>П4ВСР!AB137</f>
        <v>0</v>
      </c>
      <c r="G28" s="685"/>
      <c r="H28" s="684"/>
    </row>
    <row r="29" spans="1:8" ht="15.75" x14ac:dyDescent="0.25">
      <c r="A29" s="98" t="s">
        <v>136</v>
      </c>
      <c r="B29" s="98" t="s">
        <v>126</v>
      </c>
      <c r="C29" s="36" t="s">
        <v>148</v>
      </c>
      <c r="D29" s="41">
        <f>П4ВСР!Z144</f>
        <v>664000</v>
      </c>
      <c r="E29" s="41">
        <f>П4ВСР!AA144</f>
        <v>0</v>
      </c>
      <c r="F29" s="680">
        <f>П4ВСР!AB144</f>
        <v>0</v>
      </c>
      <c r="G29" s="685">
        <f>22300+64000</f>
        <v>86300</v>
      </c>
      <c r="H29" s="684" t="s">
        <v>1412</v>
      </c>
    </row>
    <row r="30" spans="1:8" ht="30" x14ac:dyDescent="0.25">
      <c r="A30" s="98" t="s">
        <v>136</v>
      </c>
      <c r="B30" s="98" t="s">
        <v>127</v>
      </c>
      <c r="C30" s="36" t="s">
        <v>1337</v>
      </c>
      <c r="D30" s="41">
        <f>П4ВСР!Z169+П4ВСР!Z399</f>
        <v>37102854.230000004</v>
      </c>
      <c r="E30" s="41">
        <f>П4ВСР!AA169</f>
        <v>25761780.670000002</v>
      </c>
      <c r="F30" s="680">
        <f>П4ВСР!AB169</f>
        <v>21944044.210000001</v>
      </c>
      <c r="G30" s="685">
        <f>700000+37227154.68</f>
        <v>37927154.68</v>
      </c>
      <c r="H30" s="686" t="s">
        <v>1327</v>
      </c>
    </row>
    <row r="31" spans="1:8" ht="30.75" thickBot="1" x14ac:dyDescent="0.3">
      <c r="A31" s="98" t="s">
        <v>136</v>
      </c>
      <c r="B31" s="98" t="s">
        <v>129</v>
      </c>
      <c r="C31" s="36" t="s">
        <v>149</v>
      </c>
      <c r="D31" s="41">
        <f>П4ВСР!Z182+П4ВСР!Z406</f>
        <v>1010000</v>
      </c>
      <c r="E31" s="41">
        <f>П4ВСР!AA182</f>
        <v>200000</v>
      </c>
      <c r="F31" s="680">
        <f>П4ВСР!AB182</f>
        <v>200000</v>
      </c>
      <c r="G31" s="692">
        <v>520000</v>
      </c>
      <c r="H31" s="693" t="s">
        <v>1322</v>
      </c>
    </row>
    <row r="32" spans="1:8" ht="16.5" thickBot="1" x14ac:dyDescent="0.3">
      <c r="A32" s="97" t="s">
        <v>124</v>
      </c>
      <c r="B32" s="97" t="s">
        <v>133</v>
      </c>
      <c r="C32" s="44" t="s">
        <v>114</v>
      </c>
      <c r="D32" s="101">
        <f>D33+D34+D35+D36</f>
        <v>122955186.72</v>
      </c>
      <c r="E32" s="101">
        <f>E33+E34+E35+E36</f>
        <v>71595898.829999998</v>
      </c>
      <c r="F32" s="101">
        <f>F33+F34+F35+F36</f>
        <v>71595898.829999998</v>
      </c>
    </row>
    <row r="33" spans="1:8" ht="75" x14ac:dyDescent="0.25">
      <c r="A33" s="98" t="s">
        <v>124</v>
      </c>
      <c r="B33" s="98" t="s">
        <v>122</v>
      </c>
      <c r="C33" s="36" t="s">
        <v>150</v>
      </c>
      <c r="D33" s="41">
        <f>П4ВСР!Z204+П4ВСР!Z426+П4ВСР!Z435</f>
        <v>33992260.100000001</v>
      </c>
      <c r="E33" s="41">
        <f>П4ВСР!AA204</f>
        <v>10000000</v>
      </c>
      <c r="F33" s="680">
        <f>П4ВСР!AB204</f>
        <v>10000000</v>
      </c>
      <c r="G33" s="690">
        <v>10000000</v>
      </c>
      <c r="H33" s="691" t="s">
        <v>1319</v>
      </c>
    </row>
    <row r="34" spans="1:8" ht="15.75" x14ac:dyDescent="0.25">
      <c r="A34" s="98" t="s">
        <v>124</v>
      </c>
      <c r="B34" s="98" t="s">
        <v>132</v>
      </c>
      <c r="C34" s="36" t="s">
        <v>151</v>
      </c>
      <c r="D34" s="41">
        <f>П4ВСР!Z219+П4ВСР!Z445</f>
        <v>78590210.489999995</v>
      </c>
      <c r="E34" s="41">
        <f>П4ВСР!AA219</f>
        <v>61145898.829999998</v>
      </c>
      <c r="F34" s="680">
        <f>П4ВСР!AB219</f>
        <v>61145898.829999998</v>
      </c>
      <c r="G34" s="685">
        <v>59426900</v>
      </c>
      <c r="H34" s="684" t="s">
        <v>1409</v>
      </c>
    </row>
    <row r="35" spans="1:8" ht="30" x14ac:dyDescent="0.25">
      <c r="A35" s="98" t="s">
        <v>124</v>
      </c>
      <c r="B35" s="98" t="s">
        <v>123</v>
      </c>
      <c r="C35" s="100" t="s">
        <v>152</v>
      </c>
      <c r="D35" s="41">
        <f>П4ВСР!Z226+П4ВСР!Z467+П4ВСР!Z490+П4ВСР!Z478+П4ВСР!Z494</f>
        <v>10372716.129999999</v>
      </c>
      <c r="E35" s="41">
        <f>П4ВСР!AA226</f>
        <v>450000</v>
      </c>
      <c r="F35" s="680">
        <f>П4ВСР!AB226</f>
        <v>450000</v>
      </c>
      <c r="G35" s="685">
        <v>1800000</v>
      </c>
      <c r="H35" s="686" t="s">
        <v>1318</v>
      </c>
    </row>
    <row r="36" spans="1:8" ht="31.5" hidden="1" x14ac:dyDescent="0.25">
      <c r="A36" s="98" t="s">
        <v>124</v>
      </c>
      <c r="B36" s="98" t="s">
        <v>124</v>
      </c>
      <c r="C36" s="36" t="s">
        <v>153</v>
      </c>
      <c r="D36" s="41"/>
      <c r="E36" s="102"/>
      <c r="F36" s="695"/>
      <c r="G36" s="683"/>
      <c r="H36" s="684"/>
    </row>
    <row r="37" spans="1:8" ht="15.75" hidden="1" x14ac:dyDescent="0.25">
      <c r="A37" s="97" t="s">
        <v>125</v>
      </c>
      <c r="B37" s="97" t="s">
        <v>133</v>
      </c>
      <c r="C37" s="44" t="s">
        <v>115</v>
      </c>
      <c r="D37" s="46">
        <f>D38</f>
        <v>0</v>
      </c>
      <c r="E37" s="46">
        <f>E38</f>
        <v>0</v>
      </c>
      <c r="F37" s="679">
        <f>F38</f>
        <v>0</v>
      </c>
      <c r="G37" s="683"/>
      <c r="H37" s="684"/>
    </row>
    <row r="38" spans="1:8" ht="30.75" customHeight="1" thickBot="1" x14ac:dyDescent="0.3">
      <c r="A38" s="98"/>
      <c r="B38" s="98"/>
      <c r="C38" s="100"/>
      <c r="D38" s="41"/>
      <c r="E38" s="102"/>
      <c r="F38" s="695"/>
      <c r="G38" s="692">
        <v>3802388</v>
      </c>
      <c r="H38" s="693" t="s">
        <v>1328</v>
      </c>
    </row>
    <row r="39" spans="1:8" ht="16.5" thickBot="1" x14ac:dyDescent="0.3">
      <c r="A39" s="97" t="s">
        <v>138</v>
      </c>
      <c r="B39" s="97" t="s">
        <v>133</v>
      </c>
      <c r="C39" s="44" t="s">
        <v>116</v>
      </c>
      <c r="D39" s="46">
        <f>D40+D41+D43+D44+D42</f>
        <v>491770800.21999997</v>
      </c>
      <c r="E39" s="46">
        <f>E40+E41+E43+E44+E42</f>
        <v>471885856.39999992</v>
      </c>
      <c r="F39" s="46">
        <f>F40+F41+F43+F44+F42</f>
        <v>495532900.21999997</v>
      </c>
    </row>
    <row r="40" spans="1:8" ht="75" x14ac:dyDescent="0.25">
      <c r="A40" s="98" t="s">
        <v>138</v>
      </c>
      <c r="B40" s="98" t="s">
        <v>122</v>
      </c>
      <c r="C40" s="36" t="s">
        <v>155</v>
      </c>
      <c r="D40" s="41">
        <f>П4ВСР!Z543</f>
        <v>130011129.13999999</v>
      </c>
      <c r="E40" s="41">
        <f>П4ВСР!AA543</f>
        <v>136187868.88999999</v>
      </c>
      <c r="F40" s="680">
        <f>П4ВСР!AB543</f>
        <v>148067405.03</v>
      </c>
      <c r="G40" s="690">
        <v>1800000</v>
      </c>
      <c r="H40" s="691" t="s">
        <v>1319</v>
      </c>
    </row>
    <row r="41" spans="1:8" ht="60" x14ac:dyDescent="0.25">
      <c r="A41" s="98" t="s">
        <v>138</v>
      </c>
      <c r="B41" s="98" t="s">
        <v>132</v>
      </c>
      <c r="C41" s="36" t="s">
        <v>156</v>
      </c>
      <c r="D41" s="41">
        <f>П4ВСР!Z250+П4ВСР!Z558+П4ВСР!Z672</f>
        <v>318597586.42000002</v>
      </c>
      <c r="E41" s="41">
        <f>П4ВСР!AA250+П4ВСР!AA558+П4ВСР!AA672</f>
        <v>297315831.83999997</v>
      </c>
      <c r="F41" s="680">
        <f>П4ВСР!AB250+П4ВСР!AB558+П4ВСР!AB672</f>
        <v>311275245.13999999</v>
      </c>
      <c r="G41" s="685">
        <v>162168705.18000001</v>
      </c>
      <c r="H41" s="686" t="s">
        <v>1324</v>
      </c>
    </row>
    <row r="42" spans="1:8" ht="15.75" x14ac:dyDescent="0.25">
      <c r="A42" s="98" t="s">
        <v>138</v>
      </c>
      <c r="B42" s="98" t="s">
        <v>123</v>
      </c>
      <c r="C42" s="245" t="s">
        <v>748</v>
      </c>
      <c r="D42" s="41">
        <f>П4ВСР!Z675</f>
        <v>9132871.4399999995</v>
      </c>
      <c r="E42" s="41">
        <f>П4ВСР!AA675</f>
        <v>8631387.4399999995</v>
      </c>
      <c r="F42" s="680">
        <f>П4ВСР!AB675</f>
        <v>8631387.4399999995</v>
      </c>
      <c r="G42" s="685">
        <v>226547300</v>
      </c>
      <c r="H42" s="684" t="s">
        <v>1412</v>
      </c>
    </row>
    <row r="43" spans="1:8" ht="30" x14ac:dyDescent="0.25">
      <c r="A43" s="98" t="s">
        <v>138</v>
      </c>
      <c r="B43" s="98" t="s">
        <v>138</v>
      </c>
      <c r="C43" s="36" t="s">
        <v>709</v>
      </c>
      <c r="D43" s="41">
        <f>П4ВСР!Z259+П4ВСР!Z595</f>
        <v>4562332.0200000005</v>
      </c>
      <c r="E43" s="41">
        <f>П4ВСР!AA259+П4ВСР!AA595</f>
        <v>4147332.27</v>
      </c>
      <c r="F43" s="680">
        <f>П4ВСР!AB259+П4ВСР!AB595</f>
        <v>3164643.14</v>
      </c>
      <c r="G43" s="685">
        <v>71668157.019999996</v>
      </c>
      <c r="H43" s="686" t="s">
        <v>1326</v>
      </c>
    </row>
    <row r="44" spans="1:8" ht="77.25" customHeight="1" x14ac:dyDescent="0.25">
      <c r="A44" s="98" t="s">
        <v>138</v>
      </c>
      <c r="B44" s="98" t="s">
        <v>127</v>
      </c>
      <c r="C44" s="36" t="s">
        <v>158</v>
      </c>
      <c r="D44" s="41">
        <f>П4ВСР!Z274+П4ВСР!Z606</f>
        <v>29466881.200000003</v>
      </c>
      <c r="E44" s="41">
        <f>П4ВСР!AA274+П4ВСР!AA606</f>
        <v>25603435.960000001</v>
      </c>
      <c r="F44" s="680">
        <f>П4ВСР!AB274+П4ВСР!AB606</f>
        <v>24394219.469999999</v>
      </c>
      <c r="G44" s="685">
        <v>333000</v>
      </c>
      <c r="H44" s="686" t="s">
        <v>1325</v>
      </c>
    </row>
    <row r="45" spans="1:8" ht="32.25" customHeight="1" x14ac:dyDescent="0.25">
      <c r="A45" s="98"/>
      <c r="B45" s="98"/>
      <c r="C45" s="36"/>
      <c r="D45" s="41"/>
      <c r="E45" s="41"/>
      <c r="F45" s="680"/>
      <c r="G45" s="685">
        <v>150000</v>
      </c>
      <c r="H45" s="686" t="s">
        <v>1327</v>
      </c>
    </row>
    <row r="46" spans="1:8" ht="32.25" customHeight="1" x14ac:dyDescent="0.25">
      <c r="A46" s="98"/>
      <c r="B46" s="98"/>
      <c r="C46" s="36"/>
      <c r="D46" s="41"/>
      <c r="E46" s="41"/>
      <c r="F46" s="680"/>
      <c r="G46" s="685">
        <v>526500</v>
      </c>
      <c r="H46" s="684" t="s">
        <v>1408</v>
      </c>
    </row>
    <row r="47" spans="1:8" ht="60.75" customHeight="1" thickBot="1" x14ac:dyDescent="0.3">
      <c r="A47" s="98"/>
      <c r="B47" s="98"/>
      <c r="C47" s="36"/>
      <c r="D47" s="41"/>
      <c r="E47" s="41"/>
      <c r="F47" s="680"/>
      <c r="G47" s="692">
        <v>50000</v>
      </c>
      <c r="H47" s="693" t="s">
        <v>1320</v>
      </c>
    </row>
    <row r="48" spans="1:8" ht="16.5" thickBot="1" x14ac:dyDescent="0.3">
      <c r="A48" s="97" t="s">
        <v>126</v>
      </c>
      <c r="B48" s="97" t="s">
        <v>133</v>
      </c>
      <c r="C48" s="44" t="s">
        <v>253</v>
      </c>
      <c r="D48" s="46">
        <f>D49</f>
        <v>32020195.499999996</v>
      </c>
      <c r="E48" s="46">
        <f>E49</f>
        <v>21165368.469999999</v>
      </c>
      <c r="F48" s="46">
        <f>F49</f>
        <v>21375468.469999999</v>
      </c>
    </row>
    <row r="49" spans="1:8" ht="27" customHeight="1" x14ac:dyDescent="0.25">
      <c r="A49" s="98" t="s">
        <v>126</v>
      </c>
      <c r="B49" s="98" t="s">
        <v>122</v>
      </c>
      <c r="C49" s="36" t="s">
        <v>159</v>
      </c>
      <c r="D49" s="41">
        <f>П4ВСР!Z278+П4ВСР!Z682+П4ВСР!Z518</f>
        <v>32020195.499999996</v>
      </c>
      <c r="E49" s="41">
        <f>П4ВСР!AA278+П4ВСР!AA682</f>
        <v>21165368.469999999</v>
      </c>
      <c r="F49" s="680">
        <f>П4ВСР!AB278+П4ВСР!AB682</f>
        <v>21375468.469999999</v>
      </c>
      <c r="G49" s="690">
        <v>22879620.469999999</v>
      </c>
      <c r="H49" s="691" t="s">
        <v>1317</v>
      </c>
    </row>
    <row r="50" spans="1:8" ht="0.75" hidden="1" customHeight="1" x14ac:dyDescent="0.25">
      <c r="A50" s="97" t="s">
        <v>127</v>
      </c>
      <c r="B50" s="97" t="s">
        <v>133</v>
      </c>
      <c r="C50" s="44" t="s">
        <v>117</v>
      </c>
      <c r="D50" s="46">
        <f>D52+D51</f>
        <v>0</v>
      </c>
      <c r="E50" s="46">
        <f>E52+E51</f>
        <v>0</v>
      </c>
      <c r="F50" s="679">
        <f>F52+F51</f>
        <v>0</v>
      </c>
      <c r="G50" s="683"/>
      <c r="H50" s="684"/>
    </row>
    <row r="51" spans="1:8" s="18" customFormat="1" ht="15.75" hidden="1" x14ac:dyDescent="0.25">
      <c r="A51" s="98" t="s">
        <v>127</v>
      </c>
      <c r="B51" s="98" t="s">
        <v>138</v>
      </c>
      <c r="C51" s="36" t="s">
        <v>160</v>
      </c>
      <c r="D51" s="41">
        <v>0</v>
      </c>
      <c r="E51" s="41">
        <v>0</v>
      </c>
      <c r="F51" s="680">
        <v>0</v>
      </c>
      <c r="G51" s="696"/>
      <c r="H51" s="697"/>
    </row>
    <row r="52" spans="1:8" ht="22.5" customHeight="1" thickBot="1" x14ac:dyDescent="0.3">
      <c r="A52" s="103"/>
      <c r="B52" s="103"/>
      <c r="C52" s="21"/>
      <c r="D52" s="41"/>
      <c r="E52" s="41"/>
      <c r="F52" s="680"/>
      <c r="G52" s="692">
        <v>400000</v>
      </c>
      <c r="H52" s="688" t="s">
        <v>1408</v>
      </c>
    </row>
    <row r="53" spans="1:8" ht="16.5" thickBot="1" x14ac:dyDescent="0.3">
      <c r="A53" s="104" t="s">
        <v>143</v>
      </c>
      <c r="B53" s="104" t="s">
        <v>133</v>
      </c>
      <c r="C53" s="105" t="s">
        <v>118</v>
      </c>
      <c r="D53" s="46">
        <f>D54+D55+D56+D57</f>
        <v>41499623.07</v>
      </c>
      <c r="E53" s="46">
        <f>E54+E55+E56+E57</f>
        <v>37083378.059999995</v>
      </c>
      <c r="F53" s="46">
        <f>F54+F55+F56+F57</f>
        <v>37674306.939999998</v>
      </c>
    </row>
    <row r="54" spans="1:8" ht="15.75" x14ac:dyDescent="0.25">
      <c r="A54" s="103" t="s">
        <v>143</v>
      </c>
      <c r="B54" s="103" t="s">
        <v>122</v>
      </c>
      <c r="C54" s="21" t="s">
        <v>162</v>
      </c>
      <c r="D54" s="41">
        <f>П4ВСР!Z302+П4ВСР!Z628</f>
        <v>2177967.38</v>
      </c>
      <c r="E54" s="41">
        <f>П4ВСР!AA302+П4ВСР!AA628</f>
        <v>2177967.38</v>
      </c>
      <c r="F54" s="680">
        <f>П4ВСР!AB302+П4ВСР!AB628</f>
        <v>2177967.38</v>
      </c>
      <c r="G54" s="690">
        <v>2177967.38</v>
      </c>
      <c r="H54" s="682" t="s">
        <v>1408</v>
      </c>
    </row>
    <row r="55" spans="1:8" ht="45" x14ac:dyDescent="0.25">
      <c r="A55" s="103" t="s">
        <v>143</v>
      </c>
      <c r="B55" s="103" t="s">
        <v>123</v>
      </c>
      <c r="C55" s="21" t="s">
        <v>163</v>
      </c>
      <c r="D55" s="41">
        <f>П4ВСР!Z307</f>
        <v>3734637.56</v>
      </c>
      <c r="E55" s="41">
        <f>П4ВСР!AA307</f>
        <v>350000</v>
      </c>
      <c r="F55" s="680">
        <f>П4ВСР!AB307</f>
        <v>350000</v>
      </c>
      <c r="G55" s="685">
        <v>50000</v>
      </c>
      <c r="H55" s="686" t="s">
        <v>1316</v>
      </c>
    </row>
    <row r="56" spans="1:8" ht="45" x14ac:dyDescent="0.25">
      <c r="A56" s="103" t="s">
        <v>143</v>
      </c>
      <c r="B56" s="103" t="s">
        <v>136</v>
      </c>
      <c r="C56" s="21" t="s">
        <v>164</v>
      </c>
      <c r="D56" s="41">
        <f>П4ВСР!Z323+П4ВСР!Z632</f>
        <v>33754697.710000001</v>
      </c>
      <c r="E56" s="41">
        <f>П4ВСР!AA323+П4ВСР!AA632</f>
        <v>32652727.699999999</v>
      </c>
      <c r="F56" s="680">
        <f>П4ВСР!AB323+П4ВСР!AB632</f>
        <v>33176027.699999999</v>
      </c>
      <c r="G56" s="685">
        <v>2355000</v>
      </c>
      <c r="H56" s="686" t="s">
        <v>1321</v>
      </c>
    </row>
    <row r="57" spans="1:8" ht="15.75" x14ac:dyDescent="0.25">
      <c r="A57" s="103" t="s">
        <v>143</v>
      </c>
      <c r="B57" s="103" t="s">
        <v>125</v>
      </c>
      <c r="C57" s="153" t="s">
        <v>756</v>
      </c>
      <c r="D57" s="41">
        <f>П4ВСР!Z649</f>
        <v>1832320.42</v>
      </c>
      <c r="E57" s="41">
        <f>П4ВСР!AA649</f>
        <v>1902682.98</v>
      </c>
      <c r="F57" s="680">
        <f>П4ВСР!AB649</f>
        <v>1970311.8600000003</v>
      </c>
      <c r="G57" s="685">
        <v>900000</v>
      </c>
      <c r="H57" s="684" t="s">
        <v>1408</v>
      </c>
    </row>
    <row r="58" spans="1:8" ht="16.5" thickBot="1" x14ac:dyDescent="0.3">
      <c r="A58" s="103"/>
      <c r="B58" s="103"/>
      <c r="C58" s="677"/>
      <c r="D58" s="41"/>
      <c r="E58" s="41"/>
      <c r="F58" s="680"/>
      <c r="G58" s="692">
        <v>34533500</v>
      </c>
      <c r="H58" s="688" t="s">
        <v>1409</v>
      </c>
    </row>
    <row r="59" spans="1:8" ht="16.5" thickBot="1" x14ac:dyDescent="0.3">
      <c r="A59" s="104" t="s">
        <v>128</v>
      </c>
      <c r="B59" s="104" t="s">
        <v>133</v>
      </c>
      <c r="C59" s="105" t="s">
        <v>165</v>
      </c>
      <c r="D59" s="46">
        <f>D60+D63</f>
        <v>2983328.44</v>
      </c>
      <c r="E59" s="46">
        <f>E60+E63</f>
        <v>250000</v>
      </c>
      <c r="F59" s="46">
        <f>F60+F63</f>
        <v>250000</v>
      </c>
    </row>
    <row r="60" spans="1:8" ht="30" x14ac:dyDescent="0.25">
      <c r="A60" s="103" t="s">
        <v>128</v>
      </c>
      <c r="B60" s="103" t="s">
        <v>122</v>
      </c>
      <c r="C60" s="21" t="s">
        <v>254</v>
      </c>
      <c r="D60" s="41">
        <f>П4ВСР!Z329</f>
        <v>1070000</v>
      </c>
      <c r="E60" s="41">
        <f>П4ВСР!AA329</f>
        <v>150000</v>
      </c>
      <c r="F60" s="680">
        <f>П4ВСР!AB329</f>
        <v>150000</v>
      </c>
      <c r="G60" s="690">
        <v>1970000</v>
      </c>
      <c r="H60" s="691" t="s">
        <v>1323</v>
      </c>
    </row>
    <row r="61" spans="1:8" ht="31.5" hidden="1" x14ac:dyDescent="0.25">
      <c r="A61" s="103" t="s">
        <v>128</v>
      </c>
      <c r="B61" s="103" t="s">
        <v>136</v>
      </c>
      <c r="C61" s="21" t="s">
        <v>167</v>
      </c>
      <c r="D61" s="41">
        <v>0</v>
      </c>
      <c r="E61" s="99">
        <v>0</v>
      </c>
      <c r="F61" s="698">
        <v>0</v>
      </c>
      <c r="G61" s="683"/>
      <c r="H61" s="684"/>
    </row>
    <row r="62" spans="1:8" ht="15.75" hidden="1" x14ac:dyDescent="0.25">
      <c r="A62" s="103" t="s">
        <v>128</v>
      </c>
      <c r="B62" s="103" t="s">
        <v>124</v>
      </c>
      <c r="C62" s="83" t="s">
        <v>168</v>
      </c>
      <c r="D62" s="41">
        <v>0</v>
      </c>
      <c r="E62" s="99">
        <v>0</v>
      </c>
      <c r="F62" s="698">
        <v>0</v>
      </c>
      <c r="G62" s="683"/>
      <c r="H62" s="684"/>
    </row>
    <row r="63" spans="1:8" ht="16.5" thickBot="1" x14ac:dyDescent="0.3">
      <c r="A63" s="103" t="s">
        <v>128</v>
      </c>
      <c r="B63" s="103" t="s">
        <v>132</v>
      </c>
      <c r="C63" s="83" t="s">
        <v>166</v>
      </c>
      <c r="D63" s="41">
        <f>П4ВСР!Z336</f>
        <v>1913328.44</v>
      </c>
      <c r="E63" s="41">
        <f>П4ВСР!AA336</f>
        <v>100000</v>
      </c>
      <c r="F63" s="680">
        <f>П4ВСР!AB336</f>
        <v>100000</v>
      </c>
      <c r="G63" s="687"/>
      <c r="H63" s="688"/>
    </row>
    <row r="64" spans="1:8" ht="31.5" hidden="1" x14ac:dyDescent="0.25">
      <c r="A64" s="104" t="s">
        <v>130</v>
      </c>
      <c r="B64" s="104" t="s">
        <v>133</v>
      </c>
      <c r="C64" s="106" t="s">
        <v>120</v>
      </c>
      <c r="D64" s="46">
        <f>D65</f>
        <v>0</v>
      </c>
      <c r="E64" s="46">
        <f>E65</f>
        <v>0</v>
      </c>
      <c r="F64" s="46">
        <f>F65</f>
        <v>0</v>
      </c>
    </row>
    <row r="65" spans="1:8" ht="31.5" hidden="1" x14ac:dyDescent="0.25">
      <c r="A65" s="103" t="s">
        <v>130</v>
      </c>
      <c r="B65" s="103" t="s">
        <v>122</v>
      </c>
      <c r="C65" s="83" t="s">
        <v>255</v>
      </c>
      <c r="D65" s="41">
        <v>0</v>
      </c>
      <c r="E65" s="41">
        <f>П4ВСР!AA360</f>
        <v>0</v>
      </c>
      <c r="F65" s="41">
        <f>П4ВСР!AB360</f>
        <v>0</v>
      </c>
    </row>
    <row r="66" spans="1:8" ht="32.25" thickBot="1" x14ac:dyDescent="0.3">
      <c r="A66" s="104" t="s">
        <v>131</v>
      </c>
      <c r="B66" s="104" t="s">
        <v>133</v>
      </c>
      <c r="C66" s="106" t="s">
        <v>1338</v>
      </c>
      <c r="D66" s="46">
        <f>D67</f>
        <v>21804570.870000001</v>
      </c>
      <c r="E66" s="46">
        <f>E67</f>
        <v>22408600</v>
      </c>
      <c r="F66" s="46">
        <f>F67</f>
        <v>22427900</v>
      </c>
    </row>
    <row r="67" spans="1:8" ht="60.75" thickBot="1" x14ac:dyDescent="0.3">
      <c r="A67" s="103" t="s">
        <v>131</v>
      </c>
      <c r="B67" s="103" t="s">
        <v>122</v>
      </c>
      <c r="C67" s="83" t="s">
        <v>169</v>
      </c>
      <c r="D67" s="41">
        <f>П4ВСР!Z536</f>
        <v>21804570.870000001</v>
      </c>
      <c r="E67" s="41">
        <f>П4ВСР!AA536</f>
        <v>22408600</v>
      </c>
      <c r="F67" s="680">
        <f>П4ВСР!AB536</f>
        <v>22427900</v>
      </c>
      <c r="G67" s="699">
        <v>22378300</v>
      </c>
      <c r="H67" s="700" t="s">
        <v>1324</v>
      </c>
    </row>
    <row r="68" spans="1:8" s="107" customFormat="1" ht="15.75" x14ac:dyDescent="0.25">
      <c r="A68" s="104" t="s">
        <v>133</v>
      </c>
      <c r="B68" s="104" t="s">
        <v>133</v>
      </c>
      <c r="C68" s="106" t="s">
        <v>1361</v>
      </c>
      <c r="D68" s="46">
        <f>[1]П_6!I198</f>
        <v>0</v>
      </c>
      <c r="E68" s="46">
        <f>П4ВСР!AA344</f>
        <v>4420012.5</v>
      </c>
      <c r="F68" s="46">
        <f>П4ВСР!AB344</f>
        <v>9094467.7599999998</v>
      </c>
    </row>
    <row r="69" spans="1:8" ht="18.75" customHeight="1" x14ac:dyDescent="0.25">
      <c r="A69" s="104" t="s">
        <v>170</v>
      </c>
      <c r="B69" s="104" t="s">
        <v>133</v>
      </c>
      <c r="C69" s="105" t="s">
        <v>171</v>
      </c>
      <c r="D69" s="46">
        <f>D11+D20+D25+D32+D39+D48+D50+D53+D59+D37+D64+D66</f>
        <v>885713814.19000006</v>
      </c>
      <c r="E69" s="46">
        <f>E11+E20+E25+E32+E39+E48+E50+E53+E59+E37+E64+E66+E68</f>
        <v>758786382.11999989</v>
      </c>
      <c r="F69" s="46">
        <f>F11+F20+F25+F32+F39+F48+F50+F53+F59+F37+F64+F66+F68</f>
        <v>782970362.54999995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74803149606299213" header="0.31496062992125984" footer="0.31496062992125984"/>
  <pageSetup paperSize="9" scale="75"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workbookViewId="0">
      <selection activeCell="C5" sqref="C5"/>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2" customFormat="1" ht="15.75" x14ac:dyDescent="0.25">
      <c r="A1" s="1"/>
      <c r="B1" s="1"/>
      <c r="C1" s="1010" t="s">
        <v>1434</v>
      </c>
      <c r="D1" s="1010"/>
      <c r="E1" s="1010"/>
      <c r="F1" s="1010"/>
    </row>
    <row r="2" spans="1:6" s="92" customFormat="1" ht="15.75" customHeight="1" x14ac:dyDescent="0.25">
      <c r="A2" s="1"/>
      <c r="B2" s="1"/>
      <c r="C2" s="1010" t="s">
        <v>244</v>
      </c>
      <c r="D2" s="1010"/>
      <c r="E2" s="1010"/>
      <c r="F2" s="1010"/>
    </row>
    <row r="3" spans="1:6" s="92" customFormat="1" ht="15.75" x14ac:dyDescent="0.25">
      <c r="A3" s="1"/>
      <c r="B3" s="1"/>
      <c r="C3" s="1010" t="s">
        <v>245</v>
      </c>
      <c r="D3" s="1010"/>
      <c r="E3" s="1010"/>
      <c r="F3" s="1010"/>
    </row>
    <row r="4" spans="1:6" s="92" customFormat="1" ht="15.75" x14ac:dyDescent="0.25">
      <c r="A4" s="1"/>
      <c r="B4" s="1"/>
      <c r="C4" s="1010" t="s">
        <v>1541</v>
      </c>
      <c r="D4" s="1010"/>
      <c r="E4" s="1010"/>
      <c r="F4" s="1010"/>
    </row>
    <row r="5" spans="1:6" s="92" customFormat="1" ht="15" customHeight="1" x14ac:dyDescent="0.25">
      <c r="A5" s="1"/>
      <c r="B5" s="1"/>
      <c r="C5" s="94"/>
      <c r="D5" s="34"/>
    </row>
    <row r="6" spans="1:6" ht="15.75" hidden="1" x14ac:dyDescent="0.25">
      <c r="A6" s="1"/>
      <c r="B6" s="1"/>
      <c r="C6" s="94"/>
      <c r="D6" s="34"/>
    </row>
    <row r="7" spans="1:6" ht="40.5" customHeight="1" x14ac:dyDescent="0.25">
      <c r="A7" s="915" t="s">
        <v>1106</v>
      </c>
      <c r="B7" s="915"/>
      <c r="C7" s="915"/>
      <c r="D7" s="915"/>
      <c r="E7" s="915"/>
      <c r="F7" s="915"/>
    </row>
    <row r="8" spans="1:6" ht="15.75" x14ac:dyDescent="0.25">
      <c r="A8" s="1"/>
      <c r="B8" s="1"/>
      <c r="C8" s="25"/>
      <c r="F8" s="34" t="s">
        <v>187</v>
      </c>
    </row>
    <row r="9" spans="1:6" ht="15.75" x14ac:dyDescent="0.25">
      <c r="A9" s="916" t="s">
        <v>134</v>
      </c>
      <c r="B9" s="916" t="s">
        <v>135</v>
      </c>
      <c r="C9" s="918" t="s">
        <v>1</v>
      </c>
      <c r="D9" s="920" t="s">
        <v>246</v>
      </c>
      <c r="E9" s="921"/>
      <c r="F9" s="922"/>
    </row>
    <row r="10" spans="1:6" ht="16.5" x14ac:dyDescent="0.3">
      <c r="A10" s="917"/>
      <c r="B10" s="917"/>
      <c r="C10" s="919"/>
      <c r="D10" s="62">
        <v>2019</v>
      </c>
      <c r="E10" s="96">
        <v>2020</v>
      </c>
      <c r="F10" s="96">
        <v>2021</v>
      </c>
    </row>
    <row r="11" spans="1:6" ht="15.75" x14ac:dyDescent="0.25">
      <c r="A11" s="97" t="s">
        <v>122</v>
      </c>
      <c r="B11" s="97" t="s">
        <v>133</v>
      </c>
      <c r="C11" s="44" t="s">
        <v>111</v>
      </c>
      <c r="D11" s="46">
        <f>D12+D13+D14+D16+D18+D19+D15+D17</f>
        <v>134234719.09</v>
      </c>
      <c r="E11" s="46">
        <f>E12+E13+E14+E16+E18+E19+E15+E17</f>
        <v>99198129.629999995</v>
      </c>
      <c r="F11" s="46">
        <f>F12+F13+F14+F16+F18+F19+F15+F17</f>
        <v>99113714.700000003</v>
      </c>
    </row>
    <row r="12" spans="1:6" ht="31.5" x14ac:dyDescent="0.25">
      <c r="A12" s="98" t="s">
        <v>122</v>
      </c>
      <c r="B12" s="98" t="s">
        <v>132</v>
      </c>
      <c r="C12" s="36" t="s">
        <v>247</v>
      </c>
      <c r="D12" s="41">
        <f>П4ВСР!Z13</f>
        <v>2316632.7599999998</v>
      </c>
      <c r="E12" s="41">
        <f>П4ВСР!AA13</f>
        <v>1554484</v>
      </c>
      <c r="F12" s="41">
        <f>П4ВСР!AB13</f>
        <v>1554484</v>
      </c>
    </row>
    <row r="13" spans="1:6" ht="47.25" x14ac:dyDescent="0.25">
      <c r="A13" s="98" t="s">
        <v>122</v>
      </c>
      <c r="B13" s="98" t="s">
        <v>123</v>
      </c>
      <c r="C13" s="36" t="s">
        <v>248</v>
      </c>
      <c r="D13" s="41">
        <f>П4ВСР!Z16</f>
        <v>3605818.53</v>
      </c>
      <c r="E13" s="41">
        <f>П4ВСР!AA16</f>
        <v>2993545.12</v>
      </c>
      <c r="F13" s="41">
        <f>П4ВСР!AB16</f>
        <v>2993545.12</v>
      </c>
    </row>
    <row r="14" spans="1:6" ht="62.25" customHeight="1" x14ac:dyDescent="0.25">
      <c r="A14" s="98" t="s">
        <v>122</v>
      </c>
      <c r="B14" s="98" t="s">
        <v>136</v>
      </c>
      <c r="C14" s="36" t="s">
        <v>249</v>
      </c>
      <c r="D14" s="41">
        <f>П4ВСР!Z23</f>
        <v>29492830.620000005</v>
      </c>
      <c r="E14" s="41">
        <f>П4ВСР!AA23</f>
        <v>30947252.790000003</v>
      </c>
      <c r="F14" s="41">
        <f>П4ВСР!AB23</f>
        <v>30947252.790000003</v>
      </c>
    </row>
    <row r="15" spans="1:6" ht="22.5" customHeight="1" x14ac:dyDescent="0.25">
      <c r="A15" s="98" t="s">
        <v>122</v>
      </c>
      <c r="B15" s="98" t="s">
        <v>124</v>
      </c>
      <c r="C15" s="21" t="s">
        <v>137</v>
      </c>
      <c r="D15" s="41">
        <f>П4ВСР!Z36</f>
        <v>27892</v>
      </c>
      <c r="E15" s="41">
        <f>П4ВСР!AA36</f>
        <v>29405</v>
      </c>
      <c r="F15" s="41">
        <f>П4ВСР!AB36</f>
        <v>31153</v>
      </c>
    </row>
    <row r="16" spans="1:6" ht="46.5" customHeight="1" x14ac:dyDescent="0.25">
      <c r="A16" s="98" t="s">
        <v>122</v>
      </c>
      <c r="B16" s="98" t="s">
        <v>125</v>
      </c>
      <c r="C16" s="36" t="s">
        <v>250</v>
      </c>
      <c r="D16" s="41">
        <f>П4ВСР!Z39+П4ВСР!Z348</f>
        <v>14313577.32</v>
      </c>
      <c r="E16" s="41">
        <f>П4ВСР!AA39+П4ВСР!AA348</f>
        <v>12727969.449999999</v>
      </c>
      <c r="F16" s="41">
        <f>П4ВСР!AB39+П4ВСР!AB348</f>
        <v>12728207.449999999</v>
      </c>
    </row>
    <row r="17" spans="1:6" ht="15.75" x14ac:dyDescent="0.25">
      <c r="A17" s="98" t="s">
        <v>122</v>
      </c>
      <c r="B17" s="98" t="s">
        <v>138</v>
      </c>
      <c r="C17" s="36" t="s">
        <v>139</v>
      </c>
      <c r="D17" s="41">
        <f>П4ВСР!Z44</f>
        <v>2646000</v>
      </c>
      <c r="E17" s="41">
        <f>П4ВСР!AA43</f>
        <v>0</v>
      </c>
      <c r="F17" s="41">
        <f>П4ВСР!AB43</f>
        <v>0</v>
      </c>
    </row>
    <row r="18" spans="1:6" ht="15.75" x14ac:dyDescent="0.25">
      <c r="A18" s="98" t="s">
        <v>122</v>
      </c>
      <c r="B18" s="98" t="s">
        <v>128</v>
      </c>
      <c r="C18" s="36" t="s">
        <v>140</v>
      </c>
      <c r="D18" s="41">
        <f>П4ВСР!Z45</f>
        <v>351931</v>
      </c>
      <c r="E18" s="41">
        <f>П4ВСР!AA45</f>
        <v>351931</v>
      </c>
      <c r="F18" s="41">
        <f>П4ВСР!AB45</f>
        <v>351931</v>
      </c>
    </row>
    <row r="19" spans="1:6" ht="15.75" x14ac:dyDescent="0.25">
      <c r="A19" s="98" t="s">
        <v>122</v>
      </c>
      <c r="B19" s="98" t="s">
        <v>130</v>
      </c>
      <c r="C19" s="36" t="s">
        <v>141</v>
      </c>
      <c r="D19" s="41">
        <f>П4ВСР!Z48+П4ВСР!Z655+П4ВСР!Z362+П4ВСР!Z372+П4ВСР!Z377+П4ВСР!Z385+П4ВСР!Z381+П4ВСР!Z364+П4ВСР!Z368</f>
        <v>81480036.859999999</v>
      </c>
      <c r="E19" s="41">
        <f>П4ВСР!AA48+П4ВСР!AA655</f>
        <v>50593542.270000003</v>
      </c>
      <c r="F19" s="41">
        <f>П4ВСР!AB48+П4ВСР!AB655</f>
        <v>50507141.340000004</v>
      </c>
    </row>
    <row r="20" spans="1:6" ht="31.5" x14ac:dyDescent="0.25">
      <c r="A20" s="97" t="s">
        <v>123</v>
      </c>
      <c r="B20" s="97" t="s">
        <v>133</v>
      </c>
      <c r="C20" s="44" t="s">
        <v>112</v>
      </c>
      <c r="D20" s="46">
        <f>D22+D23</f>
        <v>4746686.13</v>
      </c>
      <c r="E20" s="46">
        <f>E22+E23</f>
        <v>4570036.13</v>
      </c>
      <c r="F20" s="46">
        <f>F22+F23</f>
        <v>3514339.99</v>
      </c>
    </row>
    <row r="21" spans="1:6" ht="15.75" hidden="1" x14ac:dyDescent="0.25">
      <c r="A21" s="98" t="s">
        <v>123</v>
      </c>
      <c r="B21" s="98" t="s">
        <v>132</v>
      </c>
      <c r="C21" s="36" t="s">
        <v>142</v>
      </c>
      <c r="D21" s="41">
        <v>0</v>
      </c>
      <c r="E21" s="41">
        <v>0</v>
      </c>
      <c r="F21" s="41">
        <v>0</v>
      </c>
    </row>
    <row r="22" spans="1:6" ht="34.5" customHeight="1" x14ac:dyDescent="0.25">
      <c r="A22" s="98" t="s">
        <v>123</v>
      </c>
      <c r="B22" s="98" t="s">
        <v>127</v>
      </c>
      <c r="C22" s="36" t="s">
        <v>251</v>
      </c>
      <c r="D22" s="41">
        <f>П4ВСР!Z91+П4ВСР!Z666+П4ВСР!Z393</f>
        <v>4746686.13</v>
      </c>
      <c r="E22" s="41">
        <f>П4ВСР!AA91+П4ВСР!AA666</f>
        <v>4570036.13</v>
      </c>
      <c r="F22" s="41">
        <f>П4ВСР!AB91+П4ВСР!AB666</f>
        <v>3514339.99</v>
      </c>
    </row>
    <row r="23" spans="1:6" ht="22.5" customHeight="1" x14ac:dyDescent="0.25">
      <c r="A23" s="98" t="s">
        <v>123</v>
      </c>
      <c r="B23" s="98" t="s">
        <v>143</v>
      </c>
      <c r="C23" s="36" t="s">
        <v>144</v>
      </c>
      <c r="D23" s="41">
        <f>П4ВСР!Z102</f>
        <v>0</v>
      </c>
      <c r="E23" s="84">
        <f>П4ВСР!AA102</f>
        <v>0</v>
      </c>
      <c r="F23" s="84">
        <f>П4ВСР!AB102</f>
        <v>0</v>
      </c>
    </row>
    <row r="24" spans="1:6" ht="0.75" hidden="1" customHeight="1" x14ac:dyDescent="0.25">
      <c r="A24" s="98" t="s">
        <v>123</v>
      </c>
      <c r="B24" s="98" t="s">
        <v>131</v>
      </c>
      <c r="C24" s="36" t="s">
        <v>145</v>
      </c>
      <c r="D24" s="41">
        <v>0</v>
      </c>
      <c r="E24" s="99">
        <v>0</v>
      </c>
      <c r="F24" s="99">
        <v>0</v>
      </c>
    </row>
    <row r="25" spans="1:6" ht="15.75" x14ac:dyDescent="0.25">
      <c r="A25" s="97" t="s">
        <v>136</v>
      </c>
      <c r="B25" s="97" t="s">
        <v>133</v>
      </c>
      <c r="C25" s="44" t="s">
        <v>113</v>
      </c>
      <c r="D25" s="46">
        <f>D26+D27+D28+D29+D30+D31</f>
        <v>53861175.660000004</v>
      </c>
      <c r="E25" s="46">
        <f>E26+E27+E28+E29+E30+E31</f>
        <v>26209102.100000001</v>
      </c>
      <c r="F25" s="46">
        <f>F26+F27+F28+F29+F30+F31</f>
        <v>22391365.640000001</v>
      </c>
    </row>
    <row r="26" spans="1:6" ht="15.75" hidden="1" x14ac:dyDescent="0.25">
      <c r="A26" s="98" t="s">
        <v>136</v>
      </c>
      <c r="B26" s="98" t="s">
        <v>122</v>
      </c>
      <c r="C26" s="36" t="s">
        <v>146</v>
      </c>
      <c r="D26" s="41">
        <v>0</v>
      </c>
      <c r="E26" s="41">
        <v>0</v>
      </c>
      <c r="F26" s="41">
        <v>0</v>
      </c>
    </row>
    <row r="27" spans="1:6" ht="15" customHeight="1" x14ac:dyDescent="0.25">
      <c r="A27" s="98" t="s">
        <v>136</v>
      </c>
      <c r="B27" s="98" t="s">
        <v>124</v>
      </c>
      <c r="C27" s="36" t="s">
        <v>147</v>
      </c>
      <c r="D27" s="41">
        <f>П4ВСР!Z106</f>
        <v>465321.43</v>
      </c>
      <c r="E27" s="41">
        <f>П4ВСР!AA106</f>
        <v>247321.43</v>
      </c>
      <c r="F27" s="41">
        <f>П4ВСР!AB106</f>
        <v>247321.43</v>
      </c>
    </row>
    <row r="28" spans="1:6" ht="17.25" customHeight="1" x14ac:dyDescent="0.25">
      <c r="A28" s="98" t="s">
        <v>136</v>
      </c>
      <c r="B28" s="98" t="s">
        <v>125</v>
      </c>
      <c r="C28" s="100" t="s">
        <v>252</v>
      </c>
      <c r="D28" s="41">
        <f>П4ВСР!Z412</f>
        <v>72000</v>
      </c>
      <c r="E28" s="41">
        <f>П4ВСР!AA137</f>
        <v>0</v>
      </c>
      <c r="F28" s="41">
        <f>П4ВСР!AB137</f>
        <v>0</v>
      </c>
    </row>
    <row r="29" spans="1:6" ht="15.75" x14ac:dyDescent="0.25">
      <c r="A29" s="98" t="s">
        <v>136</v>
      </c>
      <c r="B29" s="98" t="s">
        <v>126</v>
      </c>
      <c r="C29" s="36" t="s">
        <v>148</v>
      </c>
      <c r="D29" s="41">
        <f>П4ВСР!Z144</f>
        <v>664000</v>
      </c>
      <c r="E29" s="41">
        <f>П4ВСР!AA144</f>
        <v>0</v>
      </c>
      <c r="F29" s="41">
        <f>П4ВСР!AB144</f>
        <v>0</v>
      </c>
    </row>
    <row r="30" spans="1:6" ht="15.75" x14ac:dyDescent="0.25">
      <c r="A30" s="98" t="s">
        <v>136</v>
      </c>
      <c r="B30" s="98" t="s">
        <v>127</v>
      </c>
      <c r="C30" s="36" t="s">
        <v>1337</v>
      </c>
      <c r="D30" s="41">
        <f>П4ВСР!Z169+П4ВСР!Z399+П4ВСР!Z417</f>
        <v>51649854.230000004</v>
      </c>
      <c r="E30" s="41">
        <f>П4ВСР!AA169</f>
        <v>25761780.670000002</v>
      </c>
      <c r="F30" s="41">
        <f>П4ВСР!AB169</f>
        <v>21944044.210000001</v>
      </c>
    </row>
    <row r="31" spans="1:6" ht="15.75" x14ac:dyDescent="0.25">
      <c r="A31" s="98" t="s">
        <v>136</v>
      </c>
      <c r="B31" s="98" t="s">
        <v>129</v>
      </c>
      <c r="C31" s="36" t="s">
        <v>149</v>
      </c>
      <c r="D31" s="41">
        <f>П4ВСР!Z182+П4ВСР!Z406</f>
        <v>1010000</v>
      </c>
      <c r="E31" s="41">
        <f>П4ВСР!AA182</f>
        <v>200000</v>
      </c>
      <c r="F31" s="41">
        <f>П4ВСР!AB182</f>
        <v>200000</v>
      </c>
    </row>
    <row r="32" spans="1:6" ht="15.75" x14ac:dyDescent="0.25">
      <c r="A32" s="97" t="s">
        <v>124</v>
      </c>
      <c r="B32" s="97" t="s">
        <v>133</v>
      </c>
      <c r="C32" s="44" t="s">
        <v>114</v>
      </c>
      <c r="D32" s="101">
        <f>D33+D34+D35+D36</f>
        <v>128618538.46000001</v>
      </c>
      <c r="E32" s="101">
        <f>E33+E34+E35+E36</f>
        <v>71595898.829999998</v>
      </c>
      <c r="F32" s="101">
        <f>F33+F34+F35+F36</f>
        <v>71595898.829999998</v>
      </c>
    </row>
    <row r="33" spans="1:6" ht="15.75" x14ac:dyDescent="0.25">
      <c r="A33" s="98" t="s">
        <v>124</v>
      </c>
      <c r="B33" s="98" t="s">
        <v>122</v>
      </c>
      <c r="C33" s="36" t="s">
        <v>150</v>
      </c>
      <c r="D33" s="41">
        <f>П4ВСР!Z204+П4ВСР!Z426+П4ВСР!Z435</f>
        <v>33992260.100000001</v>
      </c>
      <c r="E33" s="41">
        <f>П4ВСР!AA204</f>
        <v>10000000</v>
      </c>
      <c r="F33" s="41">
        <f>П4ВСР!AB204</f>
        <v>10000000</v>
      </c>
    </row>
    <row r="34" spans="1:6" ht="15.75" x14ac:dyDescent="0.25">
      <c r="A34" s="98" t="s">
        <v>124</v>
      </c>
      <c r="B34" s="98" t="s">
        <v>132</v>
      </c>
      <c r="C34" s="36" t="s">
        <v>151</v>
      </c>
      <c r="D34" s="41">
        <f>П4ВСР!Z219+П4ВСР!Z445</f>
        <v>78590210.489999995</v>
      </c>
      <c r="E34" s="41">
        <f>П4ВСР!AA219</f>
        <v>61145898.829999998</v>
      </c>
      <c r="F34" s="41">
        <f>П4ВСР!AB219</f>
        <v>61145898.829999998</v>
      </c>
    </row>
    <row r="35" spans="1:6" ht="15.75" x14ac:dyDescent="0.25">
      <c r="A35" s="98" t="s">
        <v>124</v>
      </c>
      <c r="B35" s="98" t="s">
        <v>123</v>
      </c>
      <c r="C35" s="100" t="s">
        <v>152</v>
      </c>
      <c r="D35" s="41">
        <f>П4ВСР!Z226+П4ВСР!Z467+П4ВСР!Z490+П4ВСР!Z478+П4ВСР!Z494+П4ВСР!Z509+П4ВСР!Z499+П4ВСР!Z505</f>
        <v>16036067.869999999</v>
      </c>
      <c r="E35" s="41">
        <f>П4ВСР!AA226</f>
        <v>450000</v>
      </c>
      <c r="F35" s="41">
        <f>П4ВСР!AB226</f>
        <v>450000</v>
      </c>
    </row>
    <row r="36" spans="1:6" ht="31.5" hidden="1" x14ac:dyDescent="0.25">
      <c r="A36" s="98" t="s">
        <v>124</v>
      </c>
      <c r="B36" s="98" t="s">
        <v>124</v>
      </c>
      <c r="C36" s="36" t="s">
        <v>153</v>
      </c>
      <c r="D36" s="41"/>
      <c r="E36" s="102"/>
      <c r="F36" s="102"/>
    </row>
    <row r="37" spans="1:6" ht="15.75" hidden="1" x14ac:dyDescent="0.25">
      <c r="A37" s="97" t="s">
        <v>125</v>
      </c>
      <c r="B37" s="97" t="s">
        <v>133</v>
      </c>
      <c r="C37" s="44" t="s">
        <v>115</v>
      </c>
      <c r="D37" s="46">
        <f>D38</f>
        <v>0</v>
      </c>
      <c r="E37" s="46">
        <f>E38</f>
        <v>0</v>
      </c>
      <c r="F37" s="46">
        <f>F38</f>
        <v>0</v>
      </c>
    </row>
    <row r="38" spans="1:6" ht="15.75" hidden="1" x14ac:dyDescent="0.25">
      <c r="A38" s="98" t="s">
        <v>125</v>
      </c>
      <c r="B38" s="98" t="s">
        <v>132</v>
      </c>
      <c r="C38" s="100" t="s">
        <v>154</v>
      </c>
      <c r="D38" s="41"/>
      <c r="E38" s="102"/>
      <c r="F38" s="102"/>
    </row>
    <row r="39" spans="1:6" ht="15.75" x14ac:dyDescent="0.25">
      <c r="A39" s="97" t="s">
        <v>138</v>
      </c>
      <c r="B39" s="97" t="s">
        <v>133</v>
      </c>
      <c r="C39" s="44" t="s">
        <v>116</v>
      </c>
      <c r="D39" s="46">
        <f>D40+D41+D43+D44+D42</f>
        <v>491770800.21999997</v>
      </c>
      <c r="E39" s="46">
        <f>E40+E41+E43+E44+E42</f>
        <v>471885856.39999992</v>
      </c>
      <c r="F39" s="46">
        <f>F40+F41+F43+F44+F42</f>
        <v>495532900.21999997</v>
      </c>
    </row>
    <row r="40" spans="1:6" ht="15.75" x14ac:dyDescent="0.25">
      <c r="A40" s="98" t="s">
        <v>138</v>
      </c>
      <c r="B40" s="98" t="s">
        <v>122</v>
      </c>
      <c r="C40" s="36" t="s">
        <v>155</v>
      </c>
      <c r="D40" s="41">
        <f>П4ВСР!Z543</f>
        <v>130011129.13999999</v>
      </c>
      <c r="E40" s="41">
        <f>П4ВСР!AA543</f>
        <v>136187868.88999999</v>
      </c>
      <c r="F40" s="41">
        <f>П4ВСР!AB543</f>
        <v>148067405.03</v>
      </c>
    </row>
    <row r="41" spans="1:6" ht="15.75" x14ac:dyDescent="0.25">
      <c r="A41" s="98" t="s">
        <v>138</v>
      </c>
      <c r="B41" s="98" t="s">
        <v>132</v>
      </c>
      <c r="C41" s="36" t="s">
        <v>156</v>
      </c>
      <c r="D41" s="41">
        <f>П4ВСР!Z250+П4ВСР!Z558+П4ВСР!Z672</f>
        <v>318597586.42000002</v>
      </c>
      <c r="E41" s="41">
        <f>П4ВСР!AA250+П4ВСР!AA558+П4ВСР!AA672</f>
        <v>297315831.83999997</v>
      </c>
      <c r="F41" s="41">
        <f>П4ВСР!AB250+П4ВСР!AB558+П4ВСР!AB672</f>
        <v>311275245.13999999</v>
      </c>
    </row>
    <row r="42" spans="1:6" ht="15.75" x14ac:dyDescent="0.25">
      <c r="A42" s="98" t="s">
        <v>138</v>
      </c>
      <c r="B42" s="98" t="s">
        <v>123</v>
      </c>
      <c r="C42" s="245" t="s">
        <v>748</v>
      </c>
      <c r="D42" s="41">
        <f>П4ВСР!Z675</f>
        <v>9132871.4399999995</v>
      </c>
      <c r="E42" s="41">
        <f>П4ВСР!AA675</f>
        <v>8631387.4399999995</v>
      </c>
      <c r="F42" s="41">
        <f>П4ВСР!AB675</f>
        <v>8631387.4399999995</v>
      </c>
    </row>
    <row r="43" spans="1:6" ht="15.75" x14ac:dyDescent="0.25">
      <c r="A43" s="98" t="s">
        <v>138</v>
      </c>
      <c r="B43" s="98" t="s">
        <v>138</v>
      </c>
      <c r="C43" s="36" t="s">
        <v>709</v>
      </c>
      <c r="D43" s="41">
        <f>П4ВСР!Z259+П4ВСР!Z595</f>
        <v>4562332.0200000005</v>
      </c>
      <c r="E43" s="41">
        <f>П4ВСР!AA259+П4ВСР!AA595</f>
        <v>4147332.27</v>
      </c>
      <c r="F43" s="41">
        <f>П4ВСР!AB259+П4ВСР!AB595</f>
        <v>3164643.14</v>
      </c>
    </row>
    <row r="44" spans="1:6" ht="15.75" x14ac:dyDescent="0.25">
      <c r="A44" s="98" t="s">
        <v>138</v>
      </c>
      <c r="B44" s="98" t="s">
        <v>127</v>
      </c>
      <c r="C44" s="36" t="s">
        <v>158</v>
      </c>
      <c r="D44" s="41">
        <f>П4ВСР!Z274+П4ВСР!Z606</f>
        <v>29466881.200000003</v>
      </c>
      <c r="E44" s="41">
        <f>П4ВСР!AA274+П4ВСР!AA606</f>
        <v>25603435.960000001</v>
      </c>
      <c r="F44" s="41">
        <f>П4ВСР!AB274+П4ВСР!AB606</f>
        <v>24394219.469999999</v>
      </c>
    </row>
    <row r="45" spans="1:6" ht="15.75" x14ac:dyDescent="0.25">
      <c r="A45" s="97" t="s">
        <v>126</v>
      </c>
      <c r="B45" s="97" t="s">
        <v>133</v>
      </c>
      <c r="C45" s="44" t="s">
        <v>253</v>
      </c>
      <c r="D45" s="46">
        <f>D46</f>
        <v>32020195.499999996</v>
      </c>
      <c r="E45" s="46">
        <f>E46</f>
        <v>21165368.469999999</v>
      </c>
      <c r="F45" s="46">
        <f>F46</f>
        <v>21375468.469999999</v>
      </c>
    </row>
    <row r="46" spans="1:6" ht="15" customHeight="1" x14ac:dyDescent="0.25">
      <c r="A46" s="98" t="s">
        <v>126</v>
      </c>
      <c r="B46" s="98" t="s">
        <v>122</v>
      </c>
      <c r="C46" s="36" t="s">
        <v>159</v>
      </c>
      <c r="D46" s="41">
        <f>П4ВСР!Z278+П4ВСР!Z682+П4ВСР!Z518</f>
        <v>32020195.499999996</v>
      </c>
      <c r="E46" s="41">
        <f>П4ВСР!AA278+П4ВСР!AA682</f>
        <v>21165368.469999999</v>
      </c>
      <c r="F46" s="41">
        <f>П4ВСР!AB278+П4ВСР!AB682</f>
        <v>21375468.469999999</v>
      </c>
    </row>
    <row r="47" spans="1:6" ht="0.75" hidden="1" customHeight="1" x14ac:dyDescent="0.25">
      <c r="A47" s="97" t="s">
        <v>127</v>
      </c>
      <c r="B47" s="97" t="s">
        <v>133</v>
      </c>
      <c r="C47" s="44" t="s">
        <v>117</v>
      </c>
      <c r="D47" s="46">
        <f>D49+D48</f>
        <v>0</v>
      </c>
      <c r="E47" s="46">
        <f>E49+E48</f>
        <v>0</v>
      </c>
      <c r="F47" s="46">
        <f>F49+F48</f>
        <v>0</v>
      </c>
    </row>
    <row r="48" spans="1:6" s="18" customFormat="1" ht="15.75" hidden="1" x14ac:dyDescent="0.25">
      <c r="A48" s="98" t="s">
        <v>127</v>
      </c>
      <c r="B48" s="98" t="s">
        <v>138</v>
      </c>
      <c r="C48" s="36" t="s">
        <v>160</v>
      </c>
      <c r="D48" s="41">
        <v>0</v>
      </c>
      <c r="E48" s="41">
        <v>0</v>
      </c>
      <c r="F48" s="41">
        <v>0</v>
      </c>
    </row>
    <row r="49" spans="1:6" ht="15.75" hidden="1" x14ac:dyDescent="0.25">
      <c r="A49" s="103" t="s">
        <v>127</v>
      </c>
      <c r="B49" s="103" t="s">
        <v>127</v>
      </c>
      <c r="C49" s="21" t="s">
        <v>161</v>
      </c>
      <c r="D49" s="41">
        <f>П4ВСР!Z297</f>
        <v>0</v>
      </c>
      <c r="E49" s="41">
        <f>П4ВСР!AA297</f>
        <v>0</v>
      </c>
      <c r="F49" s="41">
        <f>П4ВСР!AB297</f>
        <v>0</v>
      </c>
    </row>
    <row r="50" spans="1:6" ht="15.75" x14ac:dyDescent="0.25">
      <c r="A50" s="104" t="s">
        <v>143</v>
      </c>
      <c r="B50" s="104" t="s">
        <v>133</v>
      </c>
      <c r="C50" s="105" t="s">
        <v>118</v>
      </c>
      <c r="D50" s="46">
        <f>D51+D52+D53+D54</f>
        <v>41499623.07</v>
      </c>
      <c r="E50" s="46">
        <f>E51+E52+E53+E54</f>
        <v>37083378.059999995</v>
      </c>
      <c r="F50" s="46">
        <f>F51+F52+F53+F54</f>
        <v>37674306.939999998</v>
      </c>
    </row>
    <row r="51" spans="1:6" ht="15.75" x14ac:dyDescent="0.25">
      <c r="A51" s="103" t="s">
        <v>143</v>
      </c>
      <c r="B51" s="103" t="s">
        <v>122</v>
      </c>
      <c r="C51" s="21" t="s">
        <v>162</v>
      </c>
      <c r="D51" s="41">
        <f>П4ВСР!Z302+П4ВСР!Z628</f>
        <v>2177967.38</v>
      </c>
      <c r="E51" s="41">
        <f>П4ВСР!AA302+П4ВСР!AA628</f>
        <v>2177967.38</v>
      </c>
      <c r="F51" s="41">
        <f>П4ВСР!AB302+П4ВСР!AB628</f>
        <v>2177967.38</v>
      </c>
    </row>
    <row r="52" spans="1:6" ht="15.75" x14ac:dyDescent="0.25">
      <c r="A52" s="103" t="s">
        <v>143</v>
      </c>
      <c r="B52" s="103" t="s">
        <v>123</v>
      </c>
      <c r="C52" s="21" t="s">
        <v>163</v>
      </c>
      <c r="D52" s="41">
        <f>П4ВСР!Z307</f>
        <v>3734637.56</v>
      </c>
      <c r="E52" s="41">
        <f>П4ВСР!AA307</f>
        <v>350000</v>
      </c>
      <c r="F52" s="41">
        <f>П4ВСР!AB307</f>
        <v>350000</v>
      </c>
    </row>
    <row r="53" spans="1:6" ht="15.75" x14ac:dyDescent="0.25">
      <c r="A53" s="103" t="s">
        <v>143</v>
      </c>
      <c r="B53" s="103" t="s">
        <v>136</v>
      </c>
      <c r="C53" s="21" t="s">
        <v>164</v>
      </c>
      <c r="D53" s="41">
        <f>П4ВСР!Z323+П4ВСР!Z632</f>
        <v>33754697.710000001</v>
      </c>
      <c r="E53" s="41">
        <f>П4ВСР!AA323+П4ВСР!AA632</f>
        <v>32652727.699999999</v>
      </c>
      <c r="F53" s="41">
        <f>П4ВСР!AB323+П4ВСР!AB632</f>
        <v>33176027.699999999</v>
      </c>
    </row>
    <row r="54" spans="1:6" ht="15.75" x14ac:dyDescent="0.25">
      <c r="A54" s="103" t="s">
        <v>143</v>
      </c>
      <c r="B54" s="103" t="s">
        <v>125</v>
      </c>
      <c r="C54" s="153" t="s">
        <v>756</v>
      </c>
      <c r="D54" s="41">
        <f>П4ВСР!Z649</f>
        <v>1832320.42</v>
      </c>
      <c r="E54" s="41">
        <f>П4ВСР!AA649</f>
        <v>1902682.98</v>
      </c>
      <c r="F54" s="41">
        <f>П4ВСР!AB649</f>
        <v>1970311.8600000003</v>
      </c>
    </row>
    <row r="55" spans="1:6" ht="15.75" x14ac:dyDescent="0.25">
      <c r="A55" s="104" t="s">
        <v>128</v>
      </c>
      <c r="B55" s="104" t="s">
        <v>133</v>
      </c>
      <c r="C55" s="105" t="s">
        <v>165</v>
      </c>
      <c r="D55" s="46">
        <f>D56+D59</f>
        <v>3268000</v>
      </c>
      <c r="E55" s="46">
        <f>E56+E59</f>
        <v>250000</v>
      </c>
      <c r="F55" s="46">
        <f>F56+F59</f>
        <v>250000</v>
      </c>
    </row>
    <row r="56" spans="1:6" ht="15.75" x14ac:dyDescent="0.25">
      <c r="A56" s="103" t="s">
        <v>128</v>
      </c>
      <c r="B56" s="103" t="s">
        <v>122</v>
      </c>
      <c r="C56" s="21" t="s">
        <v>254</v>
      </c>
      <c r="D56" s="41">
        <f>П4ВСР!Z329</f>
        <v>1070000</v>
      </c>
      <c r="E56" s="41">
        <f>П4ВСР!AA329</f>
        <v>150000</v>
      </c>
      <c r="F56" s="41">
        <f>П4ВСР!AB329</f>
        <v>150000</v>
      </c>
    </row>
    <row r="57" spans="1:6" ht="31.5" hidden="1" x14ac:dyDescent="0.25">
      <c r="A57" s="103" t="s">
        <v>128</v>
      </c>
      <c r="B57" s="103" t="s">
        <v>136</v>
      </c>
      <c r="C57" s="21" t="s">
        <v>167</v>
      </c>
      <c r="D57" s="41">
        <v>0</v>
      </c>
      <c r="E57" s="99">
        <v>0</v>
      </c>
      <c r="F57" s="99">
        <v>0</v>
      </c>
    </row>
    <row r="58" spans="1:6" ht="15.75" hidden="1" x14ac:dyDescent="0.25">
      <c r="A58" s="103" t="s">
        <v>128</v>
      </c>
      <c r="B58" s="103" t="s">
        <v>124</v>
      </c>
      <c r="C58" s="83" t="s">
        <v>168</v>
      </c>
      <c r="D58" s="41">
        <v>0</v>
      </c>
      <c r="E58" s="99">
        <v>0</v>
      </c>
      <c r="F58" s="99">
        <v>0</v>
      </c>
    </row>
    <row r="59" spans="1:6" ht="15.75" x14ac:dyDescent="0.25">
      <c r="A59" s="103" t="s">
        <v>128</v>
      </c>
      <c r="B59" s="103" t="s">
        <v>132</v>
      </c>
      <c r="C59" s="83" t="s">
        <v>166</v>
      </c>
      <c r="D59" s="41">
        <f>П4ВСР!Z336+П4ВСР!Z529</f>
        <v>2198000</v>
      </c>
      <c r="E59" s="41">
        <f>П4ВСР!AA336</f>
        <v>100000</v>
      </c>
      <c r="F59" s="41">
        <f>П4ВСР!AB336</f>
        <v>100000</v>
      </c>
    </row>
    <row r="60" spans="1:6" ht="31.5" hidden="1" x14ac:dyDescent="0.25">
      <c r="A60" s="104" t="s">
        <v>130</v>
      </c>
      <c r="B60" s="104" t="s">
        <v>133</v>
      </c>
      <c r="C60" s="106" t="s">
        <v>120</v>
      </c>
      <c r="D60" s="46">
        <f>D61</f>
        <v>0</v>
      </c>
      <c r="E60" s="46">
        <f>E61</f>
        <v>0</v>
      </c>
      <c r="F60" s="46">
        <f>F61</f>
        <v>0</v>
      </c>
    </row>
    <row r="61" spans="1:6" ht="31.5" hidden="1" x14ac:dyDescent="0.25">
      <c r="A61" s="103" t="s">
        <v>130</v>
      </c>
      <c r="B61" s="103" t="s">
        <v>122</v>
      </c>
      <c r="C61" s="83" t="s">
        <v>255</v>
      </c>
      <c r="D61" s="41">
        <v>0</v>
      </c>
      <c r="E61" s="41">
        <f>П4ВСР!AA360</f>
        <v>0</v>
      </c>
      <c r="F61" s="41">
        <f>П4ВСР!AB360</f>
        <v>0</v>
      </c>
    </row>
    <row r="62" spans="1:6" ht="31.5" x14ac:dyDescent="0.25">
      <c r="A62" s="104" t="s">
        <v>131</v>
      </c>
      <c r="B62" s="104" t="s">
        <v>133</v>
      </c>
      <c r="C62" s="106" t="s">
        <v>1338</v>
      </c>
      <c r="D62" s="46">
        <f>D63</f>
        <v>21804570.870000001</v>
      </c>
      <c r="E62" s="46">
        <f>E63</f>
        <v>22408600</v>
      </c>
      <c r="F62" s="46">
        <f>F63</f>
        <v>22427900</v>
      </c>
    </row>
    <row r="63" spans="1:6" ht="47.25" x14ac:dyDescent="0.25">
      <c r="A63" s="103" t="s">
        <v>131</v>
      </c>
      <c r="B63" s="103" t="s">
        <v>122</v>
      </c>
      <c r="C63" s="83" t="s">
        <v>169</v>
      </c>
      <c r="D63" s="41">
        <f>П4ВСР!Z536</f>
        <v>21804570.870000001</v>
      </c>
      <c r="E63" s="41">
        <f>П4ВСР!AA536</f>
        <v>22408600</v>
      </c>
      <c r="F63" s="41">
        <f>П4ВСР!AB536</f>
        <v>22427900</v>
      </c>
    </row>
    <row r="64" spans="1:6" s="107" customFormat="1" ht="15.75" x14ac:dyDescent="0.25">
      <c r="A64" s="104" t="s">
        <v>133</v>
      </c>
      <c r="B64" s="104" t="s">
        <v>133</v>
      </c>
      <c r="C64" s="106" t="s">
        <v>1361</v>
      </c>
      <c r="D64" s="46">
        <f>[1]П_6!I198</f>
        <v>0</v>
      </c>
      <c r="E64" s="46">
        <f>П4ВСР!AA344</f>
        <v>4420012.5</v>
      </c>
      <c r="F64" s="46">
        <f>П4ВСР!AB344</f>
        <v>9094467.7599999998</v>
      </c>
    </row>
    <row r="65" spans="1:6" ht="18.75" customHeight="1" x14ac:dyDescent="0.25">
      <c r="A65" s="104" t="s">
        <v>170</v>
      </c>
      <c r="B65" s="104" t="s">
        <v>133</v>
      </c>
      <c r="C65" s="105" t="s">
        <v>171</v>
      </c>
      <c r="D65" s="46">
        <f>D11+D20+D25+D32+D39+D45+D47+D50+D55+D37+D60+D62</f>
        <v>911824309</v>
      </c>
      <c r="E65" s="46">
        <f>E11+E20+E25+E32+E39+E45+E47+E50+E55+E37+E60+E62+E64</f>
        <v>758786382.11999989</v>
      </c>
      <c r="F65" s="46">
        <f>F11+F20+F25+F32+F39+F45+F47+F50+F55+F37+F60+F62+F64</f>
        <v>782970362.54999995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vt:i4>
      </vt:variant>
    </vt:vector>
  </HeadingPairs>
  <TitlesOfParts>
    <vt:vector size="20" baseType="lpstr">
      <vt:lpstr>П1ИВФ</vt:lpstr>
      <vt:lpstr>П4ДОХОДЫ </vt:lpstr>
      <vt:lpstr>П2ДОХОДЫ</vt:lpstr>
      <vt:lpstr>П3РБАЦС</vt:lpstr>
      <vt:lpstr>П4ВСР</vt:lpstr>
      <vt:lpstr>П3_Доходы</vt:lpstr>
      <vt:lpstr>П5МП</vt:lpstr>
      <vt:lpstr>Лист2</vt:lpstr>
      <vt:lpstr>П6РБАРПР</vt:lpstr>
      <vt:lpstr>П7ПМВЗ</vt:lpstr>
      <vt:lpstr>прогноз</vt:lpstr>
      <vt:lpstr>ожидаемое исполнение</vt:lpstr>
      <vt:lpstr>Верхний предел </vt:lpstr>
      <vt:lpstr>Лист1</vt:lpstr>
      <vt:lpstr>информация</vt:lpstr>
      <vt:lpstr>информация 1</vt:lpstr>
      <vt:lpstr>информация 2</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2019-05-29T01:00:02Z</dcterms:modified>
</cp:coreProperties>
</file>